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240" yWindow="75" windowWidth="11580" windowHeight="6795" tabRatio="860" activeTab="13"/>
  </bookViews>
  <sheets>
    <sheet name="MaiN-1" sheetId="76" r:id="rId1"/>
    <sheet name="juin" sheetId="56" r:id="rId2"/>
    <sheet name="Juillet" sheetId="57" r:id="rId3"/>
    <sheet name="Août" sheetId="58" r:id="rId4"/>
    <sheet name="Septembre" sheetId="59" r:id="rId5"/>
    <sheet name="Octobre" sheetId="60" r:id="rId6"/>
    <sheet name="Novembre" sheetId="61" r:id="rId7"/>
    <sheet name="Décembre" sheetId="62" r:id="rId8"/>
    <sheet name="Janvier" sheetId="63" r:id="rId9"/>
    <sheet name="Février" sheetId="64" r:id="rId10"/>
    <sheet name="Mars" sheetId="65" r:id="rId11"/>
    <sheet name="Avril" sheetId="66" r:id="rId12"/>
    <sheet name="Mai" sheetId="74" r:id="rId13"/>
    <sheet name="Récapitulatif " sheetId="42" r:id="rId14"/>
    <sheet name="Bulletin de paie juin janv." sheetId="69" r:id="rId15"/>
    <sheet name="Bulletin de paie fév. mai" sheetId="71" r:id="rId16"/>
    <sheet name="Feuil1" sheetId="75" r:id="rId17"/>
  </sheets>
  <definedNames>
    <definedName name="Atelier">'Récapitulatif '!$C$26:$E$26</definedName>
    <definedName name="xxx1">'Récapitulatif '!$YA$1</definedName>
    <definedName name="_xlnm.Print_Area" localSheetId="3">Août!$A$1:$AJ$45</definedName>
    <definedName name="_xlnm.Print_Area" localSheetId="11">Avril!$A$1:$AJ$46</definedName>
    <definedName name="_xlnm.Print_Area" localSheetId="15">'Bulletin de paie fév. mai'!$A$1:$J$49</definedName>
    <definedName name="_xlnm.Print_Area" localSheetId="14">'Bulletin de paie juin janv.'!$A$1:$J$49</definedName>
    <definedName name="_xlnm.Print_Area" localSheetId="7">Décembre!$A$1:$AJ$46</definedName>
    <definedName name="_xlnm.Print_Area" localSheetId="9">Février!$A$1:$AJ$46</definedName>
    <definedName name="_xlnm.Print_Area" localSheetId="8">Janvier!$A$1:$AJ$46</definedName>
    <definedName name="_xlnm.Print_Area" localSheetId="2">Juillet!$A$1:$AJ$46</definedName>
    <definedName name="_xlnm.Print_Area" localSheetId="1">juin!$A$1:$AJ$43</definedName>
    <definedName name="_xlnm.Print_Area" localSheetId="12">Mai!$A$1:$AK$50</definedName>
    <definedName name="_xlnm.Print_Area" localSheetId="0">'MaiN-1'!$A$1:$AK$50</definedName>
    <definedName name="_xlnm.Print_Area" localSheetId="10">Mars!$A$1:$AJ$46</definedName>
    <definedName name="_xlnm.Print_Area" localSheetId="6">Novembre!$A$1:$AJ$46</definedName>
    <definedName name="_xlnm.Print_Area" localSheetId="5">Octobre!$A$1:$AJ$52</definedName>
    <definedName name="_xlnm.Print_Area" localSheetId="13">'Récapitulatif '!$A$1:$AJ$41,'Récapitulatif '!$A$42:$X$94</definedName>
    <definedName name="_xlnm.Print_Area" localSheetId="4">Septembre!$A$1:$AJ$45</definedName>
  </definedNames>
  <calcPr calcId="124519" concurrentCalc="0"/>
</workbook>
</file>

<file path=xl/calcChain.xml><?xml version="1.0" encoding="utf-8"?>
<calcChain xmlns="http://schemas.openxmlformats.org/spreadsheetml/2006/main">
  <c r="AW49" i="42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24"/>
  <c r="AW5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28" i="74"/>
  <c r="A29"/>
  <c r="A2" i="76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AL24" i="42"/>
  <c r="C24" i="76"/>
  <c r="AL25" i="42"/>
  <c r="C25" i="76"/>
  <c r="AL26" i="42"/>
  <c r="C26" i="76"/>
  <c r="AL27" i="42"/>
  <c r="C27" i="76"/>
  <c r="AL28" i="42"/>
  <c r="C28" i="76"/>
  <c r="AL29" i="42"/>
  <c r="C29" i="76"/>
  <c r="AL30" i="42"/>
  <c r="C30" i="76"/>
  <c r="AL31" i="42"/>
  <c r="C31" i="76"/>
  <c r="AL32" i="42"/>
  <c r="C32" i="76"/>
  <c r="AL33" i="42"/>
  <c r="C33" i="76"/>
  <c r="AL34" i="42"/>
  <c r="C34" i="76"/>
  <c r="AL35" i="42"/>
  <c r="C4" i="56"/>
  <c r="AL36" i="42"/>
  <c r="C5" i="56"/>
  <c r="AL37" i="42"/>
  <c r="C6" i="56"/>
  <c r="AL38" i="42"/>
  <c r="C7" i="56"/>
  <c r="AL39" i="42"/>
  <c r="C8" i="56"/>
  <c r="AL40" i="42"/>
  <c r="C9" i="56"/>
  <c r="AL41" i="42"/>
  <c r="C10" i="56"/>
  <c r="AL42" i="42"/>
  <c r="C11" i="56"/>
  <c r="AL43" i="42"/>
  <c r="C12" i="56"/>
  <c r="AL44" i="42"/>
  <c r="C13" i="56"/>
  <c r="AL45" i="42"/>
  <c r="C14" i="56"/>
  <c r="AL46" i="42"/>
  <c r="C15" i="56"/>
  <c r="AL47" i="42"/>
  <c r="C16" i="56"/>
  <c r="AL48" i="42"/>
  <c r="C17" i="56"/>
  <c r="AL49" i="42"/>
  <c r="C18" i="56"/>
  <c r="AL50" i="42"/>
  <c r="C19" i="56"/>
  <c r="AL51" i="42"/>
  <c r="C20" i="56"/>
  <c r="AL52" i="42"/>
  <c r="C21" i="56"/>
  <c r="AL53" i="42"/>
  <c r="C22" i="56"/>
  <c r="C23"/>
  <c r="C24"/>
  <c r="C25"/>
  <c r="C26"/>
  <c r="C27"/>
  <c r="C28"/>
  <c r="C29"/>
  <c r="C30"/>
  <c r="C31"/>
  <c r="C33"/>
  <c r="A2" i="57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4"/>
  <c r="A2" i="58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4"/>
  <c r="A2" i="59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3"/>
  <c r="A2" i="60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4"/>
  <c r="A2" i="6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3"/>
  <c r="A2" i="6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4"/>
  <c r="A2" i="6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4"/>
  <c r="A2" i="6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A2" i="65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4"/>
  <c r="A2" i="66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3"/>
  <c r="A2" i="7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A30"/>
  <c r="C31"/>
  <c r="A31"/>
  <c r="C32"/>
  <c r="A32"/>
  <c r="C33"/>
  <c r="A33"/>
  <c r="AL22" i="42"/>
  <c r="AK22"/>
  <c r="AL23"/>
  <c r="AK23"/>
  <c r="AL54"/>
  <c r="AL55"/>
  <c r="AL56"/>
  <c r="AL57"/>
  <c r="AL58"/>
  <c r="AL59"/>
  <c r="AL60"/>
  <c r="AL61"/>
  <c r="AL62"/>
  <c r="AL63"/>
  <c r="C32" i="56"/>
  <c r="AL64" i="42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V36"/>
  <c r="AV37"/>
  <c r="AV38"/>
  <c r="AV39"/>
  <c r="AV40"/>
  <c r="AV41"/>
  <c r="AV42"/>
  <c r="AV43"/>
  <c r="AL6"/>
  <c r="AK6"/>
  <c r="AL7"/>
  <c r="AK7"/>
  <c r="AL8"/>
  <c r="AK8"/>
  <c r="AL9"/>
  <c r="AK9"/>
  <c r="AL10"/>
  <c r="AK10"/>
  <c r="AL11"/>
  <c r="AK11"/>
  <c r="AL12"/>
  <c r="AK12"/>
  <c r="AL13"/>
  <c r="AK13"/>
  <c r="AL14"/>
  <c r="AK14"/>
  <c r="AL15"/>
  <c r="AK15"/>
  <c r="AL16"/>
  <c r="AK16"/>
  <c r="AL17"/>
  <c r="AK17"/>
  <c r="AL18"/>
  <c r="AK18"/>
  <c r="AL19"/>
  <c r="AK19"/>
  <c r="AL20"/>
  <c r="AK20"/>
  <c r="AL21"/>
  <c r="AK21"/>
  <c r="AL5"/>
  <c r="AK5"/>
  <c r="AX33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K109"/>
  <c r="AL110"/>
  <c r="AK110"/>
  <c r="AL111"/>
  <c r="AK111"/>
  <c r="AL112"/>
  <c r="AK112"/>
  <c r="AL113"/>
  <c r="AK113"/>
  <c r="AL114"/>
  <c r="AK114"/>
  <c r="AL115"/>
  <c r="AK115"/>
  <c r="AL116"/>
  <c r="AK116"/>
  <c r="AL117"/>
  <c r="AK117"/>
  <c r="AL118"/>
  <c r="AK118"/>
  <c r="AL119"/>
  <c r="AK119"/>
  <c r="AL120"/>
  <c r="AK120"/>
  <c r="AL121"/>
  <c r="AK121"/>
  <c r="AL122"/>
  <c r="AK122"/>
  <c r="AL123"/>
  <c r="AK123"/>
  <c r="AL124"/>
  <c r="AK124"/>
  <c r="AL125"/>
  <c r="AK125"/>
  <c r="AL126"/>
  <c r="AK126"/>
  <c r="AL127"/>
  <c r="AK127"/>
  <c r="AL128"/>
  <c r="AK128"/>
  <c r="AL129"/>
  <c r="AK129"/>
  <c r="AL130"/>
  <c r="AK130"/>
  <c r="AL131"/>
  <c r="AK131"/>
  <c r="AL132"/>
  <c r="AK132"/>
  <c r="AL133"/>
  <c r="AK133"/>
  <c r="AL134"/>
  <c r="AK134"/>
  <c r="AL135"/>
  <c r="AK135"/>
  <c r="AL136"/>
  <c r="AK136"/>
  <c r="AL137"/>
  <c r="AK137"/>
  <c r="AL138"/>
  <c r="AK138"/>
  <c r="AL139"/>
  <c r="AK139"/>
  <c r="AL140"/>
  <c r="AK140"/>
  <c r="AL141"/>
  <c r="AK141"/>
  <c r="AL142"/>
  <c r="AK142"/>
  <c r="AL143"/>
  <c r="AK143"/>
  <c r="AL144"/>
  <c r="AK144"/>
  <c r="AL145"/>
  <c r="AK145"/>
  <c r="AL146"/>
  <c r="AK146"/>
  <c r="AL147"/>
  <c r="AK147"/>
  <c r="AL148"/>
  <c r="AK148"/>
  <c r="AL149"/>
  <c r="AK149"/>
  <c r="AL150"/>
  <c r="AK150"/>
  <c r="AL151"/>
  <c r="AK151"/>
  <c r="AL152"/>
  <c r="AK152"/>
  <c r="AL153"/>
  <c r="AK153"/>
  <c r="AL154"/>
  <c r="AK154"/>
  <c r="AL155"/>
  <c r="AK155"/>
  <c r="AL156"/>
  <c r="AK156"/>
  <c r="AL157"/>
  <c r="AK157"/>
  <c r="AL158"/>
  <c r="AK158"/>
  <c r="AL159"/>
  <c r="AK159"/>
  <c r="AL160"/>
  <c r="AK160"/>
  <c r="AL161"/>
  <c r="AK161"/>
  <c r="AL162"/>
  <c r="AK162"/>
  <c r="AL163"/>
  <c r="AK163"/>
  <c r="AL164"/>
  <c r="AK164"/>
  <c r="AL165"/>
  <c r="AK165"/>
  <c r="AL166"/>
  <c r="AK166"/>
  <c r="AL167"/>
  <c r="AK167"/>
  <c r="AL168"/>
  <c r="AK168"/>
  <c r="AL169"/>
  <c r="AK169"/>
  <c r="AL170"/>
  <c r="AK170"/>
  <c r="AL171"/>
  <c r="AK171"/>
  <c r="AL172"/>
  <c r="AK172"/>
  <c r="AL173"/>
  <c r="AK173"/>
  <c r="AL174"/>
  <c r="AK174"/>
  <c r="AL175"/>
  <c r="AK175"/>
  <c r="AL176"/>
  <c r="AK176"/>
  <c r="AL177"/>
  <c r="AK177"/>
  <c r="AL178"/>
  <c r="AK178"/>
  <c r="AL179"/>
  <c r="AK179"/>
  <c r="AL180"/>
  <c r="AK180"/>
  <c r="AL181"/>
  <c r="AK181"/>
  <c r="AL182"/>
  <c r="AK182"/>
  <c r="AL183"/>
  <c r="AK183"/>
  <c r="AL184"/>
  <c r="AK184"/>
  <c r="AL185"/>
  <c r="AK185"/>
  <c r="AL186"/>
  <c r="AK186"/>
  <c r="AL187"/>
  <c r="AK187"/>
  <c r="AL188"/>
  <c r="AK188"/>
  <c r="AL189"/>
  <c r="AK189"/>
  <c r="AL190"/>
  <c r="AK190"/>
  <c r="AL191"/>
  <c r="AK191"/>
  <c r="AL192"/>
  <c r="AK192"/>
  <c r="AL193"/>
  <c r="AK193"/>
  <c r="AL194"/>
  <c r="AK194"/>
  <c r="AL195"/>
  <c r="AK195"/>
  <c r="AL196"/>
  <c r="AK196"/>
  <c r="AL197"/>
  <c r="AK197"/>
  <c r="AL198"/>
  <c r="AK198"/>
  <c r="AL199"/>
  <c r="AK199"/>
  <c r="AL200"/>
  <c r="AK200"/>
  <c r="AL201"/>
  <c r="AK201"/>
  <c r="AL202"/>
  <c r="AK202"/>
  <c r="AL203"/>
  <c r="AK203"/>
  <c r="AL204"/>
  <c r="AK204"/>
  <c r="AL205"/>
  <c r="AK205"/>
  <c r="AL206"/>
  <c r="AK206"/>
  <c r="AL207"/>
  <c r="AK207"/>
  <c r="AL208"/>
  <c r="AK208"/>
  <c r="AL209"/>
  <c r="AK209"/>
  <c r="AL210"/>
  <c r="AK210"/>
  <c r="AL211"/>
  <c r="AK211"/>
  <c r="AL212"/>
  <c r="AK212"/>
  <c r="AL213"/>
  <c r="AK213"/>
  <c r="AL214"/>
  <c r="AK214"/>
  <c r="AL215"/>
  <c r="AK215"/>
  <c r="AL216"/>
  <c r="AK216"/>
  <c r="AL217"/>
  <c r="AK217"/>
  <c r="AL218"/>
  <c r="AK218"/>
  <c r="AL219"/>
  <c r="AK219"/>
  <c r="AL220"/>
  <c r="AK220"/>
  <c r="AL221"/>
  <c r="AK221"/>
  <c r="AL222"/>
  <c r="AK222"/>
  <c r="AL223"/>
  <c r="AK223"/>
  <c r="AL224"/>
  <c r="AK224"/>
  <c r="AL225"/>
  <c r="AK225"/>
  <c r="AL226"/>
  <c r="AK226"/>
  <c r="AL227"/>
  <c r="AK227"/>
  <c r="AL228"/>
  <c r="AK228"/>
  <c r="AL229"/>
  <c r="AK229"/>
  <c r="AL230"/>
  <c r="AK230"/>
  <c r="AL231"/>
  <c r="AK231"/>
  <c r="AL232"/>
  <c r="AK232"/>
  <c r="AL233"/>
  <c r="AK233"/>
  <c r="AL234"/>
  <c r="AK234"/>
  <c r="AL235"/>
  <c r="AK235"/>
  <c r="AL236"/>
  <c r="AK236"/>
  <c r="AL237"/>
  <c r="AK237"/>
  <c r="AL238"/>
  <c r="AK238"/>
  <c r="AL239"/>
  <c r="AK239"/>
  <c r="AL240"/>
  <c r="AK240"/>
  <c r="AL241"/>
  <c r="AK241"/>
  <c r="AL242"/>
  <c r="AK242"/>
  <c r="AL243"/>
  <c r="AK243"/>
  <c r="AL244"/>
  <c r="AK244"/>
  <c r="AL245"/>
  <c r="AK245"/>
  <c r="AL246"/>
  <c r="AK246"/>
  <c r="AL247"/>
  <c r="AK247"/>
  <c r="AL248"/>
  <c r="AK248"/>
  <c r="AL249"/>
  <c r="AK249"/>
  <c r="AL250"/>
  <c r="AK250"/>
  <c r="AL251"/>
  <c r="AK251"/>
  <c r="AL252"/>
  <c r="AK252"/>
  <c r="AL253"/>
  <c r="AK253"/>
  <c r="AL254"/>
  <c r="AK254"/>
  <c r="AL255"/>
  <c r="AK255"/>
  <c r="AL256"/>
  <c r="AK256"/>
  <c r="AL257"/>
  <c r="AK257"/>
  <c r="AL258"/>
  <c r="AK258"/>
  <c r="AL259"/>
  <c r="AK259"/>
  <c r="AL260"/>
  <c r="AK260"/>
  <c r="AL261"/>
  <c r="AK261"/>
  <c r="AL262"/>
  <c r="AK262"/>
  <c r="AL263"/>
  <c r="AK263"/>
  <c r="AL264"/>
  <c r="AK264"/>
  <c r="AL265"/>
  <c r="AK265"/>
  <c r="AL266"/>
  <c r="AK266"/>
  <c r="AL267"/>
  <c r="AK267"/>
  <c r="AL268"/>
  <c r="AK268"/>
  <c r="AL269"/>
  <c r="AK269"/>
  <c r="AL270"/>
  <c r="AK270"/>
  <c r="AL271"/>
  <c r="AK271"/>
  <c r="AL272"/>
  <c r="AK272"/>
  <c r="AL273"/>
  <c r="AK273"/>
  <c r="AL274"/>
  <c r="AK274"/>
  <c r="AL275"/>
  <c r="AK275"/>
  <c r="AL276"/>
  <c r="AK276"/>
  <c r="AL277"/>
  <c r="AK277"/>
  <c r="AL278"/>
  <c r="AK278"/>
  <c r="AL279"/>
  <c r="AK279"/>
  <c r="AL280"/>
  <c r="AK280"/>
  <c r="AL281"/>
  <c r="AK281"/>
  <c r="AL282"/>
  <c r="AK282"/>
  <c r="AL283"/>
  <c r="AK283"/>
  <c r="AL284"/>
  <c r="AK284"/>
  <c r="AL285"/>
  <c r="AK285"/>
  <c r="AL286"/>
  <c r="AK286"/>
  <c r="AL287"/>
  <c r="AK287"/>
  <c r="AL288"/>
  <c r="AK288"/>
  <c r="AL289"/>
  <c r="AK289"/>
  <c r="AL290"/>
  <c r="AK290"/>
  <c r="AL291"/>
  <c r="AK291"/>
  <c r="AL292"/>
  <c r="AK292"/>
  <c r="AL293"/>
  <c r="AK293"/>
  <c r="AL294"/>
  <c r="AK294"/>
  <c r="AL295"/>
  <c r="AK295"/>
  <c r="AL296"/>
  <c r="AK296"/>
  <c r="AL297"/>
  <c r="AK297"/>
  <c r="AL298"/>
  <c r="AK298"/>
  <c r="AL299"/>
  <c r="AK299"/>
  <c r="AL300"/>
  <c r="AK300"/>
  <c r="AL301"/>
  <c r="AK301"/>
  <c r="AL302"/>
  <c r="AK302"/>
  <c r="AL303"/>
  <c r="AK303"/>
  <c r="AL304"/>
  <c r="AK304"/>
  <c r="AL305"/>
  <c r="AK305"/>
  <c r="AL306"/>
  <c r="AK306"/>
  <c r="AL307"/>
  <c r="AK307"/>
  <c r="AL308"/>
  <c r="AK308"/>
  <c r="AL309"/>
  <c r="AK309"/>
  <c r="AL310"/>
  <c r="AK310"/>
  <c r="AL311"/>
  <c r="AK311"/>
  <c r="AL312"/>
  <c r="AK312"/>
  <c r="AL313"/>
  <c r="AK313"/>
  <c r="AL314"/>
  <c r="AK314"/>
  <c r="AL315"/>
  <c r="AK315"/>
  <c r="AL316"/>
  <c r="AK316"/>
  <c r="AL317"/>
  <c r="AK317"/>
  <c r="AL318"/>
  <c r="AK318"/>
  <c r="AL319"/>
  <c r="AK319"/>
  <c r="AL320"/>
  <c r="AK320"/>
  <c r="AL321"/>
  <c r="AK321"/>
  <c r="AL322"/>
  <c r="AK322"/>
  <c r="AL323"/>
  <c r="AK323"/>
  <c r="AL324"/>
  <c r="AK324"/>
  <c r="AL325"/>
  <c r="AK325"/>
  <c r="AL326"/>
  <c r="AK326"/>
  <c r="AL327"/>
  <c r="AK327"/>
  <c r="AL328"/>
  <c r="AK328"/>
  <c r="AL329"/>
  <c r="AK329"/>
  <c r="AL330"/>
  <c r="AK330"/>
  <c r="AL331"/>
  <c r="AK331"/>
  <c r="AL332"/>
  <c r="AK332"/>
  <c r="AL333"/>
  <c r="AK333"/>
  <c r="AL334"/>
  <c r="AK334"/>
  <c r="AL335"/>
  <c r="AK335"/>
  <c r="AL336"/>
  <c r="AK336"/>
  <c r="AL337"/>
  <c r="AK337"/>
  <c r="AL338"/>
  <c r="AK338"/>
  <c r="AL339"/>
  <c r="AK339"/>
  <c r="AL340"/>
  <c r="AK340"/>
  <c r="AL341"/>
  <c r="AK341"/>
  <c r="AL342"/>
  <c r="AK342"/>
  <c r="AL343"/>
  <c r="AK343"/>
  <c r="AL344"/>
  <c r="AK344"/>
  <c r="AL345"/>
  <c r="AK345"/>
  <c r="AL346"/>
  <c r="AK346"/>
  <c r="AL347"/>
  <c r="AK347"/>
  <c r="AL348"/>
  <c r="AK348"/>
  <c r="AL349"/>
  <c r="AK349"/>
  <c r="AL350"/>
  <c r="AK350"/>
  <c r="AL351"/>
  <c r="AK351"/>
  <c r="AL352"/>
  <c r="AK352"/>
  <c r="AL353"/>
  <c r="AK353"/>
  <c r="AL354"/>
  <c r="AK354"/>
  <c r="AL355"/>
  <c r="AK355"/>
  <c r="AL356"/>
  <c r="AK356"/>
  <c r="AL357"/>
  <c r="AK357"/>
  <c r="AL358"/>
  <c r="AK358"/>
  <c r="AL359"/>
  <c r="AK359"/>
  <c r="AL360"/>
  <c r="AK360"/>
  <c r="AL361"/>
  <c r="AK361"/>
  <c r="AL362"/>
  <c r="AK362"/>
  <c r="AL363"/>
  <c r="AK363"/>
  <c r="AL364"/>
  <c r="AK364"/>
  <c r="AL365"/>
  <c r="AK365"/>
  <c r="AL366"/>
  <c r="AK366"/>
  <c r="AL367"/>
  <c r="AK367"/>
  <c r="AL368"/>
  <c r="AK368"/>
  <c r="AL369"/>
  <c r="AK369"/>
  <c r="AL370"/>
  <c r="AK370"/>
  <c r="AL371"/>
  <c r="AK371"/>
  <c r="AL372"/>
  <c r="AK372"/>
  <c r="AL373"/>
  <c r="AK373"/>
  <c r="AL374"/>
  <c r="AK374"/>
  <c r="AL375"/>
  <c r="AK375"/>
  <c r="AL376"/>
  <c r="AK376"/>
  <c r="AL377"/>
  <c r="AK377"/>
  <c r="AL378"/>
  <c r="AK378"/>
  <c r="AL379"/>
  <c r="AK379"/>
  <c r="AL380"/>
  <c r="AK380"/>
  <c r="AL381"/>
  <c r="AK381"/>
  <c r="AL382"/>
  <c r="AK382"/>
  <c r="AL383"/>
  <c r="AK383"/>
  <c r="AL384"/>
  <c r="AK384"/>
  <c r="AL385"/>
  <c r="AK385"/>
  <c r="AL386"/>
  <c r="AK386"/>
  <c r="AL387"/>
  <c r="AK387"/>
  <c r="AL388"/>
  <c r="AK388"/>
  <c r="AL389"/>
  <c r="AK389"/>
  <c r="AL390"/>
  <c r="AK390"/>
  <c r="AL391"/>
  <c r="AK391"/>
  <c r="AL392"/>
  <c r="AK392"/>
  <c r="AL393"/>
  <c r="AK393"/>
  <c r="AL394"/>
  <c r="AK394"/>
  <c r="AL395"/>
  <c r="AK395"/>
  <c r="AL396"/>
  <c r="AK396"/>
  <c r="AL397"/>
  <c r="AK397"/>
  <c r="AL398"/>
  <c r="AK398"/>
  <c r="AL399"/>
  <c r="AK399"/>
  <c r="AL400"/>
  <c r="AK400"/>
  <c r="AL401"/>
  <c r="AK401"/>
  <c r="AL402"/>
  <c r="AK402"/>
  <c r="U19" i="65"/>
  <c r="X19"/>
  <c r="U20"/>
  <c r="X20"/>
  <c r="U21"/>
  <c r="X21"/>
  <c r="U22"/>
  <c r="X22"/>
  <c r="U23"/>
  <c r="X23"/>
  <c r="U24"/>
  <c r="W24"/>
  <c r="X24"/>
  <c r="X25"/>
  <c r="O25"/>
  <c r="P25"/>
  <c r="U25"/>
  <c r="W25"/>
  <c r="AB25"/>
  <c r="X27" i="64"/>
  <c r="X28"/>
  <c r="X29"/>
  <c r="X30"/>
  <c r="X31"/>
  <c r="X32"/>
  <c r="X33"/>
  <c r="AB35"/>
  <c r="W27"/>
  <c r="E6"/>
  <c r="E13"/>
  <c r="E22"/>
  <c r="E23"/>
  <c r="E24"/>
  <c r="E26"/>
  <c r="E27"/>
  <c r="E28"/>
  <c r="E29"/>
  <c r="E30"/>
  <c r="E4"/>
  <c r="E5"/>
  <c r="E11"/>
  <c r="E12"/>
  <c r="E20"/>
  <c r="E21"/>
  <c r="E25"/>
  <c r="E31"/>
  <c r="E32"/>
  <c r="K37"/>
  <c r="X34"/>
  <c r="O28"/>
  <c r="P28"/>
  <c r="U28"/>
  <c r="W28"/>
  <c r="O29"/>
  <c r="P29"/>
  <c r="U29"/>
  <c r="W29"/>
  <c r="O30"/>
  <c r="P30"/>
  <c r="U30"/>
  <c r="W30"/>
  <c r="X13" i="56"/>
  <c r="AP45" i="42"/>
  <c r="X14" i="56"/>
  <c r="AP46" i="42"/>
  <c r="X15" i="56"/>
  <c r="AP47" i="42"/>
  <c r="X16" i="56"/>
  <c r="AP48" i="42"/>
  <c r="X17" i="56"/>
  <c r="AP49" i="42"/>
  <c r="X18" i="56"/>
  <c r="AP50" i="42"/>
  <c r="X19" i="56"/>
  <c r="AP51" i="42"/>
  <c r="AV49"/>
  <c r="X5" i="74"/>
  <c r="AP372" i="42"/>
  <c r="X6" i="74"/>
  <c r="AP373" i="42"/>
  <c r="AJ3"/>
  <c r="X7" i="74"/>
  <c r="AP374" i="42"/>
  <c r="X8" i="74"/>
  <c r="AP375" i="42"/>
  <c r="X9" i="74"/>
  <c r="AP376" i="42"/>
  <c r="X10" i="74"/>
  <c r="AP377" i="42"/>
  <c r="X11" i="74"/>
  <c r="AP378" i="42"/>
  <c r="AV378"/>
  <c r="AO38"/>
  <c r="X6" i="56"/>
  <c r="AP38" i="42"/>
  <c r="AO39"/>
  <c r="X7" i="56"/>
  <c r="AP39" i="42"/>
  <c r="AO40"/>
  <c r="X8" i="56"/>
  <c r="AP40" i="42"/>
  <c r="AO41"/>
  <c r="X9" i="56"/>
  <c r="AP41" i="42"/>
  <c r="AO42"/>
  <c r="X10" i="56"/>
  <c r="AP42" i="42"/>
  <c r="AO43"/>
  <c r="X11" i="56"/>
  <c r="AP43" i="42"/>
  <c r="AO44"/>
  <c r="X12" i="56"/>
  <c r="AP44" i="42"/>
  <c r="AU42"/>
  <c r="C52" i="56"/>
  <c r="C54"/>
  <c r="C57"/>
  <c r="AF13"/>
  <c r="AQ45" i="42"/>
  <c r="C58" i="56"/>
  <c r="AE13"/>
  <c r="AS45" i="42"/>
  <c r="AR45"/>
  <c r="AF14" i="56"/>
  <c r="AQ46" i="42"/>
  <c r="AE14" i="56"/>
  <c r="AS46" i="42"/>
  <c r="AR46"/>
  <c r="AF15" i="56"/>
  <c r="AQ47" i="42"/>
  <c r="AE15" i="56"/>
  <c r="AS47" i="42"/>
  <c r="AR47"/>
  <c r="AF16" i="56"/>
  <c r="AQ48" i="42"/>
  <c r="AE16" i="56"/>
  <c r="AS48" i="42"/>
  <c r="AR48"/>
  <c r="AF17" i="56"/>
  <c r="AQ49" i="42"/>
  <c r="AE17" i="56"/>
  <c r="AS49" i="42"/>
  <c r="AR49"/>
  <c r="AF18" i="56"/>
  <c r="AQ50" i="42"/>
  <c r="AE18" i="56"/>
  <c r="AS50" i="42"/>
  <c r="AR50"/>
  <c r="AF19" i="56"/>
  <c r="AQ51" i="42"/>
  <c r="AE19" i="56"/>
  <c r="AS51" i="42"/>
  <c r="AR51"/>
  <c r="AM51"/>
  <c r="AN51"/>
  <c r="AO45"/>
  <c r="AO46"/>
  <c r="AO47"/>
  <c r="AO48"/>
  <c r="AO49"/>
  <c r="AO50"/>
  <c r="AO51"/>
  <c r="AU49"/>
  <c r="AV20"/>
  <c r="X20" i="76"/>
  <c r="AP21" i="42"/>
  <c r="X21" i="76"/>
  <c r="AP22" i="42"/>
  <c r="X22" i="76"/>
  <c r="AP23" i="42"/>
  <c r="X23" i="76"/>
  <c r="AP24" i="42"/>
  <c r="AV21"/>
  <c r="AV22"/>
  <c r="AV23"/>
  <c r="AV24"/>
  <c r="AV25"/>
  <c r="AV26"/>
  <c r="AV27"/>
  <c r="X24" i="76"/>
  <c r="AP25" i="42"/>
  <c r="X25" i="76"/>
  <c r="AP26" i="42"/>
  <c r="X26" i="76"/>
  <c r="AP27" i="42"/>
  <c r="X27" i="76"/>
  <c r="AP28" i="42"/>
  <c r="AV28"/>
  <c r="AV29"/>
  <c r="AV30"/>
  <c r="AV31"/>
  <c r="AV32"/>
  <c r="AV33"/>
  <c r="AV34"/>
  <c r="X28" i="76"/>
  <c r="AP29" i="42"/>
  <c r="X29" i="76"/>
  <c r="AP30" i="42"/>
  <c r="X30" i="76"/>
  <c r="AP31" i="42"/>
  <c r="X31" i="76"/>
  <c r="AP32" i="42"/>
  <c r="X32" i="76"/>
  <c r="AP33" i="42"/>
  <c r="X33" i="76"/>
  <c r="AP34" i="42"/>
  <c r="X34" i="76"/>
  <c r="AP35" i="42"/>
  <c r="AV35"/>
  <c r="AU20"/>
  <c r="AO15"/>
  <c r="X14" i="76"/>
  <c r="AP15" i="42"/>
  <c r="AO16"/>
  <c r="X15" i="76"/>
  <c r="AP16" i="42"/>
  <c r="AO17"/>
  <c r="X16" i="76"/>
  <c r="AP17" i="42"/>
  <c r="AO18"/>
  <c r="X17" i="76"/>
  <c r="AP18" i="42"/>
  <c r="AO19"/>
  <c r="X18" i="76"/>
  <c r="AP19" i="42"/>
  <c r="AO20"/>
  <c r="X19" i="76"/>
  <c r="AP20" i="42"/>
  <c r="AO21"/>
  <c r="AU21"/>
  <c r="AU22"/>
  <c r="AU23"/>
  <c r="AU24"/>
  <c r="AU25"/>
  <c r="AU26"/>
  <c r="AU27"/>
  <c r="AO22"/>
  <c r="AO23"/>
  <c r="AO24"/>
  <c r="AO25"/>
  <c r="AO26"/>
  <c r="AO27"/>
  <c r="AO28"/>
  <c r="AU28"/>
  <c r="AU29"/>
  <c r="AU30"/>
  <c r="AU31"/>
  <c r="AU32"/>
  <c r="AU33"/>
  <c r="AU34"/>
  <c r="AO29"/>
  <c r="AO30"/>
  <c r="AO31"/>
  <c r="AO32"/>
  <c r="AO33"/>
  <c r="AO34"/>
  <c r="AO35"/>
  <c r="AU35"/>
  <c r="AU36"/>
  <c r="AV5"/>
  <c r="AV6"/>
  <c r="X6" i="76"/>
  <c r="AP7" i="42"/>
  <c r="X7" i="76"/>
  <c r="AP8" i="42"/>
  <c r="X8" i="76"/>
  <c r="AP9" i="42"/>
  <c r="X9" i="76"/>
  <c r="AP10" i="42"/>
  <c r="X10" i="76"/>
  <c r="AP11" i="42"/>
  <c r="X11" i="76"/>
  <c r="AP12" i="42"/>
  <c r="X12" i="76"/>
  <c r="AP13" i="42"/>
  <c r="X13" i="76"/>
  <c r="AP14" i="42"/>
  <c r="AV7"/>
  <c r="AV8"/>
  <c r="AV9"/>
  <c r="AV10"/>
  <c r="AV11"/>
  <c r="AV12"/>
  <c r="AV13"/>
  <c r="AV14"/>
  <c r="AV15"/>
  <c r="AV16"/>
  <c r="AV17"/>
  <c r="AV18"/>
  <c r="AV19"/>
  <c r="AU5"/>
  <c r="AU6"/>
  <c r="AO7"/>
  <c r="AO8"/>
  <c r="AO9"/>
  <c r="AO10"/>
  <c r="AO11"/>
  <c r="AO12"/>
  <c r="AO13"/>
  <c r="AO14"/>
  <c r="AU7"/>
  <c r="AU8"/>
  <c r="AU9"/>
  <c r="AU10"/>
  <c r="AU11"/>
  <c r="AU12"/>
  <c r="AU13"/>
  <c r="AU14"/>
  <c r="AU15"/>
  <c r="AU16"/>
  <c r="AU17"/>
  <c r="AU18"/>
  <c r="AU19"/>
  <c r="AW5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C61" i="76"/>
  <c r="C64"/>
  <c r="C65"/>
  <c r="AG7"/>
  <c r="C63"/>
  <c r="C66"/>
  <c r="C67"/>
  <c r="AH7"/>
  <c r="AE7"/>
  <c r="AS5" i="42"/>
  <c r="AG8" i="76"/>
  <c r="AH8"/>
  <c r="AE8"/>
  <c r="AS6" i="42"/>
  <c r="AG9" i="76"/>
  <c r="AH9"/>
  <c r="AE9"/>
  <c r="AS7" i="42"/>
  <c r="AG10" i="76"/>
  <c r="AH10"/>
  <c r="AE10"/>
  <c r="AS8" i="42"/>
  <c r="AG11" i="76"/>
  <c r="AH11"/>
  <c r="AE11"/>
  <c r="AS9" i="42"/>
  <c r="AG12" i="76"/>
  <c r="AH12"/>
  <c r="AE12"/>
  <c r="AS10" i="42"/>
  <c r="AG13" i="76"/>
  <c r="AH13"/>
  <c r="AE13"/>
  <c r="AS11" i="42"/>
  <c r="AG14" i="76"/>
  <c r="AH14"/>
  <c r="AE14"/>
  <c r="AS12" i="42"/>
  <c r="AG15" i="76"/>
  <c r="AH15"/>
  <c r="AE15"/>
  <c r="AS13" i="42"/>
  <c r="AG16" i="76"/>
  <c r="AH16"/>
  <c r="AE16"/>
  <c r="AS14" i="42"/>
  <c r="AG17" i="76"/>
  <c r="AH17"/>
  <c r="AE17"/>
  <c r="AS15" i="42"/>
  <c r="AG18" i="76"/>
  <c r="AH18"/>
  <c r="AE18"/>
  <c r="AS16" i="42"/>
  <c r="AG19" i="76"/>
  <c r="AH19"/>
  <c r="AE19"/>
  <c r="AS17" i="42"/>
  <c r="AG20" i="76"/>
  <c r="AH20"/>
  <c r="AE20"/>
  <c r="AS18" i="42"/>
  <c r="AG21" i="76"/>
  <c r="AH21"/>
  <c r="AE21"/>
  <c r="AS19" i="42"/>
  <c r="AG22" i="76"/>
  <c r="AH22"/>
  <c r="AE22"/>
  <c r="AS20" i="42"/>
  <c r="AG23" i="76"/>
  <c r="AH23"/>
  <c r="AE23"/>
  <c r="AS21" i="42"/>
  <c r="AG24" i="76"/>
  <c r="AH24"/>
  <c r="AE24"/>
  <c r="AS22" i="42"/>
  <c r="AG25" i="76"/>
  <c r="AH25"/>
  <c r="AE25"/>
  <c r="AS23" i="42"/>
  <c r="AG26" i="76"/>
  <c r="AH26"/>
  <c r="AE26"/>
  <c r="AS24" i="42"/>
  <c r="AG27" i="76"/>
  <c r="AH27"/>
  <c r="AE27"/>
  <c r="AS25" i="42"/>
  <c r="AG28" i="76"/>
  <c r="AH28"/>
  <c r="AE28"/>
  <c r="AS26" i="42"/>
  <c r="AG29" i="76"/>
  <c r="AH29"/>
  <c r="AE29"/>
  <c r="AS27" i="42"/>
  <c r="AG30" i="76"/>
  <c r="AH30"/>
  <c r="AE30"/>
  <c r="AS28" i="42"/>
  <c r="AG31" i="76"/>
  <c r="AH31"/>
  <c r="AE31"/>
  <c r="AS29" i="42"/>
  <c r="AG32" i="76"/>
  <c r="AH32"/>
  <c r="AE32"/>
  <c r="AS30" i="42"/>
  <c r="AG33" i="76"/>
  <c r="AH33"/>
  <c r="AE33"/>
  <c r="AS31" i="42"/>
  <c r="AG34" i="76"/>
  <c r="AH34"/>
  <c r="AE34"/>
  <c r="AS32" i="42"/>
  <c r="AG35" i="76"/>
  <c r="AE35"/>
  <c r="AS33" i="42"/>
  <c r="AS34"/>
  <c r="AG4" i="76"/>
  <c r="AH4"/>
  <c r="AE4"/>
  <c r="AG5"/>
  <c r="AH5"/>
  <c r="AE5"/>
  <c r="AG6"/>
  <c r="AH6"/>
  <c r="AE6"/>
  <c r="AE37"/>
  <c r="AS35" i="42"/>
  <c r="AT5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F7" i="76"/>
  <c r="AQ5" i="42"/>
  <c r="AR5"/>
  <c r="AF8" i="76"/>
  <c r="AQ6" i="42"/>
  <c r="AR6"/>
  <c r="AF9" i="76"/>
  <c r="AQ7" i="42"/>
  <c r="AR7"/>
  <c r="AF10" i="76"/>
  <c r="AQ8" i="42"/>
  <c r="AR8"/>
  <c r="AF11" i="76"/>
  <c r="AQ9" i="42"/>
  <c r="AR9"/>
  <c r="AF12" i="76"/>
  <c r="AQ10" i="42"/>
  <c r="AR10"/>
  <c r="AF13" i="76"/>
  <c r="AQ11" i="42"/>
  <c r="AR11"/>
  <c r="AF14" i="76"/>
  <c r="AQ12" i="42"/>
  <c r="AR12"/>
  <c r="AF15" i="76"/>
  <c r="AQ13" i="42"/>
  <c r="AR13"/>
  <c r="AF16" i="76"/>
  <c r="AQ14" i="42"/>
  <c r="AR14"/>
  <c r="AF17" i="76"/>
  <c r="AQ15" i="42"/>
  <c r="AR15"/>
  <c r="AF18" i="76"/>
  <c r="AQ16" i="42"/>
  <c r="AR16"/>
  <c r="AF19" i="76"/>
  <c r="AQ17" i="42"/>
  <c r="AR17"/>
  <c r="AF20" i="76"/>
  <c r="AQ18" i="42"/>
  <c r="AR18"/>
  <c r="AF21" i="76"/>
  <c r="AQ19" i="42"/>
  <c r="AR19"/>
  <c r="AF22" i="76"/>
  <c r="AQ20" i="42"/>
  <c r="AR20"/>
  <c r="AF23" i="76"/>
  <c r="AQ21" i="42"/>
  <c r="AR21"/>
  <c r="AF24" i="76"/>
  <c r="AQ22" i="42"/>
  <c r="AR22"/>
  <c r="AF25" i="76"/>
  <c r="AQ23" i="42"/>
  <c r="AR23"/>
  <c r="AF26" i="76"/>
  <c r="AQ24" i="42"/>
  <c r="AR24"/>
  <c r="AF27" i="76"/>
  <c r="AQ25" i="42"/>
  <c r="AR25"/>
  <c r="AF28" i="76"/>
  <c r="AQ26" i="42"/>
  <c r="AR26"/>
  <c r="AF29" i="76"/>
  <c r="AQ27" i="42"/>
  <c r="AR27"/>
  <c r="AF30" i="76"/>
  <c r="AQ28" i="42"/>
  <c r="AR28"/>
  <c r="AF31" i="76"/>
  <c r="AQ29" i="42"/>
  <c r="AR29"/>
  <c r="AF32" i="76"/>
  <c r="AQ30" i="42"/>
  <c r="AR30"/>
  <c r="AF33" i="76"/>
  <c r="AQ31" i="42"/>
  <c r="AR31"/>
  <c r="AF34" i="76"/>
  <c r="AQ32" i="42"/>
  <c r="AR32"/>
  <c r="C69" i="76"/>
  <c r="AF35"/>
  <c r="AQ33" i="42"/>
  <c r="AR33"/>
  <c r="AR34"/>
  <c r="AR35"/>
  <c r="X4" i="76"/>
  <c r="AP5" i="42"/>
  <c r="X5" i="76"/>
  <c r="AP6" i="42"/>
  <c r="AQ34"/>
  <c r="AF4" i="76"/>
  <c r="AF5"/>
  <c r="AF6"/>
  <c r="AF37"/>
  <c r="AQ35" i="42"/>
  <c r="AO5"/>
  <c r="AO6"/>
  <c r="AM5"/>
  <c r="AN5"/>
  <c r="AM6"/>
  <c r="AN6"/>
  <c r="AM7"/>
  <c r="AN7"/>
  <c r="AM8"/>
  <c r="AN8"/>
  <c r="AM9"/>
  <c r="AN9"/>
  <c r="AM10"/>
  <c r="AN10"/>
  <c r="AM11"/>
  <c r="AN11"/>
  <c r="AM12"/>
  <c r="AN12"/>
  <c r="AM13"/>
  <c r="AN13"/>
  <c r="AM14"/>
  <c r="AN14"/>
  <c r="AM15"/>
  <c r="AN15"/>
  <c r="AM16"/>
  <c r="AN16"/>
  <c r="AM17"/>
  <c r="AN17"/>
  <c r="AM18"/>
  <c r="AN18"/>
  <c r="AM19"/>
  <c r="AN19"/>
  <c r="AM20"/>
  <c r="AN20"/>
  <c r="AM21"/>
  <c r="AN21"/>
  <c r="AM22"/>
  <c r="AN22"/>
  <c r="AM23"/>
  <c r="AN23"/>
  <c r="AM24"/>
  <c r="AM25"/>
  <c r="AM26"/>
  <c r="AM27"/>
  <c r="AM28"/>
  <c r="AM29"/>
  <c r="AM30"/>
  <c r="AM31"/>
  <c r="AM32"/>
  <c r="AM33"/>
  <c r="AM34"/>
  <c r="AM35"/>
  <c r="AA34" i="64"/>
  <c r="Z34"/>
  <c r="Z6"/>
  <c r="Z7"/>
  <c r="Z8"/>
  <c r="Z9"/>
  <c r="Z10"/>
  <c r="Z13"/>
  <c r="Z14"/>
  <c r="Z15"/>
  <c r="Z16"/>
  <c r="Z17"/>
  <c r="Z18"/>
  <c r="Z19"/>
  <c r="Z22"/>
  <c r="Z23"/>
  <c r="Z24"/>
  <c r="Z26"/>
  <c r="Z27"/>
  <c r="Z28"/>
  <c r="Z29"/>
  <c r="Z30"/>
  <c r="Z37"/>
  <c r="Y4"/>
  <c r="AA4"/>
  <c r="Y5"/>
  <c r="AA5"/>
  <c r="O6"/>
  <c r="P6"/>
  <c r="V6"/>
  <c r="Y6"/>
  <c r="AA6"/>
  <c r="O7"/>
  <c r="P7"/>
  <c r="V7"/>
  <c r="Y7"/>
  <c r="AA7"/>
  <c r="O8"/>
  <c r="P8"/>
  <c r="V8"/>
  <c r="Y8"/>
  <c r="AA8"/>
  <c r="O9"/>
  <c r="P9"/>
  <c r="V9"/>
  <c r="Y9"/>
  <c r="AA9"/>
  <c r="O10"/>
  <c r="P10"/>
  <c r="V10"/>
  <c r="Y10"/>
  <c r="AA10"/>
  <c r="Y11"/>
  <c r="AA11"/>
  <c r="Y12"/>
  <c r="AA12"/>
  <c r="O13"/>
  <c r="P13"/>
  <c r="V13"/>
  <c r="Y13"/>
  <c r="AA13"/>
  <c r="O14"/>
  <c r="P14"/>
  <c r="V14"/>
  <c r="Y14"/>
  <c r="AA14"/>
  <c r="O15"/>
  <c r="P15"/>
  <c r="V15"/>
  <c r="Y15"/>
  <c r="AA15"/>
  <c r="O16"/>
  <c r="P16"/>
  <c r="V16"/>
  <c r="Y16"/>
  <c r="AA16"/>
  <c r="O17"/>
  <c r="P17"/>
  <c r="V17"/>
  <c r="Y17"/>
  <c r="AA17"/>
  <c r="O18"/>
  <c r="P18"/>
  <c r="V18"/>
  <c r="Y18"/>
  <c r="AA18"/>
  <c r="O19"/>
  <c r="P19"/>
  <c r="V19"/>
  <c r="Y19"/>
  <c r="AA19"/>
  <c r="Y20"/>
  <c r="AA20"/>
  <c r="Y21"/>
  <c r="AA21"/>
  <c r="O22"/>
  <c r="P22"/>
  <c r="V22"/>
  <c r="Y22"/>
  <c r="AA22"/>
  <c r="O23"/>
  <c r="P23"/>
  <c r="V23"/>
  <c r="Y23"/>
  <c r="AA23"/>
  <c r="O24"/>
  <c r="P24"/>
  <c r="V24"/>
  <c r="Y24"/>
  <c r="AA24"/>
  <c r="Y25"/>
  <c r="AA25"/>
  <c r="O26"/>
  <c r="P26"/>
  <c r="V26"/>
  <c r="Y26"/>
  <c r="AA26"/>
  <c r="O27"/>
  <c r="P27"/>
  <c r="V27"/>
  <c r="Y27"/>
  <c r="AA27"/>
  <c r="V28"/>
  <c r="Y28"/>
  <c r="AA28"/>
  <c r="V29"/>
  <c r="Y29"/>
  <c r="AA29"/>
  <c r="V30"/>
  <c r="Y30"/>
  <c r="AA30"/>
  <c r="Y31"/>
  <c r="AA31"/>
  <c r="Y32"/>
  <c r="AA32"/>
  <c r="Y33"/>
  <c r="AA33"/>
  <c r="AA37"/>
  <c r="Y41"/>
  <c r="AC41"/>
  <c r="D75" i="57"/>
  <c r="D76"/>
  <c r="V4"/>
  <c r="Y4"/>
  <c r="AA4"/>
  <c r="V5"/>
  <c r="Y5"/>
  <c r="AA5"/>
  <c r="V6"/>
  <c r="Y6"/>
  <c r="AA6"/>
  <c r="V7"/>
  <c r="Y7"/>
  <c r="AA7"/>
  <c r="Y8"/>
  <c r="AA8"/>
  <c r="Y9"/>
  <c r="AA9"/>
  <c r="V10"/>
  <c r="Y10"/>
  <c r="AA10"/>
  <c r="V11"/>
  <c r="Y11"/>
  <c r="AA11"/>
  <c r="V12"/>
  <c r="Y12"/>
  <c r="AA12"/>
  <c r="V13"/>
  <c r="Y13"/>
  <c r="AA13"/>
  <c r="V14"/>
  <c r="Y14"/>
  <c r="AA14"/>
  <c r="V15"/>
  <c r="Y15"/>
  <c r="AA15"/>
  <c r="Y16"/>
  <c r="AA16"/>
  <c r="V17"/>
  <c r="Y17"/>
  <c r="AA17"/>
  <c r="V18"/>
  <c r="Y18"/>
  <c r="AA18"/>
  <c r="V19"/>
  <c r="Y19"/>
  <c r="AA19"/>
  <c r="V20"/>
  <c r="Y20"/>
  <c r="AA20"/>
  <c r="V21"/>
  <c r="Y21"/>
  <c r="AA21"/>
  <c r="Y22"/>
  <c r="AA22"/>
  <c r="Y23"/>
  <c r="AA23"/>
  <c r="V24"/>
  <c r="Y24"/>
  <c r="AA24"/>
  <c r="V25"/>
  <c r="Y25"/>
  <c r="AA25"/>
  <c r="V26"/>
  <c r="Y26"/>
  <c r="AA26"/>
  <c r="V27"/>
  <c r="Y27"/>
  <c r="AA27"/>
  <c r="V28"/>
  <c r="Y28"/>
  <c r="AA28"/>
  <c r="V29"/>
  <c r="Y29"/>
  <c r="AA29"/>
  <c r="Y30"/>
  <c r="AA30"/>
  <c r="Y31"/>
  <c r="AA31"/>
  <c r="Y32"/>
  <c r="AA32"/>
  <c r="Y33"/>
  <c r="AA33"/>
  <c r="V34"/>
  <c r="Y34"/>
  <c r="AA34"/>
  <c r="AA37"/>
  <c r="Y41"/>
  <c r="AE41"/>
  <c r="D75" i="58"/>
  <c r="D76"/>
  <c r="V4"/>
  <c r="Y4"/>
  <c r="AA4"/>
  <c r="V5"/>
  <c r="Y5"/>
  <c r="AA5"/>
  <c r="Y6"/>
  <c r="AA6"/>
  <c r="V7"/>
  <c r="Y7"/>
  <c r="AA7"/>
  <c r="V8"/>
  <c r="Y8"/>
  <c r="AA8"/>
  <c r="V9"/>
  <c r="Y9"/>
  <c r="AA9"/>
  <c r="V10"/>
  <c r="Y10"/>
  <c r="AA10"/>
  <c r="V11"/>
  <c r="Y11"/>
  <c r="AA11"/>
  <c r="Y12"/>
  <c r="AA12"/>
  <c r="Y13"/>
  <c r="AA13"/>
  <c r="V14"/>
  <c r="Y14"/>
  <c r="AA14"/>
  <c r="V15"/>
  <c r="Y15"/>
  <c r="AA15"/>
  <c r="V16"/>
  <c r="Y16"/>
  <c r="AA16"/>
  <c r="Y17"/>
  <c r="AA17"/>
  <c r="V18"/>
  <c r="Y18"/>
  <c r="AA18"/>
  <c r="Y19"/>
  <c r="AA19"/>
  <c r="Y20"/>
  <c r="AA20"/>
  <c r="V21"/>
  <c r="Y21"/>
  <c r="AA21"/>
  <c r="V22"/>
  <c r="Y22"/>
  <c r="AA22"/>
  <c r="V23"/>
  <c r="Y23"/>
  <c r="AA23"/>
  <c r="V24"/>
  <c r="Y24"/>
  <c r="AA24"/>
  <c r="V25"/>
  <c r="Y25"/>
  <c r="AA25"/>
  <c r="Y26"/>
  <c r="AA26"/>
  <c r="Y27"/>
  <c r="AA27"/>
  <c r="Y28"/>
  <c r="AA28"/>
  <c r="Y29"/>
  <c r="AA29"/>
  <c r="Y30"/>
  <c r="AA30"/>
  <c r="Y31"/>
  <c r="AA31"/>
  <c r="Y32"/>
  <c r="AA32"/>
  <c r="Y33"/>
  <c r="AA33"/>
  <c r="Y34"/>
  <c r="AA34"/>
  <c r="AA37"/>
  <c r="Y41"/>
  <c r="AE41"/>
  <c r="Y4" i="59"/>
  <c r="AA4"/>
  <c r="Y5"/>
  <c r="AA5"/>
  <c r="Y6"/>
  <c r="AA6"/>
  <c r="Y7"/>
  <c r="AA7"/>
  <c r="Y8"/>
  <c r="AA8"/>
  <c r="Y9"/>
  <c r="AA9"/>
  <c r="Y10"/>
  <c r="AA10"/>
  <c r="Y11"/>
  <c r="AA11"/>
  <c r="D75"/>
  <c r="D76"/>
  <c r="V12"/>
  <c r="Y12"/>
  <c r="AA12"/>
  <c r="V13"/>
  <c r="Y13"/>
  <c r="AA13"/>
  <c r="V14"/>
  <c r="Y14"/>
  <c r="AA14"/>
  <c r="V15"/>
  <c r="Y15"/>
  <c r="AA15"/>
  <c r="Y16"/>
  <c r="AA16"/>
  <c r="Y17"/>
  <c r="AA17"/>
  <c r="Y18"/>
  <c r="AA18"/>
  <c r="V19"/>
  <c r="Y19"/>
  <c r="AA19"/>
  <c r="V20"/>
  <c r="Y20"/>
  <c r="AA20"/>
  <c r="V21"/>
  <c r="Y21"/>
  <c r="AA21"/>
  <c r="V22"/>
  <c r="Y22"/>
  <c r="AA22"/>
  <c r="Y23"/>
  <c r="AA23"/>
  <c r="Y24"/>
  <c r="AA24"/>
  <c r="Y25"/>
  <c r="AA25"/>
  <c r="V26"/>
  <c r="Y26"/>
  <c r="AA26"/>
  <c r="V27"/>
  <c r="Y27"/>
  <c r="AA27"/>
  <c r="V28"/>
  <c r="Y28"/>
  <c r="AA28"/>
  <c r="V29"/>
  <c r="Y29"/>
  <c r="AA29"/>
  <c r="V30"/>
  <c r="Y30"/>
  <c r="AA30"/>
  <c r="Y31"/>
  <c r="AA31"/>
  <c r="V32"/>
  <c r="Y32"/>
  <c r="AA32"/>
  <c r="V33"/>
  <c r="Y33"/>
  <c r="AA33"/>
  <c r="AA37"/>
  <c r="Y41"/>
  <c r="AE41"/>
  <c r="D75" i="60"/>
  <c r="D76"/>
  <c r="V4"/>
  <c r="Y4"/>
  <c r="AA4"/>
  <c r="V5"/>
  <c r="Y5"/>
  <c r="AA5"/>
  <c r="V6"/>
  <c r="Y6"/>
  <c r="AA6"/>
  <c r="Y7"/>
  <c r="AA7"/>
  <c r="Y8"/>
  <c r="AA8"/>
  <c r="V9"/>
  <c r="Y9"/>
  <c r="AA9"/>
  <c r="V10"/>
  <c r="Y10"/>
  <c r="AA10"/>
  <c r="V11"/>
  <c r="Y11"/>
  <c r="AA11"/>
  <c r="V12"/>
  <c r="Y12"/>
  <c r="AA12"/>
  <c r="V13"/>
  <c r="Y13"/>
  <c r="AA13"/>
  <c r="Y14"/>
  <c r="AA14"/>
  <c r="Y15"/>
  <c r="AA15"/>
  <c r="V16"/>
  <c r="Y16"/>
  <c r="AA16"/>
  <c r="V17"/>
  <c r="Y17"/>
  <c r="AA17"/>
  <c r="V18"/>
  <c r="Y18"/>
  <c r="AA18"/>
  <c r="V19"/>
  <c r="Y19"/>
  <c r="AA19"/>
  <c r="V20"/>
  <c r="Y20"/>
  <c r="AA20"/>
  <c r="V21"/>
  <c r="Y21"/>
  <c r="AA21"/>
  <c r="Y22"/>
  <c r="AA22"/>
  <c r="Y23"/>
  <c r="AA23"/>
  <c r="V24"/>
  <c r="Y24"/>
  <c r="AA24"/>
  <c r="V25"/>
  <c r="Y25"/>
  <c r="AA25"/>
  <c r="V26"/>
  <c r="Y26"/>
  <c r="AA26"/>
  <c r="V27"/>
  <c r="Y27"/>
  <c r="AA27"/>
  <c r="V28"/>
  <c r="Y28"/>
  <c r="AA28"/>
  <c r="Y29"/>
  <c r="AA29"/>
  <c r="V30"/>
  <c r="Y30"/>
  <c r="AA30"/>
  <c r="V31"/>
  <c r="Y31"/>
  <c r="AA31"/>
  <c r="V32"/>
  <c r="Y32"/>
  <c r="AA32"/>
  <c r="V33"/>
  <c r="Y33"/>
  <c r="AA33"/>
  <c r="Y34"/>
  <c r="AA34"/>
  <c r="AA37"/>
  <c r="Y41"/>
  <c r="AE41"/>
  <c r="Y4" i="61"/>
  <c r="AA4"/>
  <c r="Y5"/>
  <c r="AA5"/>
  <c r="D75"/>
  <c r="D76"/>
  <c r="V6"/>
  <c r="Y6"/>
  <c r="AA6"/>
  <c r="V7"/>
  <c r="Y7"/>
  <c r="AA7"/>
  <c r="V8"/>
  <c r="Y8"/>
  <c r="AA8"/>
  <c r="V9"/>
  <c r="Y9"/>
  <c r="AA9"/>
  <c r="V10"/>
  <c r="Y10"/>
  <c r="AA10"/>
  <c r="Y11"/>
  <c r="AA11"/>
  <c r="Y12"/>
  <c r="AA12"/>
  <c r="V13"/>
  <c r="Y13"/>
  <c r="AA13"/>
  <c r="Y14"/>
  <c r="AA14"/>
  <c r="V15"/>
  <c r="Y15"/>
  <c r="AA15"/>
  <c r="V16"/>
  <c r="Y16"/>
  <c r="AA16"/>
  <c r="V17"/>
  <c r="Y17"/>
  <c r="AA17"/>
  <c r="Y18"/>
  <c r="AA18"/>
  <c r="Y19"/>
  <c r="AA19"/>
  <c r="Y20"/>
  <c r="AA20"/>
  <c r="V21"/>
  <c r="Y21"/>
  <c r="AA21"/>
  <c r="V22"/>
  <c r="Y22"/>
  <c r="AA22"/>
  <c r="V23"/>
  <c r="Y23"/>
  <c r="AA23"/>
  <c r="V24"/>
  <c r="Y24"/>
  <c r="AA24"/>
  <c r="V25"/>
  <c r="Y25"/>
  <c r="AA25"/>
  <c r="Y26"/>
  <c r="AA26"/>
  <c r="Y27"/>
  <c r="AA27"/>
  <c r="V28"/>
  <c r="Y28"/>
  <c r="AA28"/>
  <c r="V29"/>
  <c r="Y29"/>
  <c r="AA29"/>
  <c r="V30"/>
  <c r="Y30"/>
  <c r="AA30"/>
  <c r="V31"/>
  <c r="Y31"/>
  <c r="AA31"/>
  <c r="V32"/>
  <c r="Y32"/>
  <c r="AA32"/>
  <c r="Y33"/>
  <c r="AA33"/>
  <c r="AA37"/>
  <c r="Y41"/>
  <c r="AE41"/>
  <c r="D75" i="62"/>
  <c r="D76"/>
  <c r="V4"/>
  <c r="Y4"/>
  <c r="AA4"/>
  <c r="V5"/>
  <c r="Y5"/>
  <c r="AA5"/>
  <c r="V6"/>
  <c r="Y6"/>
  <c r="AA6"/>
  <c r="V7"/>
  <c r="Y7"/>
  <c r="AA7"/>
  <c r="V8"/>
  <c r="Y8"/>
  <c r="AA8"/>
  <c r="Y9"/>
  <c r="AA9"/>
  <c r="Y10"/>
  <c r="AA10"/>
  <c r="V11"/>
  <c r="Y11"/>
  <c r="AA11"/>
  <c r="Y12"/>
  <c r="AA12"/>
  <c r="Y13"/>
  <c r="AA13"/>
  <c r="Y14"/>
  <c r="AA14"/>
  <c r="Y15"/>
  <c r="AA15"/>
  <c r="Y16"/>
  <c r="AA16"/>
  <c r="Y17"/>
  <c r="AA17"/>
  <c r="Y18"/>
  <c r="AA18"/>
  <c r="Y19"/>
  <c r="AA19"/>
  <c r="Y20"/>
  <c r="AA20"/>
  <c r="Y21"/>
  <c r="AA21"/>
  <c r="Y22"/>
  <c r="AA22"/>
  <c r="Y23"/>
  <c r="AA23"/>
  <c r="Y24"/>
  <c r="AA24"/>
  <c r="Y25"/>
  <c r="AA25"/>
  <c r="Y26"/>
  <c r="AA26"/>
  <c r="Y27"/>
  <c r="AA27"/>
  <c r="Y28"/>
  <c r="AA28"/>
  <c r="Y29"/>
  <c r="AA29"/>
  <c r="Y30"/>
  <c r="AA30"/>
  <c r="Y31"/>
  <c r="AA31"/>
  <c r="Y32"/>
  <c r="AA32"/>
  <c r="V33"/>
  <c r="Y33"/>
  <c r="AA33"/>
  <c r="Y34"/>
  <c r="AA34"/>
  <c r="AA37"/>
  <c r="Y41"/>
  <c r="AE41"/>
  <c r="D75" i="63"/>
  <c r="D76"/>
  <c r="V4"/>
  <c r="Y4"/>
  <c r="AA4"/>
  <c r="V5"/>
  <c r="Y5"/>
  <c r="AA5"/>
  <c r="O6"/>
  <c r="P6"/>
  <c r="V6"/>
  <c r="Y6"/>
  <c r="AA6"/>
  <c r="Y7"/>
  <c r="AA7"/>
  <c r="Y8"/>
  <c r="AA8"/>
  <c r="V9"/>
  <c r="Y9"/>
  <c r="AA9"/>
  <c r="V10"/>
  <c r="Y10"/>
  <c r="AA10"/>
  <c r="Y11"/>
  <c r="AA11"/>
  <c r="Y12"/>
  <c r="AA12"/>
  <c r="P13"/>
  <c r="V13"/>
  <c r="Y13"/>
  <c r="AA13"/>
  <c r="Y14"/>
  <c r="AA14"/>
  <c r="Y15"/>
  <c r="AA15"/>
  <c r="Y16"/>
  <c r="AA16"/>
  <c r="Y17"/>
  <c r="AA17"/>
  <c r="Y18"/>
  <c r="AA18"/>
  <c r="V19"/>
  <c r="Y19"/>
  <c r="AA19"/>
  <c r="P20"/>
  <c r="V20"/>
  <c r="Y20"/>
  <c r="AA20"/>
  <c r="Y21"/>
  <c r="AA21"/>
  <c r="O22"/>
  <c r="P22"/>
  <c r="V22"/>
  <c r="Y22"/>
  <c r="AA22"/>
  <c r="Y23"/>
  <c r="AA23"/>
  <c r="O24"/>
  <c r="P24"/>
  <c r="V24"/>
  <c r="Y24"/>
  <c r="AA24"/>
  <c r="O25"/>
  <c r="P25"/>
  <c r="V25"/>
  <c r="Y25"/>
  <c r="AA25"/>
  <c r="Y26"/>
  <c r="AA26"/>
  <c r="Y27"/>
  <c r="AA27"/>
  <c r="Y28"/>
  <c r="AA28"/>
  <c r="V29"/>
  <c r="Y29"/>
  <c r="AA29"/>
  <c r="V30"/>
  <c r="Y30"/>
  <c r="AA30"/>
  <c r="V31"/>
  <c r="Y31"/>
  <c r="AA31"/>
  <c r="V32"/>
  <c r="Y32"/>
  <c r="AA32"/>
  <c r="V33"/>
  <c r="Y33"/>
  <c r="AA33"/>
  <c r="Y34"/>
  <c r="AA34"/>
  <c r="Z6"/>
  <c r="Z24"/>
  <c r="Z25"/>
  <c r="Z37"/>
  <c r="AA37"/>
  <c r="Y41"/>
  <c r="AE41"/>
  <c r="AE41" i="64"/>
  <c r="Y19" i="65"/>
  <c r="AA19"/>
  <c r="Z19"/>
  <c r="Z20"/>
  <c r="Z21"/>
  <c r="Z22"/>
  <c r="Z23"/>
  <c r="Z24"/>
  <c r="Z5"/>
  <c r="Z6"/>
  <c r="Z7"/>
  <c r="Z8"/>
  <c r="Z9"/>
  <c r="Z25"/>
  <c r="Z26"/>
  <c r="Z27"/>
  <c r="Z28"/>
  <c r="Z29"/>
  <c r="Z37"/>
  <c r="Y20"/>
  <c r="AA20"/>
  <c r="Y21"/>
  <c r="AA21"/>
  <c r="Y22"/>
  <c r="AA22"/>
  <c r="Y23"/>
  <c r="AA23"/>
  <c r="O5"/>
  <c r="P5"/>
  <c r="V5"/>
  <c r="Y5"/>
  <c r="AA5"/>
  <c r="O6"/>
  <c r="P6"/>
  <c r="V6"/>
  <c r="Y6"/>
  <c r="AA6"/>
  <c r="O7"/>
  <c r="P7"/>
  <c r="V7"/>
  <c r="Y7"/>
  <c r="AA7"/>
  <c r="O8"/>
  <c r="P8"/>
  <c r="V8"/>
  <c r="Y8"/>
  <c r="AA8"/>
  <c r="Y9"/>
  <c r="AA9"/>
  <c r="V25"/>
  <c r="Y25"/>
  <c r="AA25"/>
  <c r="O26"/>
  <c r="P26"/>
  <c r="V26"/>
  <c r="Y26"/>
  <c r="AA26"/>
  <c r="O27"/>
  <c r="P27"/>
  <c r="V27"/>
  <c r="Y27"/>
  <c r="AA27"/>
  <c r="O28"/>
  <c r="P28"/>
  <c r="V28"/>
  <c r="Y28"/>
  <c r="AA28"/>
  <c r="O29"/>
  <c r="P29"/>
  <c r="V29"/>
  <c r="Y29"/>
  <c r="AA29"/>
  <c r="AA37"/>
  <c r="Y41"/>
  <c r="AE41"/>
  <c r="Y4" i="66"/>
  <c r="AA4"/>
  <c r="Y5"/>
  <c r="AA5"/>
  <c r="Y6"/>
  <c r="AA6"/>
  <c r="Y7"/>
  <c r="AA7"/>
  <c r="Y8"/>
  <c r="AA8"/>
  <c r="Y9"/>
  <c r="AA9"/>
  <c r="Y10"/>
  <c r="AA10"/>
  <c r="Y11"/>
  <c r="AA11"/>
  <c r="Y12"/>
  <c r="AA12"/>
  <c r="Y13"/>
  <c r="AA13"/>
  <c r="Y14"/>
  <c r="AA14"/>
  <c r="Y15"/>
  <c r="AA15"/>
  <c r="Y16"/>
  <c r="AA16"/>
  <c r="Y17"/>
  <c r="AA17"/>
  <c r="Y18"/>
  <c r="AA18"/>
  <c r="Y19"/>
  <c r="AA19"/>
  <c r="Y20"/>
  <c r="AA20"/>
  <c r="Y21"/>
  <c r="AA21"/>
  <c r="Y22"/>
  <c r="AA22"/>
  <c r="Y23"/>
  <c r="AA23"/>
  <c r="Y24"/>
  <c r="AA24"/>
  <c r="Y25"/>
  <c r="AA25"/>
  <c r="Y26"/>
  <c r="AA26"/>
  <c r="Y27"/>
  <c r="AA27"/>
  <c r="Y28"/>
  <c r="AA28"/>
  <c r="Y29"/>
  <c r="AA29"/>
  <c r="Y30"/>
  <c r="AA30"/>
  <c r="Y31"/>
  <c r="AA31"/>
  <c r="Y32"/>
  <c r="AA32"/>
  <c r="Y33"/>
  <c r="AA33"/>
  <c r="AA37"/>
  <c r="Y41"/>
  <c r="AE41"/>
  <c r="D75" i="76"/>
  <c r="D76"/>
  <c r="V4"/>
  <c r="Y4"/>
  <c r="AA4"/>
  <c r="V5"/>
  <c r="Y5"/>
  <c r="AA5"/>
  <c r="Y6"/>
  <c r="AA6"/>
  <c r="Y7"/>
  <c r="AA7"/>
  <c r="Y8"/>
  <c r="AA8"/>
  <c r="Y9"/>
  <c r="AA9"/>
  <c r="Y10"/>
  <c r="AA10"/>
  <c r="Y11"/>
  <c r="AA11"/>
  <c r="Y12"/>
  <c r="AA12"/>
  <c r="Y13"/>
  <c r="AA13"/>
  <c r="Y14"/>
  <c r="AA14"/>
  <c r="Y15"/>
  <c r="AA15"/>
  <c r="Y16"/>
  <c r="AA16"/>
  <c r="Y17"/>
  <c r="AA17"/>
  <c r="Y18"/>
  <c r="AA18"/>
  <c r="Y19"/>
  <c r="AA19"/>
  <c r="Y20"/>
  <c r="AA20"/>
  <c r="Y21"/>
  <c r="AA21"/>
  <c r="Y22"/>
  <c r="AA22"/>
  <c r="V23"/>
  <c r="Y23"/>
  <c r="AA23"/>
  <c r="V24"/>
  <c r="Y24"/>
  <c r="AA24"/>
  <c r="V25"/>
  <c r="Y25"/>
  <c r="AA25"/>
  <c r="V26"/>
  <c r="Y26"/>
  <c r="AA26"/>
  <c r="Y27"/>
  <c r="AA27"/>
  <c r="Y28"/>
  <c r="AA28"/>
  <c r="V29"/>
  <c r="Y29"/>
  <c r="AA29"/>
  <c r="V30"/>
  <c r="Y30"/>
  <c r="AA30"/>
  <c r="V31"/>
  <c r="Y31"/>
  <c r="AA31"/>
  <c r="Y32"/>
  <c r="AA32"/>
  <c r="V33"/>
  <c r="Y33"/>
  <c r="AA33"/>
  <c r="Y34"/>
  <c r="AA34"/>
  <c r="AA37"/>
  <c r="Y41"/>
  <c r="AE41"/>
  <c r="AC41"/>
  <c r="X5" i="56"/>
  <c r="AB35" i="76"/>
  <c r="AB5" i="56"/>
  <c r="AB6"/>
  <c r="AB7"/>
  <c r="AB8"/>
  <c r="AB9"/>
  <c r="AB4"/>
  <c r="AB10"/>
  <c r="C61" i="63"/>
  <c r="C61" i="74"/>
  <c r="C72" i="76"/>
  <c r="C71"/>
  <c r="C70"/>
  <c r="C68"/>
  <c r="C62"/>
  <c r="M45"/>
  <c r="O4"/>
  <c r="P4"/>
  <c r="U4"/>
  <c r="W4"/>
  <c r="O5"/>
  <c r="P5"/>
  <c r="U5"/>
  <c r="W5"/>
  <c r="O30"/>
  <c r="P30"/>
  <c r="U30"/>
  <c r="W30"/>
  <c r="O31"/>
  <c r="P31"/>
  <c r="U31"/>
  <c r="W31"/>
  <c r="U32"/>
  <c r="W32"/>
  <c r="O33"/>
  <c r="P33"/>
  <c r="U33"/>
  <c r="W33"/>
  <c r="O29"/>
  <c r="P29"/>
  <c r="U29"/>
  <c r="W29"/>
  <c r="L45"/>
  <c r="M44"/>
  <c r="O23"/>
  <c r="P23"/>
  <c r="U23"/>
  <c r="W23"/>
  <c r="O24"/>
  <c r="P24"/>
  <c r="U24"/>
  <c r="W24"/>
  <c r="O25"/>
  <c r="P25"/>
  <c r="U25"/>
  <c r="W25"/>
  <c r="O26"/>
  <c r="P26"/>
  <c r="U26"/>
  <c r="W26"/>
  <c r="L44"/>
  <c r="M43"/>
  <c r="L43"/>
  <c r="D43"/>
  <c r="D42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7"/>
  <c r="O34" i="57"/>
  <c r="P34"/>
  <c r="Z34"/>
  <c r="Z37"/>
  <c r="AC41"/>
  <c r="H4" i="76"/>
  <c r="I4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U6"/>
  <c r="W6"/>
  <c r="U7"/>
  <c r="W7"/>
  <c r="U8"/>
  <c r="W8"/>
  <c r="U9"/>
  <c r="W9"/>
  <c r="U10"/>
  <c r="W10"/>
  <c r="U11"/>
  <c r="W11"/>
  <c r="U12"/>
  <c r="W12"/>
  <c r="U13"/>
  <c r="W13"/>
  <c r="U14"/>
  <c r="W14"/>
  <c r="U15"/>
  <c r="W15"/>
  <c r="U16"/>
  <c r="W16"/>
  <c r="U17"/>
  <c r="W17"/>
  <c r="U18"/>
  <c r="W18"/>
  <c r="U19"/>
  <c r="W19"/>
  <c r="U20"/>
  <c r="W20"/>
  <c r="U21"/>
  <c r="W21"/>
  <c r="U22"/>
  <c r="W22"/>
  <c r="U27"/>
  <c r="W27"/>
  <c r="U28"/>
  <c r="W28"/>
  <c r="U34"/>
  <c r="W34"/>
  <c r="D4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D39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7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7"/>
  <c r="AH37"/>
  <c r="AG37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7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7"/>
  <c r="Y37"/>
  <c r="X37"/>
  <c r="W3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D37"/>
  <c r="X35"/>
  <c r="V35"/>
  <c r="F35"/>
  <c r="A35"/>
  <c r="B35"/>
  <c r="AJ34"/>
  <c r="AI34"/>
  <c r="AD34"/>
  <c r="AC34"/>
  <c r="AB34"/>
  <c r="O34"/>
  <c r="P34"/>
  <c r="V34"/>
  <c r="T34"/>
  <c r="R34"/>
  <c r="Q34"/>
  <c r="A34"/>
  <c r="B34"/>
  <c r="AB33"/>
  <c r="T33"/>
  <c r="R33"/>
  <c r="Q33"/>
  <c r="A33"/>
  <c r="B33"/>
  <c r="AB32"/>
  <c r="O32"/>
  <c r="P32"/>
  <c r="V32"/>
  <c r="T32"/>
  <c r="R32"/>
  <c r="Q32"/>
  <c r="A32"/>
  <c r="B32"/>
  <c r="AB31"/>
  <c r="T31"/>
  <c r="R31"/>
  <c r="Q31"/>
  <c r="A31"/>
  <c r="B31"/>
  <c r="AB30"/>
  <c r="T30"/>
  <c r="R30"/>
  <c r="Q30"/>
  <c r="A30"/>
  <c r="N49" i="56"/>
  <c r="L49"/>
  <c r="Y49"/>
  <c r="N50"/>
  <c r="L50"/>
  <c r="Y50"/>
  <c r="N51"/>
  <c r="L51"/>
  <c r="Y51"/>
  <c r="N52"/>
  <c r="L52"/>
  <c r="M49"/>
  <c r="M50"/>
  <c r="M51"/>
  <c r="M52"/>
  <c r="Y52"/>
  <c r="N53"/>
  <c r="L53"/>
  <c r="M53"/>
  <c r="Y53"/>
  <c r="N54"/>
  <c r="L54"/>
  <c r="M54"/>
  <c r="Y54"/>
  <c r="N55"/>
  <c r="L55"/>
  <c r="M55"/>
  <c r="Y55"/>
  <c r="N56"/>
  <c r="L56"/>
  <c r="M56"/>
  <c r="Y56"/>
  <c r="N57"/>
  <c r="L57"/>
  <c r="M57"/>
  <c r="Y57"/>
  <c r="N58"/>
  <c r="L58"/>
  <c r="M58"/>
  <c r="Y58"/>
  <c r="N59"/>
  <c r="L59"/>
  <c r="M59"/>
  <c r="Y59"/>
  <c r="N60"/>
  <c r="L60"/>
  <c r="M60"/>
  <c r="Y60"/>
  <c r="N61"/>
  <c r="L61"/>
  <c r="M61"/>
  <c r="Y61"/>
  <c r="N62"/>
  <c r="L62"/>
  <c r="M62"/>
  <c r="Y62"/>
  <c r="N63"/>
  <c r="L63"/>
  <c r="M63"/>
  <c r="Y63"/>
  <c r="N64"/>
  <c r="L64"/>
  <c r="M64"/>
  <c r="Y64"/>
  <c r="N65"/>
  <c r="L65"/>
  <c r="M65"/>
  <c r="Y65"/>
  <c r="N66"/>
  <c r="L66"/>
  <c r="M66"/>
  <c r="Y66"/>
  <c r="N67"/>
  <c r="L67"/>
  <c r="M67"/>
  <c r="Y67"/>
  <c r="N68"/>
  <c r="L68"/>
  <c r="M68"/>
  <c r="Y68"/>
  <c r="N69"/>
  <c r="L69"/>
  <c r="M69"/>
  <c r="Y69"/>
  <c r="N70"/>
  <c r="L70"/>
  <c r="M70"/>
  <c r="Y70"/>
  <c r="N71"/>
  <c r="L71"/>
  <c r="M71"/>
  <c r="Y71"/>
  <c r="N72"/>
  <c r="L72"/>
  <c r="M72"/>
  <c r="Y72"/>
  <c r="N73"/>
  <c r="L73"/>
  <c r="M73"/>
  <c r="Y73"/>
  <c r="N74"/>
  <c r="L74"/>
  <c r="M74"/>
  <c r="Y74"/>
  <c r="N75"/>
  <c r="L75"/>
  <c r="M75"/>
  <c r="Y75"/>
  <c r="N76"/>
  <c r="L76"/>
  <c r="M76"/>
  <c r="Y76"/>
  <c r="N77"/>
  <c r="L77"/>
  <c r="M77"/>
  <c r="Y77"/>
  <c r="N78"/>
  <c r="L78"/>
  <c r="M78"/>
  <c r="Y78"/>
  <c r="N79"/>
  <c r="L79"/>
  <c r="M79"/>
  <c r="Y79"/>
  <c r="N80"/>
  <c r="L80"/>
  <c r="M80"/>
  <c r="Y80"/>
  <c r="N81"/>
  <c r="L81"/>
  <c r="M81"/>
  <c r="Y81"/>
  <c r="N82"/>
  <c r="L82"/>
  <c r="M82"/>
  <c r="Y82"/>
  <c r="N83"/>
  <c r="L83"/>
  <c r="M83"/>
  <c r="Y83"/>
  <c r="N84"/>
  <c r="L84"/>
  <c r="M84"/>
  <c r="Y84"/>
  <c r="N85"/>
  <c r="L85"/>
  <c r="M85"/>
  <c r="Y85"/>
  <c r="N86"/>
  <c r="L86"/>
  <c r="M86"/>
  <c r="Y86"/>
  <c r="N87"/>
  <c r="L87"/>
  <c r="M87"/>
  <c r="Y87"/>
  <c r="N88"/>
  <c r="L88"/>
  <c r="M88"/>
  <c r="Y88"/>
  <c r="N89"/>
  <c r="L89"/>
  <c r="M89"/>
  <c r="Y89"/>
  <c r="N90"/>
  <c r="L90"/>
  <c r="M90"/>
  <c r="Y90"/>
  <c r="N91"/>
  <c r="L91"/>
  <c r="M91"/>
  <c r="Y91"/>
  <c r="N92"/>
  <c r="L92"/>
  <c r="M92"/>
  <c r="Y92"/>
  <c r="N93"/>
  <c r="L93"/>
  <c r="M93"/>
  <c r="Y93"/>
  <c r="N94"/>
  <c r="L94"/>
  <c r="M94"/>
  <c r="Y94"/>
  <c r="N95"/>
  <c r="L95"/>
  <c r="M95"/>
  <c r="Y95"/>
  <c r="N96"/>
  <c r="L96"/>
  <c r="M96"/>
  <c r="Y96"/>
  <c r="N97"/>
  <c r="L97"/>
  <c r="M97"/>
  <c r="Y97"/>
  <c r="N98"/>
  <c r="L98"/>
  <c r="M98"/>
  <c r="Y98"/>
  <c r="N99"/>
  <c r="L99"/>
  <c r="M99"/>
  <c r="Y99"/>
  <c r="N100"/>
  <c r="L100"/>
  <c r="M100"/>
  <c r="Y100"/>
  <c r="N101"/>
  <c r="L101"/>
  <c r="M101"/>
  <c r="B30" i="76"/>
  <c r="AB29"/>
  <c r="T29"/>
  <c r="R29"/>
  <c r="Q29"/>
  <c r="A29"/>
  <c r="B29"/>
  <c r="AB28"/>
  <c r="O28"/>
  <c r="P28"/>
  <c r="V28"/>
  <c r="T28"/>
  <c r="R28"/>
  <c r="Q28"/>
  <c r="A28"/>
  <c r="B28"/>
  <c r="AB27"/>
  <c r="O27"/>
  <c r="P27"/>
  <c r="V27"/>
  <c r="T27"/>
  <c r="R27"/>
  <c r="Q27"/>
  <c r="A27"/>
  <c r="B27"/>
  <c r="AB26"/>
  <c r="T26"/>
  <c r="R26"/>
  <c r="Q26"/>
  <c r="A26"/>
  <c r="B26"/>
  <c r="AB25"/>
  <c r="T25"/>
  <c r="R25"/>
  <c r="Q25"/>
  <c r="A25"/>
  <c r="B25"/>
  <c r="AB24"/>
  <c r="T24"/>
  <c r="R24"/>
  <c r="Q24"/>
  <c r="A24"/>
  <c r="B24"/>
  <c r="AB23"/>
  <c r="T23"/>
  <c r="R23"/>
  <c r="Q23"/>
  <c r="A23"/>
  <c r="B23"/>
  <c r="AB22"/>
  <c r="O22"/>
  <c r="P22"/>
  <c r="V22"/>
  <c r="T22"/>
  <c r="R22"/>
  <c r="Q22"/>
  <c r="A22"/>
  <c r="B22"/>
  <c r="AB21"/>
  <c r="O21"/>
  <c r="P21"/>
  <c r="V21"/>
  <c r="T21"/>
  <c r="R21"/>
  <c r="Q21"/>
  <c r="A21"/>
  <c r="B21"/>
  <c r="AB20"/>
  <c r="O20"/>
  <c r="P20"/>
  <c r="V20"/>
  <c r="T20"/>
  <c r="R20"/>
  <c r="Q20"/>
  <c r="A20"/>
  <c r="B20"/>
  <c r="AB19"/>
  <c r="O19"/>
  <c r="P19"/>
  <c r="V19"/>
  <c r="T19"/>
  <c r="R19"/>
  <c r="Q19"/>
  <c r="A19"/>
  <c r="B19"/>
  <c r="AB18"/>
  <c r="O18"/>
  <c r="P18"/>
  <c r="V18"/>
  <c r="T18"/>
  <c r="R18"/>
  <c r="Q18"/>
  <c r="A18"/>
  <c r="B18"/>
  <c r="AB17"/>
  <c r="O17"/>
  <c r="P17"/>
  <c r="V17"/>
  <c r="T17"/>
  <c r="R17"/>
  <c r="Q17"/>
  <c r="A17"/>
  <c r="B17"/>
  <c r="AB16"/>
  <c r="O16"/>
  <c r="P16"/>
  <c r="V16"/>
  <c r="T16"/>
  <c r="R16"/>
  <c r="Q16"/>
  <c r="A16"/>
  <c r="B16"/>
  <c r="AB15"/>
  <c r="O15"/>
  <c r="P15"/>
  <c r="V15"/>
  <c r="T15"/>
  <c r="R15"/>
  <c r="Q15"/>
  <c r="A15"/>
  <c r="B15"/>
  <c r="AB14"/>
  <c r="O14"/>
  <c r="P14"/>
  <c r="V14"/>
  <c r="T14"/>
  <c r="R14"/>
  <c r="Q14"/>
  <c r="A14"/>
  <c r="B14"/>
  <c r="AB13"/>
  <c r="O13"/>
  <c r="P13"/>
  <c r="V13"/>
  <c r="T13"/>
  <c r="R13"/>
  <c r="Q13"/>
  <c r="A13"/>
  <c r="B13"/>
  <c r="AB12"/>
  <c r="O12"/>
  <c r="P12"/>
  <c r="V12"/>
  <c r="T12"/>
  <c r="R12"/>
  <c r="Q12"/>
  <c r="A12"/>
  <c r="B12"/>
  <c r="AB11"/>
  <c r="O11"/>
  <c r="P11"/>
  <c r="V11"/>
  <c r="T11"/>
  <c r="R11"/>
  <c r="Q11"/>
  <c r="A11"/>
  <c r="B11"/>
  <c r="AB10"/>
  <c r="O10"/>
  <c r="P10"/>
  <c r="V10"/>
  <c r="T10"/>
  <c r="R10"/>
  <c r="Q10"/>
  <c r="A10"/>
  <c r="B10"/>
  <c r="AB9"/>
  <c r="O9"/>
  <c r="P9"/>
  <c r="V9"/>
  <c r="T9"/>
  <c r="R9"/>
  <c r="Q9"/>
  <c r="A9"/>
  <c r="B9"/>
  <c r="X30" i="66"/>
  <c r="X31"/>
  <c r="X32"/>
  <c r="X33"/>
  <c r="X34"/>
  <c r="AB35"/>
  <c r="AB8" i="76"/>
  <c r="O8"/>
  <c r="P8"/>
  <c r="V8"/>
  <c r="T8"/>
  <c r="R8"/>
  <c r="Q8"/>
  <c r="A8"/>
  <c r="B8"/>
  <c r="AB7"/>
  <c r="O7"/>
  <c r="P7"/>
  <c r="V7"/>
  <c r="T7"/>
  <c r="R7"/>
  <c r="Q7"/>
  <c r="A7"/>
  <c r="B7"/>
  <c r="AB6"/>
  <c r="O6"/>
  <c r="P6"/>
  <c r="V6"/>
  <c r="T6"/>
  <c r="R6"/>
  <c r="Q6"/>
  <c r="A6"/>
  <c r="B6"/>
  <c r="AB5"/>
  <c r="T5"/>
  <c r="R5"/>
  <c r="Q5"/>
  <c r="A5"/>
  <c r="B5"/>
  <c r="AB4"/>
  <c r="T4"/>
  <c r="R4"/>
  <c r="Q4"/>
  <c r="A4"/>
  <c r="B4"/>
  <c r="A5" i="58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C33"/>
  <c r="A33"/>
  <c r="B33"/>
  <c r="A34"/>
  <c r="B34"/>
  <c r="A35"/>
  <c r="B35"/>
  <c r="A5" i="59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A33"/>
  <c r="B33"/>
  <c r="A34"/>
  <c r="B34"/>
  <c r="A35"/>
  <c r="B35"/>
  <c r="A5" i="60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C33"/>
  <c r="A33"/>
  <c r="B33"/>
  <c r="A34"/>
  <c r="B34"/>
  <c r="A35"/>
  <c r="B35"/>
  <c r="A5" i="61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A33"/>
  <c r="B33"/>
  <c r="A34"/>
  <c r="B34"/>
  <c r="A35"/>
  <c r="B35"/>
  <c r="A5" i="62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C33"/>
  <c r="A33"/>
  <c r="B33"/>
  <c r="A34"/>
  <c r="B34"/>
  <c r="A35"/>
  <c r="B35"/>
  <c r="A5" i="63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C33"/>
  <c r="A33"/>
  <c r="B33"/>
  <c r="A34"/>
  <c r="B34"/>
  <c r="A35"/>
  <c r="B35"/>
  <c r="A5" i="64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C33"/>
  <c r="A33"/>
  <c r="B33"/>
  <c r="A34"/>
  <c r="B34"/>
  <c r="A35"/>
  <c r="B35"/>
  <c r="A5" i="6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C33"/>
  <c r="A33"/>
  <c r="B33"/>
  <c r="A34"/>
  <c r="B34"/>
  <c r="A35"/>
  <c r="B35"/>
  <c r="A5" i="66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A33"/>
  <c r="B33"/>
  <c r="A34"/>
  <c r="B34"/>
  <c r="A35"/>
  <c r="B35"/>
  <c r="A5" i="74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B28"/>
  <c r="B29"/>
  <c r="B30"/>
  <c r="B31"/>
  <c r="B32"/>
  <c r="B33"/>
  <c r="C34"/>
  <c r="A34"/>
  <c r="B34"/>
  <c r="A35"/>
  <c r="B35"/>
  <c r="A5" i="57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C32"/>
  <c r="A32"/>
  <c r="B32"/>
  <c r="C33"/>
  <c r="A33"/>
  <c r="B33"/>
  <c r="A34"/>
  <c r="B34"/>
  <c r="A35"/>
  <c r="B35"/>
  <c r="A4" i="58"/>
  <c r="B4"/>
  <c r="A4" i="59"/>
  <c r="B4"/>
  <c r="A4" i="60"/>
  <c r="B4"/>
  <c r="A4" i="61"/>
  <c r="B4"/>
  <c r="A4" i="62"/>
  <c r="B4"/>
  <c r="A4" i="63"/>
  <c r="B4"/>
  <c r="A4" i="64"/>
  <c r="B4"/>
  <c r="A4" i="65"/>
  <c r="B4"/>
  <c r="A4" i="66"/>
  <c r="B4"/>
  <c r="A4" i="74"/>
  <c r="B4"/>
  <c r="A4" i="57"/>
  <c r="B4"/>
  <c r="A4" i="56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A28"/>
  <c r="B28"/>
  <c r="A29"/>
  <c r="B29"/>
  <c r="A30"/>
  <c r="B30"/>
  <c r="A31"/>
  <c r="B31"/>
  <c r="A32"/>
  <c r="B32"/>
  <c r="A33"/>
  <c r="B33"/>
  <c r="Y101"/>
  <c r="D11" i="69"/>
  <c r="A14" i="42"/>
  <c r="A7"/>
  <c r="U29" i="66"/>
  <c r="W29"/>
  <c r="AO366" i="42"/>
  <c r="U30" i="66"/>
  <c r="W30"/>
  <c r="AO367" i="42"/>
  <c r="U31" i="66"/>
  <c r="W31"/>
  <c r="AO368" i="42"/>
  <c r="U32" i="66"/>
  <c r="W32"/>
  <c r="AO369" i="42"/>
  <c r="U5" i="74"/>
  <c r="W5"/>
  <c r="AO370" i="42"/>
  <c r="U4" i="74"/>
  <c r="W4"/>
  <c r="AO371" i="42"/>
  <c r="AO372"/>
  <c r="U6" i="74"/>
  <c r="W6"/>
  <c r="AO373" i="42"/>
  <c r="U7" i="74"/>
  <c r="W7"/>
  <c r="AO374" i="42"/>
  <c r="U8" i="74"/>
  <c r="W8"/>
  <c r="AO375" i="42"/>
  <c r="U9" i="74"/>
  <c r="W9"/>
  <c r="AO376" i="42"/>
  <c r="U10" i="74"/>
  <c r="W10"/>
  <c r="AO377" i="42"/>
  <c r="U11" i="74"/>
  <c r="W11"/>
  <c r="AO378" i="42"/>
  <c r="U12" i="74"/>
  <c r="W12"/>
  <c r="AO379" i="42"/>
  <c r="U13" i="74"/>
  <c r="W13"/>
  <c r="AO380" i="42"/>
  <c r="U14" i="74"/>
  <c r="W14"/>
  <c r="AO381" i="42"/>
  <c r="U15" i="74"/>
  <c r="W15"/>
  <c r="AO382" i="42"/>
  <c r="U16" i="74"/>
  <c r="W16"/>
  <c r="AO383" i="42"/>
  <c r="U17" i="74"/>
  <c r="W17"/>
  <c r="AO384" i="42"/>
  <c r="U18" i="74"/>
  <c r="W18"/>
  <c r="AO385" i="42"/>
  <c r="U19" i="74"/>
  <c r="W19"/>
  <c r="AO386" i="42"/>
  <c r="U20" i="74"/>
  <c r="W20"/>
  <c r="AO387" i="42"/>
  <c r="U21" i="74"/>
  <c r="W21"/>
  <c r="AO388" i="42"/>
  <c r="U22" i="74"/>
  <c r="W22"/>
  <c r="AO389" i="42"/>
  <c r="U23" i="74"/>
  <c r="W23"/>
  <c r="AO390" i="42"/>
  <c r="U24" i="74"/>
  <c r="W24"/>
  <c r="AO391" i="42"/>
  <c r="U25" i="74"/>
  <c r="W25"/>
  <c r="AO392" i="42"/>
  <c r="U26" i="74"/>
  <c r="W26"/>
  <c r="AO393" i="42"/>
  <c r="U27" i="66"/>
  <c r="W27"/>
  <c r="AO364" i="42"/>
  <c r="U28" i="66"/>
  <c r="W28"/>
  <c r="AO365" i="42"/>
  <c r="AY398"/>
  <c r="X29" i="66"/>
  <c r="AP366" i="42"/>
  <c r="AP367"/>
  <c r="AP368"/>
  <c r="AP369"/>
  <c r="AP370"/>
  <c r="X4" i="74"/>
  <c r="AP371" i="42"/>
  <c r="I7" i="74"/>
  <c r="I8"/>
  <c r="I9"/>
  <c r="I10"/>
  <c r="X12"/>
  <c r="AP379" i="42"/>
  <c r="X13" i="74"/>
  <c r="AP380" i="42"/>
  <c r="X14" i="74"/>
  <c r="AP381" i="42"/>
  <c r="X15" i="74"/>
  <c r="AP382" i="42"/>
  <c r="X16" i="74"/>
  <c r="AP383" i="42"/>
  <c r="X17" i="74"/>
  <c r="AP384" i="42"/>
  <c r="X18" i="74"/>
  <c r="AP385" i="42"/>
  <c r="X19" i="74"/>
  <c r="AP386" i="42"/>
  <c r="X20" i="74"/>
  <c r="AP387" i="42"/>
  <c r="X21" i="74"/>
  <c r="AP388" i="42"/>
  <c r="X22" i="74"/>
  <c r="AP389" i="42"/>
  <c r="X23" i="74"/>
  <c r="AP390" i="42"/>
  <c r="X24" i="74"/>
  <c r="AP391" i="42"/>
  <c r="X25" i="74"/>
  <c r="AP392" i="42"/>
  <c r="X26" i="74"/>
  <c r="AP393" i="42"/>
  <c r="X27" i="66"/>
  <c r="AP364" i="42"/>
  <c r="X28" i="66"/>
  <c r="AP365" i="42"/>
  <c r="AZ398"/>
  <c r="C61" i="66"/>
  <c r="C63"/>
  <c r="C64"/>
  <c r="AG29"/>
  <c r="AF29"/>
  <c r="AG30"/>
  <c r="AF30"/>
  <c r="AQ366" i="42"/>
  <c r="AG31" i="66"/>
  <c r="AF31"/>
  <c r="AQ367" i="42"/>
  <c r="AG32" i="66"/>
  <c r="AF32"/>
  <c r="AQ368" i="42"/>
  <c r="AG33" i="66"/>
  <c r="AF33"/>
  <c r="AQ369" i="42"/>
  <c r="C64" i="74"/>
  <c r="C65"/>
  <c r="C63"/>
  <c r="C66"/>
  <c r="AF5"/>
  <c r="AF4"/>
  <c r="AQ370" i="42"/>
  <c r="AQ371"/>
  <c r="AF6" i="74"/>
  <c r="AQ372" i="42"/>
  <c r="AF7" i="74"/>
  <c r="AQ373" i="42"/>
  <c r="AF8" i="74"/>
  <c r="AQ374" i="42"/>
  <c r="AF9" i="74"/>
  <c r="AQ375" i="42"/>
  <c r="AF10" i="74"/>
  <c r="AQ376" i="42"/>
  <c r="AF11" i="74"/>
  <c r="AQ377" i="42"/>
  <c r="AF12" i="74"/>
  <c r="AQ378" i="42"/>
  <c r="AF13" i="74"/>
  <c r="AQ379" i="42"/>
  <c r="AF14" i="74"/>
  <c r="AQ380" i="42"/>
  <c r="AF15" i="74"/>
  <c r="AQ381" i="42"/>
  <c r="AF16" i="74"/>
  <c r="AQ382" i="42"/>
  <c r="AF17" i="74"/>
  <c r="AQ383" i="42"/>
  <c r="AF18" i="74"/>
  <c r="AQ384" i="42"/>
  <c r="AF19" i="74"/>
  <c r="AQ385" i="42"/>
  <c r="AF20" i="74"/>
  <c r="AQ386" i="42"/>
  <c r="AF21" i="74"/>
  <c r="AQ387" i="42"/>
  <c r="AF22" i="74"/>
  <c r="AQ388" i="42"/>
  <c r="AF23" i="74"/>
  <c r="AQ389" i="42"/>
  <c r="AF24" i="74"/>
  <c r="AQ390" i="42"/>
  <c r="AF25" i="74"/>
  <c r="AQ391" i="42"/>
  <c r="AF26" i="74"/>
  <c r="AQ392" i="42"/>
  <c r="AF27" i="74"/>
  <c r="AQ393" i="42"/>
  <c r="AG28" i="66"/>
  <c r="AF28"/>
  <c r="AG27"/>
  <c r="AF27"/>
  <c r="AQ364" i="42"/>
  <c r="AQ365"/>
  <c r="BA398"/>
  <c r="AE29" i="66"/>
  <c r="AE30"/>
  <c r="AS366" i="42"/>
  <c r="AR366"/>
  <c r="AE31" i="66"/>
  <c r="AS367" i="42"/>
  <c r="AR367"/>
  <c r="AE32" i="66"/>
  <c r="AS368" i="42"/>
  <c r="AR368"/>
  <c r="AE33" i="66"/>
  <c r="AS369" i="42"/>
  <c r="AR369"/>
  <c r="AG5" i="74"/>
  <c r="C67"/>
  <c r="AH5"/>
  <c r="AE5"/>
  <c r="AG4"/>
  <c r="AH4"/>
  <c r="AE4"/>
  <c r="AS370" i="42"/>
  <c r="AR370"/>
  <c r="AS371"/>
  <c r="AR371"/>
  <c r="AG6" i="74"/>
  <c r="AH6"/>
  <c r="AE6"/>
  <c r="AS372" i="42"/>
  <c r="AR372"/>
  <c r="AG7" i="74"/>
  <c r="AH7"/>
  <c r="AE7"/>
  <c r="AS373" i="42"/>
  <c r="AR373"/>
  <c r="AG8" i="74"/>
  <c r="AH8"/>
  <c r="AE8"/>
  <c r="AS374" i="42"/>
  <c r="AR374"/>
  <c r="AG9" i="74"/>
  <c r="AH9"/>
  <c r="AE9"/>
  <c r="AS375" i="42"/>
  <c r="AR375"/>
  <c r="AG10" i="74"/>
  <c r="AH10"/>
  <c r="AE10"/>
  <c r="AS376" i="42"/>
  <c r="AR376"/>
  <c r="AG11" i="74"/>
  <c r="AH11"/>
  <c r="AE11"/>
  <c r="AS377" i="42"/>
  <c r="AR377"/>
  <c r="AG12" i="74"/>
  <c r="AH12"/>
  <c r="AE12"/>
  <c r="AS378" i="42"/>
  <c r="AR378"/>
  <c r="AG13" i="74"/>
  <c r="AH13"/>
  <c r="AE13"/>
  <c r="AS379" i="42"/>
  <c r="AR379"/>
  <c r="AG14" i="74"/>
  <c r="AH14"/>
  <c r="AE14"/>
  <c r="AS380" i="42"/>
  <c r="AR380"/>
  <c r="AG15" i="74"/>
  <c r="AH15"/>
  <c r="AE15"/>
  <c r="AS381" i="42"/>
  <c r="AR381"/>
  <c r="AG16" i="74"/>
  <c r="AH16"/>
  <c r="AE16"/>
  <c r="AS382" i="42"/>
  <c r="AR382"/>
  <c r="AG17" i="74"/>
  <c r="AH17"/>
  <c r="AE17"/>
  <c r="AS383" i="42"/>
  <c r="AR383"/>
  <c r="AG18" i="74"/>
  <c r="AH18"/>
  <c r="AE18"/>
  <c r="AS384" i="42"/>
  <c r="AR384"/>
  <c r="AG19" i="74"/>
  <c r="AH19"/>
  <c r="AE19"/>
  <c r="AS385" i="42"/>
  <c r="AR385"/>
  <c r="AG20" i="74"/>
  <c r="AH20"/>
  <c r="AE20"/>
  <c r="AS386" i="42"/>
  <c r="AR386"/>
  <c r="AG21" i="74"/>
  <c r="AH21"/>
  <c r="AE21"/>
  <c r="AS387" i="42"/>
  <c r="AR387"/>
  <c r="AG22" i="74"/>
  <c r="AH22"/>
  <c r="AE22"/>
  <c r="AS388" i="42"/>
  <c r="AR388"/>
  <c r="AG23" i="74"/>
  <c r="AH23"/>
  <c r="AE23"/>
  <c r="AS389" i="42"/>
  <c r="AR389"/>
  <c r="AG24" i="74"/>
  <c r="AH24"/>
  <c r="AE24"/>
  <c r="AS390" i="42"/>
  <c r="AR390"/>
  <c r="AG25" i="74"/>
  <c r="AH25"/>
  <c r="AE25"/>
  <c r="AS391" i="42"/>
  <c r="AR391"/>
  <c r="AG26" i="74"/>
  <c r="AH26"/>
  <c r="AE26"/>
  <c r="AS392" i="42"/>
  <c r="AR392"/>
  <c r="AG27" i="74"/>
  <c r="AH27"/>
  <c r="AE27"/>
  <c r="AS393" i="42"/>
  <c r="AR393"/>
  <c r="AE28" i="66"/>
  <c r="AE27"/>
  <c r="AS364" i="42"/>
  <c r="AR364"/>
  <c r="AS365"/>
  <c r="AR365"/>
  <c r="BB398"/>
  <c r="BC398"/>
  <c r="AT366"/>
  <c r="AT367"/>
  <c r="AT368"/>
  <c r="AT369"/>
  <c r="AT370"/>
  <c r="AT371"/>
  <c r="AT372"/>
  <c r="AT373"/>
  <c r="AT374"/>
  <c r="AT375"/>
  <c r="AT376"/>
  <c r="AT377"/>
  <c r="AT378"/>
  <c r="AT379"/>
  <c r="AT380"/>
  <c r="AT381"/>
  <c r="AT382"/>
  <c r="AT383"/>
  <c r="AT384"/>
  <c r="AT385"/>
  <c r="AT386"/>
  <c r="AT387"/>
  <c r="AT388"/>
  <c r="AT389"/>
  <c r="AT390"/>
  <c r="AT391"/>
  <c r="AT392"/>
  <c r="AT393"/>
  <c r="AT364"/>
  <c r="AT365"/>
  <c r="BD398"/>
  <c r="AM366"/>
  <c r="AN366"/>
  <c r="AM367"/>
  <c r="AN367"/>
  <c r="AM368"/>
  <c r="AN368"/>
  <c r="AM369"/>
  <c r="AN369"/>
  <c r="AM370"/>
  <c r="AN370"/>
  <c r="AM371"/>
  <c r="AN371"/>
  <c r="AM372"/>
  <c r="AN372"/>
  <c r="AM373"/>
  <c r="AN373"/>
  <c r="AM374"/>
  <c r="AN374"/>
  <c r="AM375"/>
  <c r="AN375"/>
  <c r="AM376"/>
  <c r="AN376"/>
  <c r="AM377"/>
  <c r="AN377"/>
  <c r="AM378"/>
  <c r="AN378"/>
  <c r="AM379"/>
  <c r="AN379"/>
  <c r="AM380"/>
  <c r="AN380"/>
  <c r="AM381"/>
  <c r="AN381"/>
  <c r="AM382"/>
  <c r="AN382"/>
  <c r="AM383"/>
  <c r="AN383"/>
  <c r="AM384"/>
  <c r="AN384"/>
  <c r="AM385"/>
  <c r="AN385"/>
  <c r="AM386"/>
  <c r="AN386"/>
  <c r="AM387"/>
  <c r="AN387"/>
  <c r="AM388"/>
  <c r="AN388"/>
  <c r="AM389"/>
  <c r="AN389"/>
  <c r="AM390"/>
  <c r="AN390"/>
  <c r="AM391"/>
  <c r="AN391"/>
  <c r="AM392"/>
  <c r="AN392"/>
  <c r="AM393"/>
  <c r="AN393"/>
  <c r="AM364"/>
  <c r="AN364"/>
  <c r="AM365"/>
  <c r="AN365"/>
  <c r="AX398"/>
  <c r="U32" i="65"/>
  <c r="W32"/>
  <c r="AO338" i="42"/>
  <c r="U33" i="65"/>
  <c r="W33"/>
  <c r="AO339" i="42"/>
  <c r="U5" i="66"/>
  <c r="W5"/>
  <c r="AO340" i="42"/>
  <c r="U4" i="66"/>
  <c r="W4"/>
  <c r="AO341" i="42"/>
  <c r="AO342"/>
  <c r="U6" i="66"/>
  <c r="W6"/>
  <c r="AO343" i="42"/>
  <c r="U7" i="66"/>
  <c r="W7"/>
  <c r="AO344" i="42"/>
  <c r="U8" i="66"/>
  <c r="W8"/>
  <c r="AO345" i="42"/>
  <c r="U9" i="66"/>
  <c r="W9"/>
  <c r="AO346" i="42"/>
  <c r="U10" i="66"/>
  <c r="W10"/>
  <c r="AO347" i="42"/>
  <c r="U11" i="66"/>
  <c r="W11"/>
  <c r="AO348" i="42"/>
  <c r="U12" i="66"/>
  <c r="W12"/>
  <c r="AO349" i="42"/>
  <c r="U13" i="66"/>
  <c r="W13"/>
  <c r="AO350" i="42"/>
  <c r="U14" i="66"/>
  <c r="W14"/>
  <c r="AO351" i="42"/>
  <c r="U15" i="66"/>
  <c r="W15"/>
  <c r="AO352" i="42"/>
  <c r="U16" i="66"/>
  <c r="W16"/>
  <c r="AO353" i="42"/>
  <c r="U17" i="66"/>
  <c r="W17"/>
  <c r="AO354" i="42"/>
  <c r="U18" i="66"/>
  <c r="W18"/>
  <c r="AO355" i="42"/>
  <c r="U19" i="66"/>
  <c r="W19"/>
  <c r="AO356" i="42"/>
  <c r="U20" i="66"/>
  <c r="W20"/>
  <c r="AO357" i="42"/>
  <c r="U21" i="66"/>
  <c r="W21"/>
  <c r="AO358" i="42"/>
  <c r="U22" i="66"/>
  <c r="W22"/>
  <c r="AO359" i="42"/>
  <c r="U23" i="66"/>
  <c r="W23"/>
  <c r="AO360" i="42"/>
  <c r="U24" i="66"/>
  <c r="W24"/>
  <c r="AO361" i="42"/>
  <c r="U25" i="66"/>
  <c r="W25"/>
  <c r="AO362" i="42"/>
  <c r="U26" i="66"/>
  <c r="W26"/>
  <c r="AO363" i="42"/>
  <c r="U30" i="65"/>
  <c r="W30"/>
  <c r="AO336" i="42"/>
  <c r="U31" i="65"/>
  <c r="W31"/>
  <c r="AO337" i="42"/>
  <c r="AY367"/>
  <c r="X32" i="65"/>
  <c r="AP338" i="42"/>
  <c r="X33" i="65"/>
  <c r="AP339" i="42"/>
  <c r="X5" i="66"/>
  <c r="AP340" i="42"/>
  <c r="X4" i="66"/>
  <c r="AP341" i="42"/>
  <c r="AP342"/>
  <c r="X6" i="66"/>
  <c r="AP343" i="42"/>
  <c r="X7" i="66"/>
  <c r="AP344" i="42"/>
  <c r="X8" i="66"/>
  <c r="AP345" i="42"/>
  <c r="X9" i="66"/>
  <c r="AP346" i="42"/>
  <c r="X10" i="66"/>
  <c r="AP347" i="42"/>
  <c r="X11" i="66"/>
  <c r="AP348" i="42"/>
  <c r="X12" i="66"/>
  <c r="AP349" i="42"/>
  <c r="X13" i="66"/>
  <c r="AP350" i="42"/>
  <c r="X14" i="66"/>
  <c r="AP351" i="42"/>
  <c r="X15" i="66"/>
  <c r="AP352" i="42"/>
  <c r="X16" i="66"/>
  <c r="AP353" i="42"/>
  <c r="I17" i="66"/>
  <c r="X17"/>
  <c r="AP354" i="42"/>
  <c r="I18" i="66"/>
  <c r="X18"/>
  <c r="AP355" i="42"/>
  <c r="I19" i="66"/>
  <c r="X19"/>
  <c r="AP356" i="42"/>
  <c r="I20" i="66"/>
  <c r="X20"/>
  <c r="AP357" i="42"/>
  <c r="X21" i="66"/>
  <c r="AP358" i="42"/>
  <c r="X22" i="66"/>
  <c r="AP359" i="42"/>
  <c r="X23" i="66"/>
  <c r="AP360" i="42"/>
  <c r="X24" i="66"/>
  <c r="AP361" i="42"/>
  <c r="X25" i="66"/>
  <c r="AP362" i="42"/>
  <c r="X26" i="66"/>
  <c r="AP363" i="42"/>
  <c r="X30" i="65"/>
  <c r="AP336" i="42"/>
  <c r="X31" i="65"/>
  <c r="AP337" i="42"/>
  <c r="AZ367"/>
  <c r="C61" i="65"/>
  <c r="C63"/>
  <c r="AF32"/>
  <c r="AF33"/>
  <c r="AQ338" i="42"/>
  <c r="AF34" i="65"/>
  <c r="AQ339" i="42"/>
  <c r="AG5" i="66"/>
  <c r="AF5"/>
  <c r="AG4"/>
  <c r="AF4"/>
  <c r="AQ340" i="42"/>
  <c r="AQ341"/>
  <c r="AG6" i="66"/>
  <c r="AF6"/>
  <c r="AQ342" i="42"/>
  <c r="AG7" i="66"/>
  <c r="AF7"/>
  <c r="AQ343" i="42"/>
  <c r="AG8" i="66"/>
  <c r="AF8"/>
  <c r="AQ344" i="42"/>
  <c r="AG9" i="66"/>
  <c r="AF9"/>
  <c r="AQ345" i="42"/>
  <c r="AG10" i="66"/>
  <c r="AF10"/>
  <c r="AQ346" i="42"/>
  <c r="AG11" i="66"/>
  <c r="AF11"/>
  <c r="AQ347" i="42"/>
  <c r="AG12" i="66"/>
  <c r="AF12"/>
  <c r="AQ348" i="42"/>
  <c r="AG13" i="66"/>
  <c r="AF13"/>
  <c r="AQ349" i="42"/>
  <c r="AG14" i="66"/>
  <c r="AF14"/>
  <c r="AQ350" i="42"/>
  <c r="AG15" i="66"/>
  <c r="AF15"/>
  <c r="AQ351" i="42"/>
  <c r="AG16" i="66"/>
  <c r="AF16"/>
  <c r="AQ352" i="42"/>
  <c r="AG17" i="66"/>
  <c r="AF17"/>
  <c r="AQ353" i="42"/>
  <c r="AG18" i="66"/>
  <c r="AF18"/>
  <c r="AQ354" i="42"/>
  <c r="AG19" i="66"/>
  <c r="AF19"/>
  <c r="AQ355" i="42"/>
  <c r="AG20" i="66"/>
  <c r="AF20"/>
  <c r="AQ356" i="42"/>
  <c r="AG21" i="66"/>
  <c r="AF21"/>
  <c r="AQ357" i="42"/>
  <c r="AG22" i="66"/>
  <c r="AF22"/>
  <c r="AQ358" i="42"/>
  <c r="AG23" i="66"/>
  <c r="AF23"/>
  <c r="AQ359" i="42"/>
  <c r="AG24" i="66"/>
  <c r="AF24"/>
  <c r="AQ360" i="42"/>
  <c r="AG25" i="66"/>
  <c r="AF25"/>
  <c r="AQ361" i="42"/>
  <c r="AG26" i="66"/>
  <c r="AF26"/>
  <c r="AQ362" i="42"/>
  <c r="AQ363"/>
  <c r="AF31" i="65"/>
  <c r="AF30"/>
  <c r="AQ336" i="42"/>
  <c r="AQ337"/>
  <c r="BA367"/>
  <c r="AG32" i="65"/>
  <c r="AE32"/>
  <c r="AG33"/>
  <c r="AE33"/>
  <c r="AS338" i="42"/>
  <c r="AR338"/>
  <c r="AG34" i="65"/>
  <c r="AE34"/>
  <c r="AS339" i="42"/>
  <c r="AR339"/>
  <c r="AE5" i="66"/>
  <c r="AE4"/>
  <c r="AS340" i="42"/>
  <c r="AR340"/>
  <c r="AS341"/>
  <c r="AR341"/>
  <c r="AE6" i="66"/>
  <c r="AS342" i="42"/>
  <c r="AR342"/>
  <c r="AE7" i="66"/>
  <c r="AS343" i="42"/>
  <c r="AR343"/>
  <c r="AE8" i="66"/>
  <c r="AS344" i="42"/>
  <c r="AR344"/>
  <c r="AE9" i="66"/>
  <c r="AS345" i="42"/>
  <c r="AR345"/>
  <c r="AE10" i="66"/>
  <c r="AS346" i="42"/>
  <c r="AR346"/>
  <c r="AE11" i="66"/>
  <c r="AS347" i="42"/>
  <c r="AR347"/>
  <c r="AE12" i="66"/>
  <c r="AS348" i="42"/>
  <c r="AR348"/>
  <c r="AE13" i="66"/>
  <c r="AS349" i="42"/>
  <c r="AR349"/>
  <c r="AE14" i="66"/>
  <c r="AS350" i="42"/>
  <c r="AR350"/>
  <c r="AE15" i="66"/>
  <c r="AS351" i="42"/>
  <c r="AR351"/>
  <c r="AE16" i="66"/>
  <c r="AS352" i="42"/>
  <c r="AR352"/>
  <c r="AE17" i="66"/>
  <c r="AS353" i="42"/>
  <c r="AR353"/>
  <c r="AE18" i="66"/>
  <c r="AS354" i="42"/>
  <c r="AR354"/>
  <c r="AE19" i="66"/>
  <c r="AS355" i="42"/>
  <c r="AR355"/>
  <c r="AE20" i="66"/>
  <c r="AS356" i="42"/>
  <c r="AR356"/>
  <c r="AE21" i="66"/>
  <c r="AS357" i="42"/>
  <c r="AR357"/>
  <c r="AE22" i="66"/>
  <c r="AS358" i="42"/>
  <c r="AR358"/>
  <c r="AE23" i="66"/>
  <c r="AS359" i="42"/>
  <c r="AR359"/>
  <c r="AE24" i="66"/>
  <c r="AS360" i="42"/>
  <c r="AR360"/>
  <c r="AE25" i="66"/>
  <c r="AS361" i="42"/>
  <c r="AR361"/>
  <c r="AE26" i="66"/>
  <c r="AS362" i="42"/>
  <c r="AR362"/>
  <c r="AS363"/>
  <c r="AR363"/>
  <c r="AG31" i="65"/>
  <c r="AE31"/>
  <c r="AG30"/>
  <c r="AE30"/>
  <c r="AS336" i="42"/>
  <c r="AR336"/>
  <c r="AS337"/>
  <c r="AR337"/>
  <c r="BB367"/>
  <c r="BC367"/>
  <c r="AT338"/>
  <c r="AT339"/>
  <c r="AT340"/>
  <c r="AT341"/>
  <c r="AT342"/>
  <c r="AT343"/>
  <c r="AT344"/>
  <c r="AT345"/>
  <c r="AT346"/>
  <c r="AT347"/>
  <c r="AT348"/>
  <c r="AT349"/>
  <c r="AT350"/>
  <c r="AT351"/>
  <c r="AT352"/>
  <c r="AT353"/>
  <c r="AT354"/>
  <c r="AT355"/>
  <c r="AT356"/>
  <c r="AT357"/>
  <c r="AT358"/>
  <c r="AT359"/>
  <c r="AT360"/>
  <c r="AT361"/>
  <c r="AT362"/>
  <c r="AT363"/>
  <c r="AT336"/>
  <c r="AT337"/>
  <c r="BD367"/>
  <c r="AM338"/>
  <c r="AN338"/>
  <c r="AM339"/>
  <c r="AN339"/>
  <c r="AM340"/>
  <c r="AN340"/>
  <c r="AM341"/>
  <c r="AN341"/>
  <c r="AM342"/>
  <c r="AN342"/>
  <c r="AM343"/>
  <c r="AN343"/>
  <c r="AM344"/>
  <c r="AN344"/>
  <c r="AM345"/>
  <c r="AN345"/>
  <c r="AM346"/>
  <c r="AN346"/>
  <c r="AM347"/>
  <c r="AN347"/>
  <c r="AM348"/>
  <c r="AN348"/>
  <c r="AM349"/>
  <c r="AN349"/>
  <c r="AM350"/>
  <c r="AN350"/>
  <c r="AM351"/>
  <c r="AN351"/>
  <c r="AM352"/>
  <c r="AN352"/>
  <c r="AM353"/>
  <c r="AN353"/>
  <c r="AM354"/>
  <c r="AN354"/>
  <c r="AM355"/>
  <c r="AN355"/>
  <c r="AM356"/>
  <c r="AN356"/>
  <c r="AM357"/>
  <c r="AN357"/>
  <c r="AM358"/>
  <c r="AN358"/>
  <c r="AM359"/>
  <c r="AN359"/>
  <c r="AM360"/>
  <c r="AN360"/>
  <c r="AM361"/>
  <c r="AN361"/>
  <c r="AM362"/>
  <c r="AN362"/>
  <c r="AM363"/>
  <c r="AN363"/>
  <c r="AM336"/>
  <c r="AN336"/>
  <c r="AM337"/>
  <c r="AN337"/>
  <c r="AX367"/>
  <c r="U4" i="65"/>
  <c r="W4"/>
  <c r="AO310" i="42"/>
  <c r="U5" i="65"/>
  <c r="W5"/>
  <c r="AO311" i="42"/>
  <c r="U6" i="65"/>
  <c r="W6"/>
  <c r="AO312" i="42"/>
  <c r="U7" i="65"/>
  <c r="W7"/>
  <c r="AO313" i="42"/>
  <c r="U8" i="65"/>
  <c r="W8"/>
  <c r="AO314" i="42"/>
  <c r="U9" i="65"/>
  <c r="W9"/>
  <c r="AO315" i="42"/>
  <c r="U10" i="65"/>
  <c r="W10"/>
  <c r="AO316" i="42"/>
  <c r="U11" i="65"/>
  <c r="W11"/>
  <c r="AO317" i="42"/>
  <c r="U12" i="65"/>
  <c r="W12"/>
  <c r="AO318" i="42"/>
  <c r="U13" i="65"/>
  <c r="W13"/>
  <c r="AO319" i="42"/>
  <c r="U14" i="65"/>
  <c r="W14"/>
  <c r="AO320" i="42"/>
  <c r="U15" i="65"/>
  <c r="W15"/>
  <c r="AO321" i="42"/>
  <c r="U16" i="65"/>
  <c r="W16"/>
  <c r="AO322" i="42"/>
  <c r="U17" i="65"/>
  <c r="W17"/>
  <c r="AO323" i="42"/>
  <c r="U18" i="65"/>
  <c r="W18"/>
  <c r="AO324" i="42"/>
  <c r="AO325"/>
  <c r="AO326"/>
  <c r="AO327"/>
  <c r="AO328"/>
  <c r="AO329"/>
  <c r="AO330"/>
  <c r="AO331"/>
  <c r="U26" i="65"/>
  <c r="W26"/>
  <c r="AO332" i="42"/>
  <c r="U27" i="65"/>
  <c r="W27"/>
  <c r="AO333" i="42"/>
  <c r="U28" i="65"/>
  <c r="W28"/>
  <c r="AO334" i="42"/>
  <c r="U29" i="65"/>
  <c r="W29"/>
  <c r="AO335" i="42"/>
  <c r="AO309"/>
  <c r="AY337"/>
  <c r="X4" i="65"/>
  <c r="AP310" i="42"/>
  <c r="I5" i="65"/>
  <c r="X5"/>
  <c r="AP311" i="42"/>
  <c r="I6" i="65"/>
  <c r="X6"/>
  <c r="AP312" i="42"/>
  <c r="I7" i="65"/>
  <c r="X7"/>
  <c r="AP313" i="42"/>
  <c r="I8" i="65"/>
  <c r="X8"/>
  <c r="AP314" i="42"/>
  <c r="I9" i="65"/>
  <c r="X9"/>
  <c r="AP315" i="42"/>
  <c r="X10" i="65"/>
  <c r="AP316" i="42"/>
  <c r="X11" i="65"/>
  <c r="AP317" i="42"/>
  <c r="X12" i="65"/>
  <c r="AP318" i="42"/>
  <c r="X13" i="65"/>
  <c r="AP319" i="42"/>
  <c r="X14" i="65"/>
  <c r="AP320" i="42"/>
  <c r="X15" i="65"/>
  <c r="AP321" i="42"/>
  <c r="X16" i="65"/>
  <c r="AP322" i="42"/>
  <c r="X17" i="65"/>
  <c r="AP323" i="42"/>
  <c r="X18" i="65"/>
  <c r="AP324" i="42"/>
  <c r="AP325"/>
  <c r="AP326"/>
  <c r="AP327"/>
  <c r="AP328"/>
  <c r="AP329"/>
  <c r="AP330"/>
  <c r="AP331"/>
  <c r="X26" i="65"/>
  <c r="AP332" i="42"/>
  <c r="X27" i="65"/>
  <c r="AP333" i="42"/>
  <c r="X28" i="65"/>
  <c r="AP334" i="42"/>
  <c r="X29" i="65"/>
  <c r="AP335" i="42"/>
  <c r="AP309"/>
  <c r="AZ337"/>
  <c r="AF4" i="65"/>
  <c r="AF5"/>
  <c r="AQ310" i="42"/>
  <c r="AF6" i="65"/>
  <c r="AQ311" i="42"/>
  <c r="AF7" i="65"/>
  <c r="AQ312" i="42"/>
  <c r="AF8" i="65"/>
  <c r="AQ313" i="42"/>
  <c r="AF9" i="65"/>
  <c r="AQ314" i="42"/>
  <c r="AF10" i="65"/>
  <c r="AQ315" i="42"/>
  <c r="AF11" i="65"/>
  <c r="AQ316" i="42"/>
  <c r="AF12" i="65"/>
  <c r="AQ317" i="42"/>
  <c r="AF13" i="65"/>
  <c r="AQ318" i="42"/>
  <c r="AF14" i="65"/>
  <c r="AQ319" i="42"/>
  <c r="AF15" i="65"/>
  <c r="AQ320" i="42"/>
  <c r="AF16" i="65"/>
  <c r="AQ321" i="42"/>
  <c r="AF17" i="65"/>
  <c r="AQ322" i="42"/>
  <c r="AF18" i="65"/>
  <c r="AQ323" i="42"/>
  <c r="AF19" i="65"/>
  <c r="AQ324" i="42"/>
  <c r="AF20" i="65"/>
  <c r="AQ325" i="42"/>
  <c r="AF21" i="65"/>
  <c r="AQ326" i="42"/>
  <c r="AF22" i="65"/>
  <c r="AQ327" i="42"/>
  <c r="AF23" i="65"/>
  <c r="AQ328" i="42"/>
  <c r="AF24" i="65"/>
  <c r="AQ329" i="42"/>
  <c r="AF25" i="65"/>
  <c r="AQ330" i="42"/>
  <c r="AF26" i="65"/>
  <c r="AQ331" i="42"/>
  <c r="AF27" i="65"/>
  <c r="AQ332" i="42"/>
  <c r="AF28" i="65"/>
  <c r="AQ333" i="42"/>
  <c r="AF29" i="65"/>
  <c r="AQ334" i="42"/>
  <c r="AQ335"/>
  <c r="AQ309"/>
  <c r="BA337"/>
  <c r="AG4" i="65"/>
  <c r="AE4"/>
  <c r="AG5"/>
  <c r="AE5"/>
  <c r="AS310" i="42"/>
  <c r="AR310"/>
  <c r="AG6" i="65"/>
  <c r="AE6"/>
  <c r="AS311" i="42"/>
  <c r="AR311"/>
  <c r="AG7" i="65"/>
  <c r="AE7"/>
  <c r="AS312" i="42"/>
  <c r="AR312"/>
  <c r="AG8" i="65"/>
  <c r="AE8"/>
  <c r="AS313" i="42"/>
  <c r="AR313"/>
  <c r="AG9" i="65"/>
  <c r="AE9"/>
  <c r="AS314" i="42"/>
  <c r="AR314"/>
  <c r="AG10" i="65"/>
  <c r="AE10"/>
  <c r="AS315" i="42"/>
  <c r="AR315"/>
  <c r="AG11" i="65"/>
  <c r="AE11"/>
  <c r="AS316" i="42"/>
  <c r="AR316"/>
  <c r="AG12" i="65"/>
  <c r="AE12"/>
  <c r="AS317" i="42"/>
  <c r="AR317"/>
  <c r="AG13" i="65"/>
  <c r="AE13"/>
  <c r="AS318" i="42"/>
  <c r="AR318"/>
  <c r="AG14" i="65"/>
  <c r="AE14"/>
  <c r="AS319" i="42"/>
  <c r="AR319"/>
  <c r="AG15" i="65"/>
  <c r="AE15"/>
  <c r="AS320" i="42"/>
  <c r="AR320"/>
  <c r="AG16" i="65"/>
  <c r="AE16"/>
  <c r="AS321" i="42"/>
  <c r="AR321"/>
  <c r="AG17" i="65"/>
  <c r="AE17"/>
  <c r="AS322" i="42"/>
  <c r="AR322"/>
  <c r="AG18" i="65"/>
  <c r="AE18"/>
  <c r="AS323" i="42"/>
  <c r="AR323"/>
  <c r="AG19" i="65"/>
  <c r="AE19"/>
  <c r="AS324" i="42"/>
  <c r="AR324"/>
  <c r="AG20" i="65"/>
  <c r="AE20"/>
  <c r="AS325" i="42"/>
  <c r="AR325"/>
  <c r="AG21" i="65"/>
  <c r="AE21"/>
  <c r="AS326" i="42"/>
  <c r="AR326"/>
  <c r="AG22" i="65"/>
  <c r="AE22"/>
  <c r="AS327" i="42"/>
  <c r="AR327"/>
  <c r="AG23" i="65"/>
  <c r="AE23"/>
  <c r="AS328" i="42"/>
  <c r="AR328"/>
  <c r="AG24" i="65"/>
  <c r="AE24"/>
  <c r="AS329" i="42"/>
  <c r="AR329"/>
  <c r="AG25" i="65"/>
  <c r="AE25"/>
  <c r="AS330" i="42"/>
  <c r="AR330"/>
  <c r="AG26" i="65"/>
  <c r="AE26"/>
  <c r="AS331" i="42"/>
  <c r="AR331"/>
  <c r="AG27" i="65"/>
  <c r="AE27"/>
  <c r="AS332" i="42"/>
  <c r="AR332"/>
  <c r="AG28" i="65"/>
  <c r="AE28"/>
  <c r="AS333" i="42"/>
  <c r="AR333"/>
  <c r="AG29" i="65"/>
  <c r="AE29"/>
  <c r="AS334" i="42"/>
  <c r="AR334"/>
  <c r="AS335"/>
  <c r="AR335"/>
  <c r="AS309"/>
  <c r="AR309"/>
  <c r="BB337"/>
  <c r="BC337"/>
  <c r="AT310"/>
  <c r="AT311"/>
  <c r="AT312"/>
  <c r="AT313"/>
  <c r="AT314"/>
  <c r="AT315"/>
  <c r="AT316"/>
  <c r="AT317"/>
  <c r="AT318"/>
  <c r="AT319"/>
  <c r="AT320"/>
  <c r="AT321"/>
  <c r="AT322"/>
  <c r="AT323"/>
  <c r="AT324"/>
  <c r="AT325"/>
  <c r="AT326"/>
  <c r="AT327"/>
  <c r="AT328"/>
  <c r="AT329"/>
  <c r="AT330"/>
  <c r="AT331"/>
  <c r="AT332"/>
  <c r="AT333"/>
  <c r="AT334"/>
  <c r="AT335"/>
  <c r="AT309"/>
  <c r="BD337"/>
  <c r="AM310"/>
  <c r="AN310"/>
  <c r="AM311"/>
  <c r="AN311"/>
  <c r="AM312"/>
  <c r="AN312"/>
  <c r="AM313"/>
  <c r="AN313"/>
  <c r="AM314"/>
  <c r="AN314"/>
  <c r="AM315"/>
  <c r="AN315"/>
  <c r="AM316"/>
  <c r="AN316"/>
  <c r="AM317"/>
  <c r="AN317"/>
  <c r="AM318"/>
  <c r="AN318"/>
  <c r="AM319"/>
  <c r="AN319"/>
  <c r="AM320"/>
  <c r="AN320"/>
  <c r="AM321"/>
  <c r="AN321"/>
  <c r="AM322"/>
  <c r="AN322"/>
  <c r="AM323"/>
  <c r="AN323"/>
  <c r="AM324"/>
  <c r="AN324"/>
  <c r="AM325"/>
  <c r="AN325"/>
  <c r="AM326"/>
  <c r="AN326"/>
  <c r="AM327"/>
  <c r="AN327"/>
  <c r="AM328"/>
  <c r="AN328"/>
  <c r="AM329"/>
  <c r="AN329"/>
  <c r="AM330"/>
  <c r="AN330"/>
  <c r="AM331"/>
  <c r="AN331"/>
  <c r="AM332"/>
  <c r="AN332"/>
  <c r="AM333"/>
  <c r="AN333"/>
  <c r="AM334"/>
  <c r="AN334"/>
  <c r="AM335"/>
  <c r="AN335"/>
  <c r="AM309"/>
  <c r="AN309"/>
  <c r="AX337"/>
  <c r="AM282"/>
  <c r="AN282"/>
  <c r="AM283"/>
  <c r="AN283"/>
  <c r="AM284"/>
  <c r="AN284"/>
  <c r="AM285"/>
  <c r="AN285"/>
  <c r="AM286"/>
  <c r="AN286"/>
  <c r="AM287"/>
  <c r="AN287"/>
  <c r="AM288"/>
  <c r="AN288"/>
  <c r="AM289"/>
  <c r="AN289"/>
  <c r="AM290"/>
  <c r="AN290"/>
  <c r="AM291"/>
  <c r="AN291"/>
  <c r="AM292"/>
  <c r="AN292"/>
  <c r="AM293"/>
  <c r="AN293"/>
  <c r="AM294"/>
  <c r="AN294"/>
  <c r="AM295"/>
  <c r="AN295"/>
  <c r="AM296"/>
  <c r="AN296"/>
  <c r="AM297"/>
  <c r="AN297"/>
  <c r="AM298"/>
  <c r="AN298"/>
  <c r="AM299"/>
  <c r="AN299"/>
  <c r="AM300"/>
  <c r="AN300"/>
  <c r="AM301"/>
  <c r="AN301"/>
  <c r="AM302"/>
  <c r="AN302"/>
  <c r="AM303"/>
  <c r="AN303"/>
  <c r="AM304"/>
  <c r="AN304"/>
  <c r="AM305"/>
  <c r="AN305"/>
  <c r="AM306"/>
  <c r="AN306"/>
  <c r="AM307"/>
  <c r="AN307"/>
  <c r="AM308"/>
  <c r="AN308"/>
  <c r="AX306"/>
  <c r="U5" i="64"/>
  <c r="W5"/>
  <c r="AO282" i="42"/>
  <c r="U6" i="64"/>
  <c r="W6"/>
  <c r="AO283" i="42"/>
  <c r="U7" i="64"/>
  <c r="W7"/>
  <c r="AO284" i="42"/>
  <c r="U8" i="64"/>
  <c r="W8"/>
  <c r="AO285" i="42"/>
  <c r="U9" i="64"/>
  <c r="W9"/>
  <c r="AO286" i="42"/>
  <c r="U10" i="64"/>
  <c r="W10"/>
  <c r="AO287" i="42"/>
  <c r="U11" i="64"/>
  <c r="W11"/>
  <c r="AO288" i="42"/>
  <c r="U12" i="64"/>
  <c r="W12"/>
  <c r="AO289" i="42"/>
  <c r="U13" i="64"/>
  <c r="W13"/>
  <c r="AO290" i="42"/>
  <c r="U14" i="64"/>
  <c r="W14"/>
  <c r="AO291" i="42"/>
  <c r="U15" i="64"/>
  <c r="W15"/>
  <c r="AO292" i="42"/>
  <c r="U16" i="64"/>
  <c r="W16"/>
  <c r="AO293" i="42"/>
  <c r="U17" i="64"/>
  <c r="W17"/>
  <c r="AO294" i="42"/>
  <c r="U18" i="64"/>
  <c r="W18"/>
  <c r="AO295" i="42"/>
  <c r="U19" i="64"/>
  <c r="W19"/>
  <c r="AO296" i="42"/>
  <c r="U20" i="64"/>
  <c r="W20"/>
  <c r="AO297" i="42"/>
  <c r="U21" i="64"/>
  <c r="W21"/>
  <c r="AO298" i="42"/>
  <c r="U22" i="64"/>
  <c r="W22"/>
  <c r="AO299" i="42"/>
  <c r="U23" i="64"/>
  <c r="W23"/>
  <c r="AO300" i="42"/>
  <c r="U24" i="64"/>
  <c r="W24"/>
  <c r="AO301" i="42"/>
  <c r="U25" i="64"/>
  <c r="W25"/>
  <c r="AO302" i="42"/>
  <c r="U26" i="64"/>
  <c r="W26"/>
  <c r="AO303" i="42"/>
  <c r="U27" i="64"/>
  <c r="AO304" i="42"/>
  <c r="AO305"/>
  <c r="AO306"/>
  <c r="AO307"/>
  <c r="U31" i="64"/>
  <c r="W31"/>
  <c r="AO308" i="42"/>
  <c r="AY306"/>
  <c r="X5" i="64"/>
  <c r="AP282" i="42"/>
  <c r="X6" i="64"/>
  <c r="AP283" i="42"/>
  <c r="X7" i="64"/>
  <c r="AP284" i="42"/>
  <c r="X8" i="64"/>
  <c r="AP285" i="42"/>
  <c r="X9" i="64"/>
  <c r="AP286" i="42"/>
  <c r="X10" i="64"/>
  <c r="AP287" i="42"/>
  <c r="X11" i="64"/>
  <c r="AP288" i="42"/>
  <c r="X12" i="64"/>
  <c r="AP289" i="42"/>
  <c r="X13" i="64"/>
  <c r="AP290" i="42"/>
  <c r="X14" i="64"/>
  <c r="AP291" i="42"/>
  <c r="X15" i="64"/>
  <c r="AP292" i="42"/>
  <c r="X16" i="64"/>
  <c r="AP293" i="42"/>
  <c r="X17" i="64"/>
  <c r="AP294" i="42"/>
  <c r="X18" i="64"/>
  <c r="AP295" i="42"/>
  <c r="X19" i="64"/>
  <c r="AP296" i="42"/>
  <c r="X20" i="64"/>
  <c r="AP297" i="42"/>
  <c r="X21" i="64"/>
  <c r="AP298" i="42"/>
  <c r="X22" i="64"/>
  <c r="AP299" i="42"/>
  <c r="X23" i="64"/>
  <c r="AP300" i="42"/>
  <c r="X24" i="64"/>
  <c r="AP301" i="42"/>
  <c r="X25" i="64"/>
  <c r="AP302" i="42"/>
  <c r="X26" i="64"/>
  <c r="AP303" i="42"/>
  <c r="AP304"/>
  <c r="AP305"/>
  <c r="AP306"/>
  <c r="AP307"/>
  <c r="AP308"/>
  <c r="AZ306"/>
  <c r="AQ282"/>
  <c r="AQ283"/>
  <c r="AQ284"/>
  <c r="AQ285"/>
  <c r="AQ286"/>
  <c r="AQ287"/>
  <c r="AQ288"/>
  <c r="AQ289"/>
  <c r="AQ290"/>
  <c r="AQ291"/>
  <c r="AQ292"/>
  <c r="AQ293"/>
  <c r="AQ294"/>
  <c r="AQ295"/>
  <c r="AQ296"/>
  <c r="AQ297"/>
  <c r="AQ298"/>
  <c r="AQ299"/>
  <c r="AQ300"/>
  <c r="AQ301"/>
  <c r="AQ302"/>
  <c r="AQ303"/>
  <c r="AQ304"/>
  <c r="AQ305"/>
  <c r="AQ306"/>
  <c r="AQ307"/>
  <c r="AQ308"/>
  <c r="C62" i="63"/>
  <c r="AG34"/>
  <c r="AF34"/>
  <c r="AQ280" i="42"/>
  <c r="BA306"/>
  <c r="AS282"/>
  <c r="AR282"/>
  <c r="AS283"/>
  <c r="AR283"/>
  <c r="AS284"/>
  <c r="AR284"/>
  <c r="AS285"/>
  <c r="AR285"/>
  <c r="AS286"/>
  <c r="AR286"/>
  <c r="AS287"/>
  <c r="AR287"/>
  <c r="AS288"/>
  <c r="AR288"/>
  <c r="AS289"/>
  <c r="AR289"/>
  <c r="AS290"/>
  <c r="AR290"/>
  <c r="AS291"/>
  <c r="AR291"/>
  <c r="AS292"/>
  <c r="AR292"/>
  <c r="AS293"/>
  <c r="AR293"/>
  <c r="AS294"/>
  <c r="AR294"/>
  <c r="AS295"/>
  <c r="AR295"/>
  <c r="AS296"/>
  <c r="AR296"/>
  <c r="AS297"/>
  <c r="AR297"/>
  <c r="AS298"/>
  <c r="AR298"/>
  <c r="AS299"/>
  <c r="AR299"/>
  <c r="AS300"/>
  <c r="AR300"/>
  <c r="AS301"/>
  <c r="AR301"/>
  <c r="AS302"/>
  <c r="AR302"/>
  <c r="AS303"/>
  <c r="AR303"/>
  <c r="AS304"/>
  <c r="AR304"/>
  <c r="AS305"/>
  <c r="AR305"/>
  <c r="AS306"/>
  <c r="AR306"/>
  <c r="AS307"/>
  <c r="AR307"/>
  <c r="AS308"/>
  <c r="AR308"/>
  <c r="AE34" i="63"/>
  <c r="AS280" i="42"/>
  <c r="AR280"/>
  <c r="BB306"/>
  <c r="BC306"/>
  <c r="AT282"/>
  <c r="AT283"/>
  <c r="AT284"/>
  <c r="AT285"/>
  <c r="AT286"/>
  <c r="AT287"/>
  <c r="AT288"/>
  <c r="AT289"/>
  <c r="AT290"/>
  <c r="AT291"/>
  <c r="AT292"/>
  <c r="AT293"/>
  <c r="AT294"/>
  <c r="AT295"/>
  <c r="AT296"/>
  <c r="AT297"/>
  <c r="AT298"/>
  <c r="AT299"/>
  <c r="AT300"/>
  <c r="AT301"/>
  <c r="AT302"/>
  <c r="AT303"/>
  <c r="AT304"/>
  <c r="AT305"/>
  <c r="AT306"/>
  <c r="AT307"/>
  <c r="AT308"/>
  <c r="BD306"/>
  <c r="O9" i="63"/>
  <c r="P9"/>
  <c r="T9"/>
  <c r="U9"/>
  <c r="W9"/>
  <c r="AO255" i="42"/>
  <c r="O10" i="63"/>
  <c r="P10"/>
  <c r="T10"/>
  <c r="U10"/>
  <c r="W10"/>
  <c r="AO256" i="42"/>
  <c r="O11" i="63"/>
  <c r="P11"/>
  <c r="U11"/>
  <c r="W11"/>
  <c r="AO257" i="42"/>
  <c r="O12" i="63"/>
  <c r="P12"/>
  <c r="U12"/>
  <c r="W12"/>
  <c r="AO258" i="42"/>
  <c r="O13" i="63"/>
  <c r="T13"/>
  <c r="U13"/>
  <c r="W13"/>
  <c r="AO259" i="42"/>
  <c r="U8" i="63"/>
  <c r="W8"/>
  <c r="AO254" i="42"/>
  <c r="U14" i="63"/>
  <c r="W14"/>
  <c r="AO260" i="42"/>
  <c r="U15" i="63"/>
  <c r="W15"/>
  <c r="AO261" i="42"/>
  <c r="U16" i="63"/>
  <c r="W16"/>
  <c r="AO262" i="42"/>
  <c r="U17" i="63"/>
  <c r="W17"/>
  <c r="AO263" i="42"/>
  <c r="U18" i="63"/>
  <c r="W18"/>
  <c r="AO264" i="42"/>
  <c r="O19" i="63"/>
  <c r="P19"/>
  <c r="T19"/>
  <c r="U19"/>
  <c r="W19"/>
  <c r="AO265" i="42"/>
  <c r="O20" i="63"/>
  <c r="T20"/>
  <c r="U20"/>
  <c r="W20"/>
  <c r="AO266" i="42"/>
  <c r="U21" i="63"/>
  <c r="W21"/>
  <c r="AO267" i="42"/>
  <c r="T22" i="63"/>
  <c r="U22"/>
  <c r="W22"/>
  <c r="AO268" i="42"/>
  <c r="U23" i="63"/>
  <c r="W23"/>
  <c r="AO269" i="42"/>
  <c r="U24" i="63"/>
  <c r="W24"/>
  <c r="AO270" i="42"/>
  <c r="U25" i="63"/>
  <c r="W25"/>
  <c r="AO271" i="42"/>
  <c r="U26" i="63"/>
  <c r="W26"/>
  <c r="AO272" i="42"/>
  <c r="U27" i="63"/>
  <c r="W27"/>
  <c r="AO273" i="42"/>
  <c r="U28" i="63"/>
  <c r="W28"/>
  <c r="AO274" i="42"/>
  <c r="O29" i="63"/>
  <c r="P29"/>
  <c r="T29"/>
  <c r="U29"/>
  <c r="W29"/>
  <c r="AO275" i="42"/>
  <c r="O30" i="63"/>
  <c r="P30"/>
  <c r="T30"/>
  <c r="U30"/>
  <c r="W30"/>
  <c r="AO276" i="42"/>
  <c r="O31" i="63"/>
  <c r="P31"/>
  <c r="T31"/>
  <c r="U31"/>
  <c r="W31"/>
  <c r="AO277" i="42"/>
  <c r="O32" i="63"/>
  <c r="P32"/>
  <c r="T32"/>
  <c r="U32"/>
  <c r="W32"/>
  <c r="AO278" i="42"/>
  <c r="O33" i="63"/>
  <c r="P33"/>
  <c r="T33"/>
  <c r="U33"/>
  <c r="W33"/>
  <c r="AO279" i="42"/>
  <c r="U34" i="63"/>
  <c r="W34"/>
  <c r="AO280" i="42"/>
  <c r="U4" i="64"/>
  <c r="W4"/>
  <c r="AO281" i="42"/>
  <c r="AY278"/>
  <c r="X9" i="63"/>
  <c r="AP255" i="42"/>
  <c r="X10" i="63"/>
  <c r="AP256" i="42"/>
  <c r="X11" i="63"/>
  <c r="AP257" i="42"/>
  <c r="X12" i="63"/>
  <c r="AP258" i="42"/>
  <c r="X13" i="63"/>
  <c r="AP259" i="42"/>
  <c r="X8" i="63"/>
  <c r="AP254" i="42"/>
  <c r="X14" i="63"/>
  <c r="AP260" i="42"/>
  <c r="X15" i="63"/>
  <c r="AP261" i="42"/>
  <c r="X16" i="63"/>
  <c r="AP262" i="42"/>
  <c r="X17" i="63"/>
  <c r="AP263" i="42"/>
  <c r="X18" i="63"/>
  <c r="AP264" i="42"/>
  <c r="X19" i="63"/>
  <c r="AP265" i="42"/>
  <c r="X20" i="63"/>
  <c r="AP266" i="42"/>
  <c r="X21" i="63"/>
  <c r="AP267" i="42"/>
  <c r="X22" i="63"/>
  <c r="AP268" i="42"/>
  <c r="X23" i="63"/>
  <c r="AP269" i="42"/>
  <c r="X24" i="63"/>
  <c r="AP270" i="42"/>
  <c r="X25" i="63"/>
  <c r="AP271" i="42"/>
  <c r="I26" i="63"/>
  <c r="X26"/>
  <c r="AP272" i="42"/>
  <c r="I27" i="63"/>
  <c r="X27"/>
  <c r="AP273" i="42"/>
  <c r="X28" i="63"/>
  <c r="AP274" i="42"/>
  <c r="X29" i="63"/>
  <c r="AP275" i="42"/>
  <c r="X30" i="63"/>
  <c r="AP276" i="42"/>
  <c r="X31" i="63"/>
  <c r="AP277" i="42"/>
  <c r="X32" i="63"/>
  <c r="AP278" i="42"/>
  <c r="X33" i="63"/>
  <c r="AP279" i="42"/>
  <c r="X34" i="63"/>
  <c r="AP280" i="42"/>
  <c r="X4" i="64"/>
  <c r="AP281" i="42"/>
  <c r="AZ278"/>
  <c r="AG9" i="63"/>
  <c r="AF9"/>
  <c r="AQ255" i="42"/>
  <c r="AG10" i="63"/>
  <c r="AF10"/>
  <c r="AQ256" i="42"/>
  <c r="AG11" i="63"/>
  <c r="AF11"/>
  <c r="AQ257" i="42"/>
  <c r="AG12" i="63"/>
  <c r="AF12"/>
  <c r="AQ258" i="42"/>
  <c r="AG13" i="63"/>
  <c r="AF13"/>
  <c r="AQ259" i="42"/>
  <c r="AG8" i="63"/>
  <c r="AF8"/>
  <c r="AQ254" i="42"/>
  <c r="AG14" i="63"/>
  <c r="AF14"/>
  <c r="AQ260" i="42"/>
  <c r="AG15" i="63"/>
  <c r="AF15"/>
  <c r="AQ261" i="42"/>
  <c r="AG16" i="63"/>
  <c r="AF16"/>
  <c r="AQ262" i="42"/>
  <c r="AG17" i="63"/>
  <c r="AF17"/>
  <c r="AQ263" i="42"/>
  <c r="AG18" i="63"/>
  <c r="AF18"/>
  <c r="AQ264" i="42"/>
  <c r="AG19" i="63"/>
  <c r="AF19"/>
  <c r="AQ265" i="42"/>
  <c r="AG20" i="63"/>
  <c r="AF20"/>
  <c r="AQ266" i="42"/>
  <c r="AG21" i="63"/>
  <c r="AF21"/>
  <c r="AQ267" i="42"/>
  <c r="AG22" i="63"/>
  <c r="AF22"/>
  <c r="AQ268" i="42"/>
  <c r="AG23" i="63"/>
  <c r="AF23"/>
  <c r="AQ269" i="42"/>
  <c r="AG24" i="63"/>
  <c r="AF24"/>
  <c r="AQ270" i="42"/>
  <c r="AG25" i="63"/>
  <c r="AF25"/>
  <c r="AQ271" i="42"/>
  <c r="AG26" i="63"/>
  <c r="AF26"/>
  <c r="AQ272" i="42"/>
  <c r="AG27" i="63"/>
  <c r="AF27"/>
  <c r="AQ273" i="42"/>
  <c r="AG28" i="63"/>
  <c r="AF28"/>
  <c r="AQ274" i="42"/>
  <c r="AG29" i="63"/>
  <c r="AF29"/>
  <c r="AQ275" i="42"/>
  <c r="AG30" i="63"/>
  <c r="AF30"/>
  <c r="AQ276" i="42"/>
  <c r="AG31" i="63"/>
  <c r="AF31"/>
  <c r="AQ277" i="42"/>
  <c r="AG32" i="63"/>
  <c r="AF32"/>
  <c r="AQ278" i="42"/>
  <c r="AG33" i="63"/>
  <c r="AF33"/>
  <c r="AQ279" i="42"/>
  <c r="AQ281"/>
  <c r="AG6" i="63"/>
  <c r="AF6"/>
  <c r="AQ252" i="42"/>
  <c r="AG7" i="63"/>
  <c r="AF7"/>
  <c r="AQ253" i="42"/>
  <c r="BA278"/>
  <c r="AE9" i="63"/>
  <c r="AS255" i="42"/>
  <c r="AR255"/>
  <c r="AE10" i="63"/>
  <c r="AS256" i="42"/>
  <c r="AR256"/>
  <c r="AE11" i="63"/>
  <c r="AS257" i="42"/>
  <c r="AR257"/>
  <c r="AE12" i="63"/>
  <c r="AS258" i="42"/>
  <c r="AR258"/>
  <c r="AE13" i="63"/>
  <c r="AS259" i="42"/>
  <c r="AR259"/>
  <c r="AE8" i="63"/>
  <c r="AS254" i="42"/>
  <c r="AR254"/>
  <c r="AE14" i="63"/>
  <c r="AS260" i="42"/>
  <c r="AR260"/>
  <c r="AE15" i="63"/>
  <c r="AS261" i="42"/>
  <c r="AR261"/>
  <c r="AE16" i="63"/>
  <c r="AS262" i="42"/>
  <c r="AR262"/>
  <c r="AE17" i="63"/>
  <c r="AS263" i="42"/>
  <c r="AR263"/>
  <c r="AE18" i="63"/>
  <c r="AS264" i="42"/>
  <c r="AR264"/>
  <c r="AE19" i="63"/>
  <c r="AS265" i="42"/>
  <c r="AR265"/>
  <c r="AE20" i="63"/>
  <c r="AS266" i="42"/>
  <c r="AR266"/>
  <c r="AE21" i="63"/>
  <c r="AS267" i="42"/>
  <c r="AR267"/>
  <c r="AE22" i="63"/>
  <c r="AS268" i="42"/>
  <c r="AR268"/>
  <c r="AE23" i="63"/>
  <c r="AS269" i="42"/>
  <c r="AR269"/>
  <c r="AE24" i="63"/>
  <c r="AS270" i="42"/>
  <c r="AR270"/>
  <c r="AE25" i="63"/>
  <c r="AS271" i="42"/>
  <c r="AR271"/>
  <c r="AE26" i="63"/>
  <c r="AS272" i="42"/>
  <c r="AR272"/>
  <c r="AE27" i="63"/>
  <c r="AS273" i="42"/>
  <c r="AR273"/>
  <c r="AE28" i="63"/>
  <c r="AS274" i="42"/>
  <c r="AR274"/>
  <c r="AE29" i="63"/>
  <c r="AS275" i="42"/>
  <c r="AR275"/>
  <c r="AE30" i="63"/>
  <c r="AS276" i="42"/>
  <c r="AR276"/>
  <c r="AE31" i="63"/>
  <c r="AS277" i="42"/>
  <c r="AR277"/>
  <c r="AE32" i="63"/>
  <c r="AS278" i="42"/>
  <c r="AR278"/>
  <c r="AE33" i="63"/>
  <c r="AS279" i="42"/>
  <c r="AR279"/>
  <c r="AS281"/>
  <c r="AR281"/>
  <c r="AE6" i="63"/>
  <c r="AS252" i="42"/>
  <c r="AR252"/>
  <c r="AE7" i="63"/>
  <c r="AS253" i="42"/>
  <c r="AR253"/>
  <c r="BB278"/>
  <c r="BC278"/>
  <c r="AT254"/>
  <c r="AT255"/>
  <c r="AT256"/>
  <c r="AT257"/>
  <c r="AT258"/>
  <c r="AT259"/>
  <c r="AT260"/>
  <c r="AT261"/>
  <c r="AT262"/>
  <c r="AT263"/>
  <c r="AT264"/>
  <c r="AT265"/>
  <c r="AT266"/>
  <c r="AT267"/>
  <c r="AT268"/>
  <c r="AT269"/>
  <c r="AT270"/>
  <c r="AT271"/>
  <c r="AT272"/>
  <c r="AT273"/>
  <c r="AT274"/>
  <c r="AT275"/>
  <c r="AT276"/>
  <c r="AT277"/>
  <c r="AT278"/>
  <c r="AT279"/>
  <c r="AT280"/>
  <c r="AT281"/>
  <c r="BD278"/>
  <c r="AM255"/>
  <c r="AN255"/>
  <c r="AM256"/>
  <c r="AN256"/>
  <c r="AM257"/>
  <c r="AN257"/>
  <c r="AM258"/>
  <c r="AN258"/>
  <c r="AM259"/>
  <c r="AN259"/>
  <c r="AM254"/>
  <c r="AN254"/>
  <c r="AM260"/>
  <c r="AN260"/>
  <c r="AM261"/>
  <c r="AN261"/>
  <c r="AM262"/>
  <c r="AN262"/>
  <c r="AM263"/>
  <c r="AN263"/>
  <c r="AM264"/>
  <c r="AN264"/>
  <c r="AM265"/>
  <c r="AN265"/>
  <c r="AM266"/>
  <c r="AN266"/>
  <c r="AM267"/>
  <c r="AN267"/>
  <c r="AM268"/>
  <c r="AN268"/>
  <c r="AM269"/>
  <c r="AN269"/>
  <c r="AM270"/>
  <c r="AN270"/>
  <c r="AM271"/>
  <c r="AN271"/>
  <c r="AM272"/>
  <c r="AN272"/>
  <c r="AM273"/>
  <c r="AN273"/>
  <c r="AM274"/>
  <c r="AN274"/>
  <c r="AM275"/>
  <c r="AN275"/>
  <c r="AM276"/>
  <c r="AN276"/>
  <c r="AM277"/>
  <c r="AN277"/>
  <c r="AM278"/>
  <c r="AN278"/>
  <c r="AM279"/>
  <c r="AN279"/>
  <c r="AM280"/>
  <c r="AN280"/>
  <c r="AM281"/>
  <c r="AN281"/>
  <c r="AX278"/>
  <c r="C61" i="62"/>
  <c r="C72"/>
  <c r="AG19"/>
  <c r="AE19"/>
  <c r="AS234" i="42"/>
  <c r="AG11" i="62"/>
  <c r="AE11"/>
  <c r="AS226" i="42"/>
  <c r="AG4" i="63"/>
  <c r="AE4"/>
  <c r="AS250" i="42"/>
  <c r="AG5" i="63"/>
  <c r="AE5"/>
  <c r="AS251" i="42"/>
  <c r="AG12" i="62"/>
  <c r="AE12"/>
  <c r="AS227" i="42"/>
  <c r="AG13" i="62"/>
  <c r="AE13"/>
  <c r="AS228" i="42"/>
  <c r="AG14" i="62"/>
  <c r="AE14"/>
  <c r="AS229" i="42"/>
  <c r="AG15" i="62"/>
  <c r="AE15"/>
  <c r="AS230" i="42"/>
  <c r="AG16" i="62"/>
  <c r="AE16"/>
  <c r="AS231" i="42"/>
  <c r="AG17" i="62"/>
  <c r="AE17"/>
  <c r="AS232" i="42"/>
  <c r="AG18" i="62"/>
  <c r="AE18"/>
  <c r="AS233" i="42"/>
  <c r="AG20" i="62"/>
  <c r="AE20"/>
  <c r="AS235" i="42"/>
  <c r="AG21" i="62"/>
  <c r="AE21"/>
  <c r="AS236" i="42"/>
  <c r="AG22" i="62"/>
  <c r="AE22"/>
  <c r="AS237" i="42"/>
  <c r="AG23" i="62"/>
  <c r="AE23"/>
  <c r="AS238" i="42"/>
  <c r="AG24" i="62"/>
  <c r="AE24"/>
  <c r="AS239" i="42"/>
  <c r="AG25" i="62"/>
  <c r="AE25"/>
  <c r="AS240" i="42"/>
  <c r="AG26" i="62"/>
  <c r="AE26"/>
  <c r="AS241" i="42"/>
  <c r="AG27" i="62"/>
  <c r="AE27"/>
  <c r="AS242" i="42"/>
  <c r="U28" i="62"/>
  <c r="W28"/>
  <c r="AG28"/>
  <c r="AE28"/>
  <c r="AS243" i="42"/>
  <c r="AG29" i="62"/>
  <c r="AE29"/>
  <c r="AS244" i="42"/>
  <c r="AG30" i="62"/>
  <c r="AE30"/>
  <c r="AS245" i="42"/>
  <c r="AG31" i="62"/>
  <c r="AE31"/>
  <c r="AS246" i="42"/>
  <c r="AG32" i="62"/>
  <c r="AE32"/>
  <c r="AS247" i="42"/>
  <c r="AG33" i="62"/>
  <c r="AE33"/>
  <c r="AS248" i="42"/>
  <c r="AG34" i="62"/>
  <c r="AE34"/>
  <c r="AS249" i="42"/>
  <c r="AG9" i="62"/>
  <c r="AE9"/>
  <c r="AS224" i="42"/>
  <c r="AG10" i="62"/>
  <c r="AE10"/>
  <c r="AS225" i="42"/>
  <c r="BC247"/>
  <c r="U19" i="62"/>
  <c r="W19"/>
  <c r="AO234" i="42"/>
  <c r="P11" i="62"/>
  <c r="O11"/>
  <c r="T11"/>
  <c r="U11"/>
  <c r="W11"/>
  <c r="AO226" i="42"/>
  <c r="O4" i="63"/>
  <c r="P4"/>
  <c r="T4"/>
  <c r="U4"/>
  <c r="W4"/>
  <c r="AO250" i="42"/>
  <c r="P5" i="63"/>
  <c r="O5"/>
  <c r="T5"/>
  <c r="U5"/>
  <c r="W5"/>
  <c r="AO251" i="42"/>
  <c r="U12" i="62"/>
  <c r="W12"/>
  <c r="AO227" i="42"/>
  <c r="U13" i="62"/>
  <c r="W13"/>
  <c r="AO228" i="42"/>
  <c r="U14" i="62"/>
  <c r="W14"/>
  <c r="AO229" i="42"/>
  <c r="U15" i="62"/>
  <c r="W15"/>
  <c r="AO230" i="42"/>
  <c r="U16" i="62"/>
  <c r="W16"/>
  <c r="AO231" i="42"/>
  <c r="U17" i="62"/>
  <c r="W17"/>
  <c r="AO232" i="42"/>
  <c r="U18" i="62"/>
  <c r="W18"/>
  <c r="AO233" i="42"/>
  <c r="U20" i="62"/>
  <c r="W20"/>
  <c r="AO235" i="42"/>
  <c r="U21" i="62"/>
  <c r="W21"/>
  <c r="AO236" i="42"/>
  <c r="U22" i="62"/>
  <c r="W22"/>
  <c r="AO237" i="42"/>
  <c r="U23" i="62"/>
  <c r="W23"/>
  <c r="AO238" i="42"/>
  <c r="U24" i="62"/>
  <c r="W24"/>
  <c r="AO239" i="42"/>
  <c r="O25" i="62"/>
  <c r="P25"/>
  <c r="U25"/>
  <c r="W25"/>
  <c r="AO240" i="42"/>
  <c r="O26" i="62"/>
  <c r="P26"/>
  <c r="U26"/>
  <c r="W26"/>
  <c r="AO241" i="42"/>
  <c r="O27" i="62"/>
  <c r="P27"/>
  <c r="U27"/>
  <c r="W27"/>
  <c r="AO242" i="42"/>
  <c r="AO243"/>
  <c r="O29" i="62"/>
  <c r="P29"/>
  <c r="U29"/>
  <c r="W29"/>
  <c r="AO244" i="42"/>
  <c r="O30" i="62"/>
  <c r="P30"/>
  <c r="U30"/>
  <c r="W30"/>
  <c r="AO245" i="42"/>
  <c r="U31" i="62"/>
  <c r="W31"/>
  <c r="AO246" i="42"/>
  <c r="U32" i="62"/>
  <c r="W32"/>
  <c r="AO247" i="42"/>
  <c r="O33" i="62"/>
  <c r="P33"/>
  <c r="T33"/>
  <c r="U33"/>
  <c r="W33"/>
  <c r="AO248" i="42"/>
  <c r="U34" i="62"/>
  <c r="W34"/>
  <c r="AO249" i="42"/>
  <c r="U6" i="63"/>
  <c r="W6"/>
  <c r="AO252" i="42"/>
  <c r="U7" i="63"/>
  <c r="W7"/>
  <c r="AO253" i="42"/>
  <c r="AY247"/>
  <c r="X19" i="62"/>
  <c r="AP234" i="42"/>
  <c r="X11" i="62"/>
  <c r="AP226" i="42"/>
  <c r="X4" i="63"/>
  <c r="AP250" i="42"/>
  <c r="X5" i="63"/>
  <c r="AP251" i="42"/>
  <c r="X12" i="62"/>
  <c r="AP227" i="42"/>
  <c r="X13" i="62"/>
  <c r="AP228" i="42"/>
  <c r="X14" i="62"/>
  <c r="AP229" i="42"/>
  <c r="X15" i="62"/>
  <c r="AP230" i="42"/>
  <c r="X16" i="62"/>
  <c r="AP231" i="42"/>
  <c r="X17" i="62"/>
  <c r="AP232" i="42"/>
  <c r="X18" i="62"/>
  <c r="AP233" i="42"/>
  <c r="X20" i="62"/>
  <c r="AP235" i="42"/>
  <c r="X21" i="62"/>
  <c r="AP236" i="42"/>
  <c r="X22" i="62"/>
  <c r="AP237" i="42"/>
  <c r="X23" i="62"/>
  <c r="AP238" i="42"/>
  <c r="X24" i="62"/>
  <c r="AP239" i="42"/>
  <c r="X25" i="62"/>
  <c r="AP240" i="42"/>
  <c r="X26" i="62"/>
  <c r="AP241" i="42"/>
  <c r="X27" i="62"/>
  <c r="AP242" i="42"/>
  <c r="X28" i="62"/>
  <c r="AP243" i="42"/>
  <c r="X29" i="62"/>
  <c r="AP244" i="42"/>
  <c r="X30" i="62"/>
  <c r="AP245" i="42"/>
  <c r="X31" i="62"/>
  <c r="AP246" i="42"/>
  <c r="X32" i="62"/>
  <c r="AP247" i="42"/>
  <c r="X33" i="62"/>
  <c r="AP248" i="42"/>
  <c r="X34" i="62"/>
  <c r="AP249" i="42"/>
  <c r="X6" i="63"/>
  <c r="AP252" i="42"/>
  <c r="X7" i="63"/>
  <c r="AP253" i="42"/>
  <c r="AZ247"/>
  <c r="AF19" i="62"/>
  <c r="AQ234" i="42"/>
  <c r="AF11" i="62"/>
  <c r="AQ226" i="42"/>
  <c r="AF4" i="63"/>
  <c r="AQ250" i="42"/>
  <c r="AF5" i="63"/>
  <c r="AQ251" i="42"/>
  <c r="AF12" i="62"/>
  <c r="AQ227" i="42"/>
  <c r="AF13" i="62"/>
  <c r="AQ228" i="42"/>
  <c r="AF14" i="62"/>
  <c r="AQ229" i="42"/>
  <c r="AF15" i="62"/>
  <c r="AQ230" i="42"/>
  <c r="AF16" i="62"/>
  <c r="AQ231" i="42"/>
  <c r="AF17" i="62"/>
  <c r="AQ232" i="42"/>
  <c r="AF18" i="62"/>
  <c r="AQ233" i="42"/>
  <c r="AF20" i="62"/>
  <c r="AQ235" i="42"/>
  <c r="AF21" i="62"/>
  <c r="AQ236" i="42"/>
  <c r="AF22" i="62"/>
  <c r="AQ237" i="42"/>
  <c r="AF23" i="62"/>
  <c r="AQ238" i="42"/>
  <c r="AF24" i="62"/>
  <c r="AQ239" i="42"/>
  <c r="AF25" i="62"/>
  <c r="AQ240" i="42"/>
  <c r="AF26" i="62"/>
  <c r="AQ241" i="42"/>
  <c r="AF27" i="62"/>
  <c r="AQ242" i="42"/>
  <c r="AF28" i="62"/>
  <c r="AQ243" i="42"/>
  <c r="AF29" i="62"/>
  <c r="AQ244" i="42"/>
  <c r="AF30" i="62"/>
  <c r="AQ245" i="42"/>
  <c r="AF31" i="62"/>
  <c r="AQ246" i="42"/>
  <c r="AF32" i="62"/>
  <c r="AQ247" i="42"/>
  <c r="AF33" i="62"/>
  <c r="AQ248" i="42"/>
  <c r="AF34" i="62"/>
  <c r="AQ249" i="42"/>
  <c r="AF9" i="62"/>
  <c r="AQ224" i="42"/>
  <c r="AF10" i="62"/>
  <c r="AQ225" i="42"/>
  <c r="BA247"/>
  <c r="AR234"/>
  <c r="AR226"/>
  <c r="AR250"/>
  <c r="AR251"/>
  <c r="AR227"/>
  <c r="AR228"/>
  <c r="AR229"/>
  <c r="AR230"/>
  <c r="AR231"/>
  <c r="AR232"/>
  <c r="AR233"/>
  <c r="AR235"/>
  <c r="AR236"/>
  <c r="AR237"/>
  <c r="AR238"/>
  <c r="AR239"/>
  <c r="AR240"/>
  <c r="AR241"/>
  <c r="AR242"/>
  <c r="AR243"/>
  <c r="AR244"/>
  <c r="AR245"/>
  <c r="AR246"/>
  <c r="AR247"/>
  <c r="AR248"/>
  <c r="AR249"/>
  <c r="AR224"/>
  <c r="AR225"/>
  <c r="BB247"/>
  <c r="AT234"/>
  <c r="AT226"/>
  <c r="AT227"/>
  <c r="AT228"/>
  <c r="AT229"/>
  <c r="AT230"/>
  <c r="AT231"/>
  <c r="AT232"/>
  <c r="AT233"/>
  <c r="AT235"/>
  <c r="AT236"/>
  <c r="AT237"/>
  <c r="AT238"/>
  <c r="AT239"/>
  <c r="AT240"/>
  <c r="AT241"/>
  <c r="AT242"/>
  <c r="AT243"/>
  <c r="AT244"/>
  <c r="AT245"/>
  <c r="AT246"/>
  <c r="AT247"/>
  <c r="AT248"/>
  <c r="AT249"/>
  <c r="AT250"/>
  <c r="AT251"/>
  <c r="AT252"/>
  <c r="AT253"/>
  <c r="BD247"/>
  <c r="AM234"/>
  <c r="AN234"/>
  <c r="AM226"/>
  <c r="AN226"/>
  <c r="AM250"/>
  <c r="AN250"/>
  <c r="AM251"/>
  <c r="AN251"/>
  <c r="AM227"/>
  <c r="AN227"/>
  <c r="AM228"/>
  <c r="AN228"/>
  <c r="AM229"/>
  <c r="AN229"/>
  <c r="AM230"/>
  <c r="AN230"/>
  <c r="AM231"/>
  <c r="AN231"/>
  <c r="AM232"/>
  <c r="AN232"/>
  <c r="AM233"/>
  <c r="AN233"/>
  <c r="AM235"/>
  <c r="AN235"/>
  <c r="AM236"/>
  <c r="AN236"/>
  <c r="AM237"/>
  <c r="AN237"/>
  <c r="AM238"/>
  <c r="AN238"/>
  <c r="AM239"/>
  <c r="AN239"/>
  <c r="AM240"/>
  <c r="AN240"/>
  <c r="AM241"/>
  <c r="AN241"/>
  <c r="AM242"/>
  <c r="AN242"/>
  <c r="AM243"/>
  <c r="AN243"/>
  <c r="AM244"/>
  <c r="AN244"/>
  <c r="AM245"/>
  <c r="AN245"/>
  <c r="AM246"/>
  <c r="AN246"/>
  <c r="AM247"/>
  <c r="AN247"/>
  <c r="AM248"/>
  <c r="AN248"/>
  <c r="AM249"/>
  <c r="AN249"/>
  <c r="AM252"/>
  <c r="AN252"/>
  <c r="AM253"/>
  <c r="AN253"/>
  <c r="AX247"/>
  <c r="C61" i="61"/>
  <c r="C70"/>
  <c r="C71"/>
  <c r="AG29"/>
  <c r="AE29"/>
  <c r="AS214" i="42"/>
  <c r="AF29" i="61"/>
  <c r="AQ214" i="42"/>
  <c r="AR214"/>
  <c r="AG30" i="61"/>
  <c r="AE30"/>
  <c r="AS215" i="42"/>
  <c r="AF30" i="61"/>
  <c r="AQ215" i="42"/>
  <c r="AR215"/>
  <c r="AG31" i="61"/>
  <c r="AE31"/>
  <c r="AS216" i="42"/>
  <c r="AF31" i="61"/>
  <c r="AQ216" i="42"/>
  <c r="AR216"/>
  <c r="AG32" i="61"/>
  <c r="AE32"/>
  <c r="AS217" i="42"/>
  <c r="AF32" i="61"/>
  <c r="AQ217" i="42"/>
  <c r="AR217"/>
  <c r="AG13" i="61"/>
  <c r="AE13"/>
  <c r="AS198" i="42"/>
  <c r="AF13" i="61"/>
  <c r="AQ198" i="42"/>
  <c r="AR198"/>
  <c r="U14" i="61"/>
  <c r="W14"/>
  <c r="AG14"/>
  <c r="AE14"/>
  <c r="AS199" i="42"/>
  <c r="AF14" i="61"/>
  <c r="AQ199" i="42"/>
  <c r="AR199"/>
  <c r="AG15" i="61"/>
  <c r="AE15"/>
  <c r="AS200" i="42"/>
  <c r="AF15" i="61"/>
  <c r="AQ200" i="42"/>
  <c r="AR200"/>
  <c r="AG16" i="61"/>
  <c r="AE16"/>
  <c r="AS201" i="42"/>
  <c r="AF16" i="61"/>
  <c r="AQ201" i="42"/>
  <c r="AR201"/>
  <c r="AG17" i="61"/>
  <c r="AE17"/>
  <c r="AS202" i="42"/>
  <c r="AF17" i="61"/>
  <c r="AQ202" i="42"/>
  <c r="AR202"/>
  <c r="AG18" i="61"/>
  <c r="AE18"/>
  <c r="AS203" i="42"/>
  <c r="AF18" i="61"/>
  <c r="AQ203" i="42"/>
  <c r="AR203"/>
  <c r="AG19" i="61"/>
  <c r="AE19"/>
  <c r="AS204" i="42"/>
  <c r="AF19" i="61"/>
  <c r="AQ204" i="42"/>
  <c r="AR204"/>
  <c r="AG20" i="61"/>
  <c r="AE20"/>
  <c r="AS205" i="42"/>
  <c r="AF20" i="61"/>
  <c r="AQ205" i="42"/>
  <c r="AR205"/>
  <c r="AG21" i="61"/>
  <c r="AE21"/>
  <c r="AS206" i="42"/>
  <c r="AF21" i="61"/>
  <c r="AQ206" i="42"/>
  <c r="AR206"/>
  <c r="AG22" i="61"/>
  <c r="AE22"/>
  <c r="AS207" i="42"/>
  <c r="AF22" i="61"/>
  <c r="AQ207" i="42"/>
  <c r="AR207"/>
  <c r="AG23" i="61"/>
  <c r="AE23"/>
  <c r="AS208" i="42"/>
  <c r="AF23" i="61"/>
  <c r="AQ208" i="42"/>
  <c r="AR208"/>
  <c r="AG24" i="61"/>
  <c r="AE24"/>
  <c r="AS209" i="42"/>
  <c r="AF24" i="61"/>
  <c r="AQ209" i="42"/>
  <c r="AR209"/>
  <c r="AG25" i="61"/>
  <c r="AE25"/>
  <c r="AS210" i="42"/>
  <c r="AF25" i="61"/>
  <c r="AQ210" i="42"/>
  <c r="AR210"/>
  <c r="AG26" i="61"/>
  <c r="AE26"/>
  <c r="AS211" i="42"/>
  <c r="AF26" i="61"/>
  <c r="AQ211" i="42"/>
  <c r="AR211"/>
  <c r="AG27" i="61"/>
  <c r="AE27"/>
  <c r="AS212" i="42"/>
  <c r="AF27" i="61"/>
  <c r="AQ212" i="42"/>
  <c r="AR212"/>
  <c r="AG28" i="61"/>
  <c r="AE28"/>
  <c r="AS213" i="42"/>
  <c r="AF28" i="61"/>
  <c r="AQ213" i="42"/>
  <c r="AR213"/>
  <c r="AG33" i="61"/>
  <c r="AE33"/>
  <c r="AS218" i="42"/>
  <c r="AF33" i="61"/>
  <c r="AQ218" i="42"/>
  <c r="AR218"/>
  <c r="AG4" i="62"/>
  <c r="AE4"/>
  <c r="AS219" i="42"/>
  <c r="AF4" i="62"/>
  <c r="AQ219" i="42"/>
  <c r="AR219"/>
  <c r="AG5" i="62"/>
  <c r="AE5"/>
  <c r="AS220" i="42"/>
  <c r="AF5" i="62"/>
  <c r="AQ220" i="42"/>
  <c r="AR220"/>
  <c r="AG6" i="62"/>
  <c r="AE6"/>
  <c r="AS221" i="42"/>
  <c r="AF6" i="62"/>
  <c r="AQ221" i="42"/>
  <c r="AR221"/>
  <c r="AG7" i="62"/>
  <c r="AE7"/>
  <c r="AS222" i="42"/>
  <c r="AF7" i="62"/>
  <c r="AQ222" i="42"/>
  <c r="AR222"/>
  <c r="AG8" i="62"/>
  <c r="AE8"/>
  <c r="AS223" i="42"/>
  <c r="AF8" i="62"/>
  <c r="AQ223" i="42"/>
  <c r="AR223"/>
  <c r="AG11" i="61"/>
  <c r="AE11"/>
  <c r="AS196" i="42"/>
  <c r="AF11" i="61"/>
  <c r="AQ196" i="42"/>
  <c r="AR196"/>
  <c r="AG12" i="61"/>
  <c r="AE12"/>
  <c r="AS197" i="42"/>
  <c r="AF12" i="61"/>
  <c r="AQ197" i="42"/>
  <c r="AR197"/>
  <c r="BB216"/>
  <c r="O29" i="61"/>
  <c r="P29"/>
  <c r="T29"/>
  <c r="U29"/>
  <c r="W29"/>
  <c r="AO214" i="42"/>
  <c r="O30" i="61"/>
  <c r="P30"/>
  <c r="T30"/>
  <c r="U30"/>
  <c r="W30"/>
  <c r="AO215" i="42"/>
  <c r="O31" i="61"/>
  <c r="P31"/>
  <c r="T31"/>
  <c r="U31"/>
  <c r="W31"/>
  <c r="AO216" i="42"/>
  <c r="O32" i="61"/>
  <c r="P32"/>
  <c r="T32"/>
  <c r="U32"/>
  <c r="W32"/>
  <c r="AO217" i="42"/>
  <c r="O13" i="61"/>
  <c r="P13"/>
  <c r="T13"/>
  <c r="U13"/>
  <c r="W13"/>
  <c r="AO198" i="42"/>
  <c r="AO199"/>
  <c r="O15" i="61"/>
  <c r="P15"/>
  <c r="T15"/>
  <c r="U15"/>
  <c r="W15"/>
  <c r="AO200" i="42"/>
  <c r="O16" i="61"/>
  <c r="P16"/>
  <c r="T16"/>
  <c r="U16"/>
  <c r="W16"/>
  <c r="AO201" i="42"/>
  <c r="O17" i="61"/>
  <c r="P17"/>
  <c r="T17"/>
  <c r="U17"/>
  <c r="W17"/>
  <c r="AO202" i="42"/>
  <c r="U18" i="61"/>
  <c r="W18"/>
  <c r="AO203" i="42"/>
  <c r="U19" i="61"/>
  <c r="W19"/>
  <c r="AO204" i="42"/>
  <c r="U20" i="61"/>
  <c r="W20"/>
  <c r="AO205" i="42"/>
  <c r="O21" i="61"/>
  <c r="P21"/>
  <c r="T21"/>
  <c r="U21"/>
  <c r="W21"/>
  <c r="AO206" i="42"/>
  <c r="O22" i="61"/>
  <c r="P22"/>
  <c r="T22"/>
  <c r="U22"/>
  <c r="W22"/>
  <c r="AO207" i="42"/>
  <c r="O23" i="61"/>
  <c r="P23"/>
  <c r="T23"/>
  <c r="U23"/>
  <c r="W23"/>
  <c r="AO208" i="42"/>
  <c r="O24" i="61"/>
  <c r="P24"/>
  <c r="T24"/>
  <c r="U24"/>
  <c r="W24"/>
  <c r="AO209" i="42"/>
  <c r="O25" i="61"/>
  <c r="P25"/>
  <c r="T25"/>
  <c r="U25"/>
  <c r="W25"/>
  <c r="AO210" i="42"/>
  <c r="U26" i="61"/>
  <c r="W26"/>
  <c r="AO211" i="42"/>
  <c r="U27" i="61"/>
  <c r="W27"/>
  <c r="AO212" i="42"/>
  <c r="O28" i="61"/>
  <c r="P28"/>
  <c r="T28"/>
  <c r="U28"/>
  <c r="W28"/>
  <c r="AO213" i="42"/>
  <c r="U33" i="61"/>
  <c r="W33"/>
  <c r="AO218" i="42"/>
  <c r="O4" i="62"/>
  <c r="P4"/>
  <c r="T4"/>
  <c r="U4"/>
  <c r="W4"/>
  <c r="AO219" i="42"/>
  <c r="O5" i="62"/>
  <c r="P5"/>
  <c r="T5"/>
  <c r="U5"/>
  <c r="W5"/>
  <c r="AO220" i="42"/>
  <c r="O6" i="62"/>
  <c r="P6"/>
  <c r="T6"/>
  <c r="U6"/>
  <c r="W6"/>
  <c r="AO221" i="42"/>
  <c r="O7" i="62"/>
  <c r="P7"/>
  <c r="T7"/>
  <c r="U7"/>
  <c r="W7"/>
  <c r="AO222" i="42"/>
  <c r="O8" i="62"/>
  <c r="P8"/>
  <c r="T8"/>
  <c r="U8"/>
  <c r="W8"/>
  <c r="AO223" i="42"/>
  <c r="U9" i="62"/>
  <c r="W9"/>
  <c r="AO224" i="42"/>
  <c r="U10" i="62"/>
  <c r="W10"/>
  <c r="AO225" i="42"/>
  <c r="AY216"/>
  <c r="X29" i="61"/>
  <c r="AP214" i="42"/>
  <c r="X30" i="61"/>
  <c r="AP215" i="42"/>
  <c r="X31" i="61"/>
  <c r="AP216" i="42"/>
  <c r="X32" i="61"/>
  <c r="AP217" i="42"/>
  <c r="X13" i="61"/>
  <c r="AP198" i="42"/>
  <c r="X14" i="61"/>
  <c r="AP199" i="42"/>
  <c r="X15" i="61"/>
  <c r="AP200" i="42"/>
  <c r="X16" i="61"/>
  <c r="AP201" i="42"/>
  <c r="X17" i="61"/>
  <c r="AP202" i="42"/>
  <c r="X18" i="61"/>
  <c r="AP203" i="42"/>
  <c r="X19" i="61"/>
  <c r="AP204" i="42"/>
  <c r="X20" i="61"/>
  <c r="AP205" i="42"/>
  <c r="X21" i="61"/>
  <c r="AP206" i="42"/>
  <c r="X22" i="61"/>
  <c r="AP207" i="42"/>
  <c r="X23" i="61"/>
  <c r="AP208" i="42"/>
  <c r="X24" i="61"/>
  <c r="AP209" i="42"/>
  <c r="X25" i="61"/>
  <c r="AP210" i="42"/>
  <c r="X26" i="61"/>
  <c r="AP211" i="42"/>
  <c r="X27" i="61"/>
  <c r="AP212" i="42"/>
  <c r="X28" i="61"/>
  <c r="AP213" i="42"/>
  <c r="X33" i="61"/>
  <c r="AP218" i="42"/>
  <c r="X4" i="62"/>
  <c r="AP219" i="42"/>
  <c r="X5" i="62"/>
  <c r="AP220" i="42"/>
  <c r="X6" i="62"/>
  <c r="AP221" i="42"/>
  <c r="X7" i="62"/>
  <c r="AP222" i="42"/>
  <c r="X8" i="62"/>
  <c r="AP223" i="42"/>
  <c r="X9" i="62"/>
  <c r="AP224" i="42"/>
  <c r="X10" i="62"/>
  <c r="AP225" i="42"/>
  <c r="AZ216"/>
  <c r="BA216"/>
  <c r="BC216"/>
  <c r="AT198"/>
  <c r="AT199"/>
  <c r="AT200"/>
  <c r="AT201"/>
  <c r="AT202"/>
  <c r="AT203"/>
  <c r="AT204"/>
  <c r="AT205"/>
  <c r="AT206"/>
  <c r="AT207"/>
  <c r="AT208"/>
  <c r="AT209"/>
  <c r="AT210"/>
  <c r="AT211"/>
  <c r="AT212"/>
  <c r="AT213"/>
  <c r="AT214"/>
  <c r="AT215"/>
  <c r="AT216"/>
  <c r="AT217"/>
  <c r="AT218"/>
  <c r="AT219"/>
  <c r="AT220"/>
  <c r="AT221"/>
  <c r="AT222"/>
  <c r="AT223"/>
  <c r="AT224"/>
  <c r="AT225"/>
  <c r="BD216"/>
  <c r="AM214"/>
  <c r="AN214"/>
  <c r="AM215"/>
  <c r="AN215"/>
  <c r="AM216"/>
  <c r="AN216"/>
  <c r="AM217"/>
  <c r="AN217"/>
  <c r="AM198"/>
  <c r="AN198"/>
  <c r="AM199"/>
  <c r="AN199"/>
  <c r="AM200"/>
  <c r="AN200"/>
  <c r="AM201"/>
  <c r="AN201"/>
  <c r="AM202"/>
  <c r="AN202"/>
  <c r="AM203"/>
  <c r="AN203"/>
  <c r="AM204"/>
  <c r="AN204"/>
  <c r="AM205"/>
  <c r="AN205"/>
  <c r="AM206"/>
  <c r="AN206"/>
  <c r="AM207"/>
  <c r="AN207"/>
  <c r="AM208"/>
  <c r="AN208"/>
  <c r="AM209"/>
  <c r="AN209"/>
  <c r="AM210"/>
  <c r="AN210"/>
  <c r="AM211"/>
  <c r="AN211"/>
  <c r="AM212"/>
  <c r="AN212"/>
  <c r="AM213"/>
  <c r="AN213"/>
  <c r="AM218"/>
  <c r="AN218"/>
  <c r="AM219"/>
  <c r="AN219"/>
  <c r="AM220"/>
  <c r="AN220"/>
  <c r="AM221"/>
  <c r="AN221"/>
  <c r="AM222"/>
  <c r="AN222"/>
  <c r="AM223"/>
  <c r="AN223"/>
  <c r="AM224"/>
  <c r="AN224"/>
  <c r="AM225"/>
  <c r="AN225"/>
  <c r="AX216"/>
  <c r="AM170"/>
  <c r="AN170"/>
  <c r="AM171"/>
  <c r="AN171"/>
  <c r="AM172"/>
  <c r="AN172"/>
  <c r="AM173"/>
  <c r="AN173"/>
  <c r="AM174"/>
  <c r="AN174"/>
  <c r="AM175"/>
  <c r="AN175"/>
  <c r="AM176"/>
  <c r="AN176"/>
  <c r="AM177"/>
  <c r="AN177"/>
  <c r="AM178"/>
  <c r="AN178"/>
  <c r="AM179"/>
  <c r="AN179"/>
  <c r="AM180"/>
  <c r="AN180"/>
  <c r="AM181"/>
  <c r="AN181"/>
  <c r="AM182"/>
  <c r="AN182"/>
  <c r="AM183"/>
  <c r="AN183"/>
  <c r="AM184"/>
  <c r="AN184"/>
  <c r="AM185"/>
  <c r="AN185"/>
  <c r="AM186"/>
  <c r="AN186"/>
  <c r="AM187"/>
  <c r="AN187"/>
  <c r="AM188"/>
  <c r="AN188"/>
  <c r="AM189"/>
  <c r="AN189"/>
  <c r="AM190"/>
  <c r="AN190"/>
  <c r="AM191"/>
  <c r="AN191"/>
  <c r="AM192"/>
  <c r="AN192"/>
  <c r="AM193"/>
  <c r="AN193"/>
  <c r="AM194"/>
  <c r="AN194"/>
  <c r="AM195"/>
  <c r="AN195"/>
  <c r="AM196"/>
  <c r="AN196"/>
  <c r="AM197"/>
  <c r="AN197"/>
  <c r="AX186"/>
  <c r="O16" i="60"/>
  <c r="P16"/>
  <c r="T16"/>
  <c r="U16"/>
  <c r="W16"/>
  <c r="AO170" i="42"/>
  <c r="O17" i="60"/>
  <c r="P17"/>
  <c r="T17"/>
  <c r="U17"/>
  <c r="W17"/>
  <c r="AO171" i="42"/>
  <c r="O18" i="60"/>
  <c r="P18"/>
  <c r="T18"/>
  <c r="U18"/>
  <c r="W18"/>
  <c r="AO172" i="42"/>
  <c r="O19" i="60"/>
  <c r="P19"/>
  <c r="T19"/>
  <c r="U19"/>
  <c r="W19"/>
  <c r="AO173" i="42"/>
  <c r="O20" i="60"/>
  <c r="P20"/>
  <c r="T20"/>
  <c r="U20"/>
  <c r="W20"/>
  <c r="AO174" i="42"/>
  <c r="O21" i="60"/>
  <c r="P21"/>
  <c r="T21"/>
  <c r="U21"/>
  <c r="W21"/>
  <c r="AO175" i="42"/>
  <c r="U22" i="60"/>
  <c r="W22"/>
  <c r="AO176" i="42"/>
  <c r="U23" i="60"/>
  <c r="W23"/>
  <c r="AO177" i="42"/>
  <c r="O24" i="60"/>
  <c r="P24"/>
  <c r="T24"/>
  <c r="U24"/>
  <c r="W24"/>
  <c r="AO178" i="42"/>
  <c r="O25" i="60"/>
  <c r="P25"/>
  <c r="T25"/>
  <c r="U25"/>
  <c r="W25"/>
  <c r="AO179" i="42"/>
  <c r="O26" i="60"/>
  <c r="P26"/>
  <c r="T26"/>
  <c r="U26"/>
  <c r="W26"/>
  <c r="AO180" i="42"/>
  <c r="O27" i="60"/>
  <c r="P27"/>
  <c r="T27"/>
  <c r="U27"/>
  <c r="W27"/>
  <c r="AO181" i="42"/>
  <c r="O28" i="60"/>
  <c r="P28"/>
  <c r="T28"/>
  <c r="U28"/>
  <c r="W28"/>
  <c r="AO182" i="42"/>
  <c r="U29" i="60"/>
  <c r="W29"/>
  <c r="AO183" i="42"/>
  <c r="O30" i="60"/>
  <c r="P30"/>
  <c r="T30"/>
  <c r="U30"/>
  <c r="W30"/>
  <c r="AO184" i="42"/>
  <c r="O31" i="60"/>
  <c r="P31"/>
  <c r="T31"/>
  <c r="U31"/>
  <c r="W31"/>
  <c r="AO185" i="42"/>
  <c r="O32" i="60"/>
  <c r="P32"/>
  <c r="T32"/>
  <c r="U32"/>
  <c r="W32"/>
  <c r="AO186" i="42"/>
  <c r="O33" i="60"/>
  <c r="P33"/>
  <c r="T33"/>
  <c r="U33"/>
  <c r="W33"/>
  <c r="AO187" i="42"/>
  <c r="U34" i="60"/>
  <c r="W34"/>
  <c r="AO188" i="42"/>
  <c r="U4" i="61"/>
  <c r="W4"/>
  <c r="AO189" i="42"/>
  <c r="U5" i="61"/>
  <c r="W5"/>
  <c r="AO190" i="42"/>
  <c r="O6" i="61"/>
  <c r="P6"/>
  <c r="T6"/>
  <c r="U6"/>
  <c r="W6"/>
  <c r="AO191" i="42"/>
  <c r="O7" i="61"/>
  <c r="P7"/>
  <c r="T7"/>
  <c r="U7"/>
  <c r="W7"/>
  <c r="AO192" i="42"/>
  <c r="O8" i="61"/>
  <c r="P8"/>
  <c r="T8"/>
  <c r="U8"/>
  <c r="W8"/>
  <c r="AO193" i="42"/>
  <c r="O9" i="61"/>
  <c r="P9"/>
  <c r="T9"/>
  <c r="U9"/>
  <c r="W9"/>
  <c r="AO194" i="42"/>
  <c r="O10" i="61"/>
  <c r="P10"/>
  <c r="T10"/>
  <c r="U10"/>
  <c r="W10"/>
  <c r="AO195" i="42"/>
  <c r="U11" i="61"/>
  <c r="W11"/>
  <c r="AO196" i="42"/>
  <c r="U12" i="61"/>
  <c r="W12"/>
  <c r="AO197" i="42"/>
  <c r="AY186"/>
  <c r="X16" i="60"/>
  <c r="AP170" i="42"/>
  <c r="X17" i="60"/>
  <c r="AP171" i="42"/>
  <c r="X18" i="60"/>
  <c r="AP172" i="42"/>
  <c r="X19" i="60"/>
  <c r="AP173" i="42"/>
  <c r="X20" i="60"/>
  <c r="AP174" i="42"/>
  <c r="X21" i="60"/>
  <c r="AP175" i="42"/>
  <c r="X22" i="60"/>
  <c r="AP176" i="42"/>
  <c r="X23" i="60"/>
  <c r="AP177" i="42"/>
  <c r="X24" i="60"/>
  <c r="AP178" i="42"/>
  <c r="X25" i="60"/>
  <c r="AP179" i="42"/>
  <c r="X26" i="60"/>
  <c r="AP180" i="42"/>
  <c r="X27" i="60"/>
  <c r="AP181" i="42"/>
  <c r="X28" i="60"/>
  <c r="AP182" i="42"/>
  <c r="X29" i="60"/>
  <c r="AP183" i="42"/>
  <c r="X30" i="60"/>
  <c r="AP184" i="42"/>
  <c r="X31" i="60"/>
  <c r="AP185" i="42"/>
  <c r="X32" i="60"/>
  <c r="AP186" i="42"/>
  <c r="X33" i="60"/>
  <c r="AP187" i="42"/>
  <c r="X34" i="60"/>
  <c r="AP188" i="42"/>
  <c r="X4" i="61"/>
  <c r="AP189" i="42"/>
  <c r="X5" i="61"/>
  <c r="AP190" i="42"/>
  <c r="X6" i="61"/>
  <c r="AP191" i="42"/>
  <c r="X7" i="61"/>
  <c r="AP192" i="42"/>
  <c r="X8" i="61"/>
  <c r="AP193" i="42"/>
  <c r="X9" i="61"/>
  <c r="AP194" i="42"/>
  <c r="X10" i="61"/>
  <c r="AP195" i="42"/>
  <c r="X11" i="61"/>
  <c r="AP196" i="42"/>
  <c r="X12" i="61"/>
  <c r="AP197" i="42"/>
  <c r="AZ186"/>
  <c r="AQ170"/>
  <c r="AQ171"/>
  <c r="AQ172"/>
  <c r="AQ173"/>
  <c r="AQ174"/>
  <c r="AQ175"/>
  <c r="AQ176"/>
  <c r="AQ177"/>
  <c r="AQ178"/>
  <c r="AQ179"/>
  <c r="AQ180"/>
  <c r="AQ181"/>
  <c r="AQ182"/>
  <c r="AQ183"/>
  <c r="AQ184"/>
  <c r="AQ185"/>
  <c r="AQ186"/>
  <c r="AQ187"/>
  <c r="AQ188"/>
  <c r="AG4" i="61"/>
  <c r="AF4"/>
  <c r="AQ189" i="42"/>
  <c r="AG5" i="61"/>
  <c r="AF5"/>
  <c r="AQ190" i="42"/>
  <c r="AG6" i="61"/>
  <c r="AF6"/>
  <c r="AQ191" i="42"/>
  <c r="AG7" i="61"/>
  <c r="AF7"/>
  <c r="AQ192" i="42"/>
  <c r="AG8" i="61"/>
  <c r="AF8"/>
  <c r="AQ193" i="42"/>
  <c r="AG9" i="61"/>
  <c r="AF9"/>
  <c r="AQ194" i="42"/>
  <c r="AG10" i="61"/>
  <c r="AF10"/>
  <c r="AQ195" i="42"/>
  <c r="BA186"/>
  <c r="C61" i="60"/>
  <c r="C70"/>
  <c r="AG16"/>
  <c r="AE16"/>
  <c r="AS170" i="42"/>
  <c r="AR170"/>
  <c r="AG17" i="60"/>
  <c r="AE17"/>
  <c r="AS171" i="42"/>
  <c r="AR171"/>
  <c r="AG18" i="60"/>
  <c r="AE18"/>
  <c r="AS172" i="42"/>
  <c r="AR172"/>
  <c r="AG19" i="60"/>
  <c r="AE19"/>
  <c r="AS173" i="42"/>
  <c r="AR173"/>
  <c r="AG20" i="60"/>
  <c r="AE20"/>
  <c r="AS174" i="42"/>
  <c r="AR174"/>
  <c r="AG21" i="60"/>
  <c r="AE21"/>
  <c r="AS175" i="42"/>
  <c r="AR175"/>
  <c r="AG22" i="60"/>
  <c r="AE22"/>
  <c r="AS176" i="42"/>
  <c r="AR176"/>
  <c r="AG23" i="60"/>
  <c r="AE23"/>
  <c r="AS177" i="42"/>
  <c r="AR177"/>
  <c r="AG24" i="60"/>
  <c r="AE24"/>
  <c r="AS178" i="42"/>
  <c r="AR178"/>
  <c r="AG25" i="60"/>
  <c r="AE25"/>
  <c r="AS179" i="42"/>
  <c r="AR179"/>
  <c r="AG26" i="60"/>
  <c r="AE26"/>
  <c r="AS180" i="42"/>
  <c r="AR180"/>
  <c r="AG27" i="60"/>
  <c r="AE27"/>
  <c r="AS181" i="42"/>
  <c r="AR181"/>
  <c r="AG28" i="60"/>
  <c r="AE28"/>
  <c r="AS182" i="42"/>
  <c r="AR182"/>
  <c r="AG29" i="60"/>
  <c r="AE29"/>
  <c r="AS183" i="42"/>
  <c r="AR183"/>
  <c r="AG30" i="60"/>
  <c r="AE30"/>
  <c r="AS184" i="42"/>
  <c r="AR184"/>
  <c r="AG31" i="60"/>
  <c r="AE31"/>
  <c r="AS185" i="42"/>
  <c r="AR185"/>
  <c r="AG32" i="60"/>
  <c r="AE32"/>
  <c r="AS186" i="42"/>
  <c r="AR186"/>
  <c r="AG33" i="60"/>
  <c r="AE33"/>
  <c r="AS187" i="42"/>
  <c r="AR187"/>
  <c r="AG34" i="60"/>
  <c r="AE34"/>
  <c r="AS188" i="42"/>
  <c r="AR188"/>
  <c r="AE4" i="61"/>
  <c r="AS189" i="42"/>
  <c r="AR189"/>
  <c r="AE5" i="61"/>
  <c r="AS190" i="42"/>
  <c r="AR190"/>
  <c r="AE6" i="61"/>
  <c r="AS191" i="42"/>
  <c r="AR191"/>
  <c r="AE7" i="61"/>
  <c r="AS192" i="42"/>
  <c r="AR192"/>
  <c r="AE8" i="61"/>
  <c r="AS193" i="42"/>
  <c r="AR193"/>
  <c r="AE9" i="61"/>
  <c r="AS194" i="42"/>
  <c r="AR194"/>
  <c r="AE10" i="61"/>
  <c r="AS195" i="42"/>
  <c r="AR195"/>
  <c r="AG14" i="60"/>
  <c r="AE14"/>
  <c r="AS168" i="42"/>
  <c r="AQ168"/>
  <c r="AR168"/>
  <c r="AG15" i="60"/>
  <c r="AE15"/>
  <c r="AS169" i="42"/>
  <c r="AQ169"/>
  <c r="AR169"/>
  <c r="BB186"/>
  <c r="BC186"/>
  <c r="AT170"/>
  <c r="AT171"/>
  <c r="AT172"/>
  <c r="AT173"/>
  <c r="AT174"/>
  <c r="AT175"/>
  <c r="AT176"/>
  <c r="AT177"/>
  <c r="AT178"/>
  <c r="AT179"/>
  <c r="AT180"/>
  <c r="AT181"/>
  <c r="AT182"/>
  <c r="AT183"/>
  <c r="AT184"/>
  <c r="AT185"/>
  <c r="AT186"/>
  <c r="AT187"/>
  <c r="AT188"/>
  <c r="AT189"/>
  <c r="AT190"/>
  <c r="AT191"/>
  <c r="AT192"/>
  <c r="AT193"/>
  <c r="AT194"/>
  <c r="AT195"/>
  <c r="AT196"/>
  <c r="AT197"/>
  <c r="BD186"/>
  <c r="U18" i="59"/>
  <c r="W18"/>
  <c r="AO142" i="42"/>
  <c r="O19" i="59"/>
  <c r="P19"/>
  <c r="T19"/>
  <c r="U19"/>
  <c r="W19"/>
  <c r="AO143" i="42"/>
  <c r="O20" i="59"/>
  <c r="P20"/>
  <c r="T20"/>
  <c r="U20"/>
  <c r="W20"/>
  <c r="AO144" i="42"/>
  <c r="O21" i="59"/>
  <c r="P21"/>
  <c r="T21"/>
  <c r="U21"/>
  <c r="W21"/>
  <c r="AO145" i="42"/>
  <c r="O22" i="59"/>
  <c r="P22"/>
  <c r="T22"/>
  <c r="U22"/>
  <c r="W22"/>
  <c r="AO146" i="42"/>
  <c r="U23" i="59"/>
  <c r="W23"/>
  <c r="AO147" i="42"/>
  <c r="U24" i="59"/>
  <c r="W24"/>
  <c r="AO148" i="42"/>
  <c r="U25" i="59"/>
  <c r="W25"/>
  <c r="AO149" i="42"/>
  <c r="O26" i="59"/>
  <c r="P26"/>
  <c r="T26"/>
  <c r="U26"/>
  <c r="W26"/>
  <c r="AO150" i="42"/>
  <c r="O27" i="59"/>
  <c r="P27"/>
  <c r="T27"/>
  <c r="U27"/>
  <c r="W27"/>
  <c r="AO151" i="42"/>
  <c r="O28" i="59"/>
  <c r="P28"/>
  <c r="T28"/>
  <c r="U28"/>
  <c r="W28"/>
  <c r="AO152" i="42"/>
  <c r="O29" i="59"/>
  <c r="P29"/>
  <c r="T29"/>
  <c r="U29"/>
  <c r="W29"/>
  <c r="AO153" i="42"/>
  <c r="O30" i="59"/>
  <c r="P30"/>
  <c r="T30"/>
  <c r="U30"/>
  <c r="W30"/>
  <c r="AO154" i="42"/>
  <c r="U31" i="59"/>
  <c r="W31"/>
  <c r="AO155" i="42"/>
  <c r="O32" i="59"/>
  <c r="P32"/>
  <c r="T32"/>
  <c r="U32"/>
  <c r="W32"/>
  <c r="AO156" i="42"/>
  <c r="O33" i="59"/>
  <c r="P33"/>
  <c r="T33"/>
  <c r="U33"/>
  <c r="W33"/>
  <c r="AO157" i="42"/>
  <c r="O4" i="60"/>
  <c r="P4"/>
  <c r="T4"/>
  <c r="U4"/>
  <c r="W4"/>
  <c r="AO158" i="42"/>
  <c r="O5" i="60"/>
  <c r="P5"/>
  <c r="T5"/>
  <c r="U5"/>
  <c r="W5"/>
  <c r="AO159" i="42"/>
  <c r="O6" i="60"/>
  <c r="P6"/>
  <c r="T6"/>
  <c r="U6"/>
  <c r="W6"/>
  <c r="AO160" i="42"/>
  <c r="U7" i="60"/>
  <c r="W7"/>
  <c r="AO161" i="42"/>
  <c r="U8" i="60"/>
  <c r="W8"/>
  <c r="AO162" i="42"/>
  <c r="O9" i="60"/>
  <c r="P9"/>
  <c r="T9"/>
  <c r="U9"/>
  <c r="W9"/>
  <c r="AO163" i="42"/>
  <c r="O10" i="60"/>
  <c r="P10"/>
  <c r="T10"/>
  <c r="U10"/>
  <c r="W10"/>
  <c r="AO164" i="42"/>
  <c r="O11" i="60"/>
  <c r="P11"/>
  <c r="T11"/>
  <c r="U11"/>
  <c r="W11"/>
  <c r="AO165" i="42"/>
  <c r="O12" i="60"/>
  <c r="P12"/>
  <c r="T12"/>
  <c r="U12"/>
  <c r="W12"/>
  <c r="AO166" i="42"/>
  <c r="O13" i="60"/>
  <c r="P13"/>
  <c r="T13"/>
  <c r="U13"/>
  <c r="W13"/>
  <c r="AO167" i="42"/>
  <c r="U14" i="60"/>
  <c r="W14"/>
  <c r="AO168" i="42"/>
  <c r="U15" i="60"/>
  <c r="W15"/>
  <c r="AO169" i="42"/>
  <c r="AY155"/>
  <c r="X18" i="59"/>
  <c r="AP142" i="42"/>
  <c r="X19" i="59"/>
  <c r="AP143" i="42"/>
  <c r="X20" i="59"/>
  <c r="AP144" i="42"/>
  <c r="X21" i="59"/>
  <c r="AP145" i="42"/>
  <c r="X22" i="59"/>
  <c r="AP146" i="42"/>
  <c r="X23" i="59"/>
  <c r="AP147" i="42"/>
  <c r="X24" i="59"/>
  <c r="AP148" i="42"/>
  <c r="X25" i="59"/>
  <c r="AP149" i="42"/>
  <c r="X26" i="59"/>
  <c r="AP150" i="42"/>
  <c r="X27" i="59"/>
  <c r="AP151" i="42"/>
  <c r="X28" i="59"/>
  <c r="AP152" i="42"/>
  <c r="X29" i="59"/>
  <c r="AP153" i="42"/>
  <c r="X30" i="59"/>
  <c r="AP154" i="42"/>
  <c r="X31" i="59"/>
  <c r="AP155" i="42"/>
  <c r="X32" i="59"/>
  <c r="AP156" i="42"/>
  <c r="X33" i="59"/>
  <c r="AP157" i="42"/>
  <c r="X4" i="60"/>
  <c r="AP158" i="42"/>
  <c r="X5" i="60"/>
  <c r="AP159" i="42"/>
  <c r="X6" i="60"/>
  <c r="AP160" i="42"/>
  <c r="X7" i="60"/>
  <c r="AP161" i="42"/>
  <c r="X8" i="60"/>
  <c r="AP162" i="42"/>
  <c r="X9" i="60"/>
  <c r="AP163" i="42"/>
  <c r="X10" i="60"/>
  <c r="AP164" i="42"/>
  <c r="X11" i="60"/>
  <c r="AP165" i="42"/>
  <c r="X12" i="60"/>
  <c r="AP166" i="42"/>
  <c r="X13" i="60"/>
  <c r="AP167" i="42"/>
  <c r="X14" i="60"/>
  <c r="AP168" i="42"/>
  <c r="X15" i="60"/>
  <c r="AP169" i="42"/>
  <c r="AZ155"/>
  <c r="AQ142"/>
  <c r="AQ143"/>
  <c r="AQ144"/>
  <c r="AQ145"/>
  <c r="AQ146"/>
  <c r="AQ147"/>
  <c r="AQ148"/>
  <c r="AQ149"/>
  <c r="AQ150"/>
  <c r="AQ151"/>
  <c r="AQ152"/>
  <c r="AQ153"/>
  <c r="AQ154"/>
  <c r="AQ155"/>
  <c r="AQ156"/>
  <c r="AQ157"/>
  <c r="AQ158"/>
  <c r="AQ159"/>
  <c r="AQ160"/>
  <c r="AQ161"/>
  <c r="AQ162"/>
  <c r="AQ163"/>
  <c r="AQ164"/>
  <c r="AQ165"/>
  <c r="AQ166"/>
  <c r="AQ167"/>
  <c r="BA155"/>
  <c r="AS142"/>
  <c r="AR142"/>
  <c r="AS143"/>
  <c r="AR143"/>
  <c r="AS144"/>
  <c r="AR144"/>
  <c r="AS145"/>
  <c r="AR145"/>
  <c r="AS146"/>
  <c r="AR146"/>
  <c r="AS147"/>
  <c r="AR147"/>
  <c r="AS148"/>
  <c r="AR148"/>
  <c r="AS149"/>
  <c r="AR149"/>
  <c r="AS150"/>
  <c r="AR150"/>
  <c r="AS151"/>
  <c r="AR151"/>
  <c r="AS152"/>
  <c r="AR152"/>
  <c r="AS153"/>
  <c r="AR153"/>
  <c r="AS154"/>
  <c r="AR154"/>
  <c r="AS155"/>
  <c r="AR155"/>
  <c r="AS156"/>
  <c r="AR156"/>
  <c r="AS157"/>
  <c r="AR157"/>
  <c r="AG4" i="60"/>
  <c r="AE4"/>
  <c r="AS158" i="42"/>
  <c r="AR158"/>
  <c r="AG5" i="60"/>
  <c r="AE5"/>
  <c r="AS159" i="42"/>
  <c r="AR159"/>
  <c r="AG6" i="60"/>
  <c r="AE6"/>
  <c r="AS160" i="42"/>
  <c r="AR160"/>
  <c r="AG7" i="60"/>
  <c r="AE7"/>
  <c r="AS161" i="42"/>
  <c r="AR161"/>
  <c r="AG8" i="60"/>
  <c r="AE8"/>
  <c r="AS162" i="42"/>
  <c r="AR162"/>
  <c r="AG9" i="60"/>
  <c r="AE9"/>
  <c r="AS163" i="42"/>
  <c r="AR163"/>
  <c r="AG10" i="60"/>
  <c r="AE10"/>
  <c r="AS164" i="42"/>
  <c r="AR164"/>
  <c r="AG11" i="60"/>
  <c r="AE11"/>
  <c r="AS165" i="42"/>
  <c r="AR165"/>
  <c r="AG12" i="60"/>
  <c r="AE12"/>
  <c r="AS166" i="42"/>
  <c r="AR166"/>
  <c r="AG13" i="60"/>
  <c r="AE13"/>
  <c r="AS167" i="42"/>
  <c r="AR167"/>
  <c r="BB155"/>
  <c r="BC155"/>
  <c r="AT142"/>
  <c r="AT143"/>
  <c r="AT144"/>
  <c r="AT145"/>
  <c r="AT146"/>
  <c r="AT147"/>
  <c r="AT148"/>
  <c r="AT149"/>
  <c r="AT150"/>
  <c r="AT151"/>
  <c r="AT152"/>
  <c r="AT153"/>
  <c r="AT154"/>
  <c r="AT155"/>
  <c r="AT156"/>
  <c r="AT157"/>
  <c r="AT158"/>
  <c r="AT159"/>
  <c r="AT160"/>
  <c r="AT161"/>
  <c r="AT162"/>
  <c r="AT163"/>
  <c r="AT164"/>
  <c r="AT165"/>
  <c r="AT166"/>
  <c r="AT167"/>
  <c r="AT168"/>
  <c r="AT169"/>
  <c r="BD155"/>
  <c r="AM142"/>
  <c r="AN142"/>
  <c r="AM143"/>
  <c r="AN143"/>
  <c r="AM144"/>
  <c r="AN144"/>
  <c r="AM145"/>
  <c r="AN145"/>
  <c r="AM146"/>
  <c r="AN146"/>
  <c r="AM147"/>
  <c r="AN147"/>
  <c r="AM148"/>
  <c r="AN148"/>
  <c r="AM149"/>
  <c r="AN149"/>
  <c r="AM150"/>
  <c r="AN150"/>
  <c r="AM151"/>
  <c r="AN151"/>
  <c r="AM152"/>
  <c r="AN152"/>
  <c r="AM153"/>
  <c r="AN153"/>
  <c r="AM154"/>
  <c r="AN154"/>
  <c r="AM155"/>
  <c r="AN155"/>
  <c r="AM156"/>
  <c r="AN156"/>
  <c r="AM157"/>
  <c r="AN157"/>
  <c r="AM158"/>
  <c r="AN158"/>
  <c r="AM159"/>
  <c r="AN159"/>
  <c r="AM160"/>
  <c r="AN160"/>
  <c r="AM161"/>
  <c r="AN161"/>
  <c r="AM162"/>
  <c r="AN162"/>
  <c r="AM163"/>
  <c r="AN163"/>
  <c r="AM164"/>
  <c r="AN164"/>
  <c r="AM165"/>
  <c r="AN165"/>
  <c r="AM166"/>
  <c r="AN166"/>
  <c r="AM167"/>
  <c r="AN167"/>
  <c r="AM168"/>
  <c r="AN168"/>
  <c r="AM169"/>
  <c r="AN169"/>
  <c r="AX155"/>
  <c r="O21" i="58"/>
  <c r="P21"/>
  <c r="T21"/>
  <c r="U21"/>
  <c r="W21"/>
  <c r="AO114" i="42"/>
  <c r="O22" i="58"/>
  <c r="P22"/>
  <c r="T22"/>
  <c r="U22"/>
  <c r="W22"/>
  <c r="AO115" i="42"/>
  <c r="O23" i="58"/>
  <c r="P23"/>
  <c r="T23"/>
  <c r="U23"/>
  <c r="W23"/>
  <c r="AO116" i="42"/>
  <c r="O24" i="58"/>
  <c r="P24"/>
  <c r="T24"/>
  <c r="U24"/>
  <c r="W24"/>
  <c r="AO117" i="42"/>
  <c r="O25" i="58"/>
  <c r="P25"/>
  <c r="T25"/>
  <c r="U25"/>
  <c r="W25"/>
  <c r="AO118" i="42"/>
  <c r="U26" i="58"/>
  <c r="W26"/>
  <c r="AO119" i="42"/>
  <c r="U27" i="58"/>
  <c r="W27"/>
  <c r="AO120" i="42"/>
  <c r="U28" i="58"/>
  <c r="W28"/>
  <c r="AO121" i="42"/>
  <c r="U29" i="58"/>
  <c r="W29"/>
  <c r="AO122" i="42"/>
  <c r="U30" i="58"/>
  <c r="W30"/>
  <c r="AO123" i="42"/>
  <c r="U31" i="58"/>
  <c r="W31"/>
  <c r="AO124" i="42"/>
  <c r="U32" i="58"/>
  <c r="W32"/>
  <c r="AO125" i="42"/>
  <c r="U33" i="58"/>
  <c r="W33"/>
  <c r="AO126" i="42"/>
  <c r="U34" i="58"/>
  <c r="W34"/>
  <c r="AO127" i="42"/>
  <c r="U4" i="59"/>
  <c r="W4"/>
  <c r="AO128" i="42"/>
  <c r="U5" i="59"/>
  <c r="W5"/>
  <c r="AO129" i="42"/>
  <c r="U6" i="59"/>
  <c r="W6"/>
  <c r="AO130" i="42"/>
  <c r="U7" i="59"/>
  <c r="W7"/>
  <c r="AO131" i="42"/>
  <c r="U8" i="59"/>
  <c r="W8"/>
  <c r="AO132" i="42"/>
  <c r="U9" i="59"/>
  <c r="W9"/>
  <c r="AO133" i="42"/>
  <c r="U10" i="59"/>
  <c r="W10"/>
  <c r="AO134" i="42"/>
  <c r="U11" i="59"/>
  <c r="W11"/>
  <c r="AO135" i="42"/>
  <c r="O12" i="59"/>
  <c r="P12"/>
  <c r="T12"/>
  <c r="U12"/>
  <c r="W12"/>
  <c r="AO136" i="42"/>
  <c r="O13" i="59"/>
  <c r="P13"/>
  <c r="T13"/>
  <c r="U13"/>
  <c r="W13"/>
  <c r="AO137" i="42"/>
  <c r="O14" i="59"/>
  <c r="P14"/>
  <c r="T14"/>
  <c r="U14"/>
  <c r="W14"/>
  <c r="AO138" i="42"/>
  <c r="O15" i="59"/>
  <c r="P15"/>
  <c r="T15"/>
  <c r="U15"/>
  <c r="W15"/>
  <c r="AO139" i="42"/>
  <c r="U16" i="59"/>
  <c r="W16"/>
  <c r="AO140" i="42"/>
  <c r="U17" i="59"/>
  <c r="W17"/>
  <c r="AO141" i="42"/>
  <c r="AY125"/>
  <c r="X21" i="58"/>
  <c r="AP114" i="42"/>
  <c r="X22" i="58"/>
  <c r="AP115" i="42"/>
  <c r="X23" i="58"/>
  <c r="AP116" i="42"/>
  <c r="X24" i="58"/>
  <c r="AP117" i="42"/>
  <c r="X25" i="58"/>
  <c r="AP118" i="42"/>
  <c r="X26" i="58"/>
  <c r="AP119" i="42"/>
  <c r="X27" i="58"/>
  <c r="AP120" i="42"/>
  <c r="X28" i="58"/>
  <c r="AP121" i="42"/>
  <c r="I29" i="58"/>
  <c r="X29"/>
  <c r="AP122" i="42"/>
  <c r="I30" i="58"/>
  <c r="X30"/>
  <c r="AP123" i="42"/>
  <c r="I31" i="58"/>
  <c r="X31"/>
  <c r="AP124" i="42"/>
  <c r="I32" i="58"/>
  <c r="X32"/>
  <c r="AP125" i="42"/>
  <c r="I33" i="58"/>
  <c r="X33"/>
  <c r="AP126" i="42"/>
  <c r="X34" i="58"/>
  <c r="AP127" i="42"/>
  <c r="X4" i="59"/>
  <c r="AP128" i="42"/>
  <c r="I5" i="59"/>
  <c r="X5"/>
  <c r="AP129" i="42"/>
  <c r="I6" i="59"/>
  <c r="X6"/>
  <c r="AP130" i="42"/>
  <c r="I7" i="59"/>
  <c r="X7"/>
  <c r="AP131" i="42"/>
  <c r="I8" i="59"/>
  <c r="X8"/>
  <c r="AP132" i="42"/>
  <c r="I9" i="59"/>
  <c r="X9"/>
  <c r="AP133" i="42"/>
  <c r="X10" i="59"/>
  <c r="AP134" i="42"/>
  <c r="X11" i="59"/>
  <c r="AP135" i="42"/>
  <c r="X12" i="59"/>
  <c r="AP136" i="42"/>
  <c r="X13" i="59"/>
  <c r="AP137" i="42"/>
  <c r="X14" i="59"/>
  <c r="AP138" i="42"/>
  <c r="X15" i="59"/>
  <c r="AP139" i="42"/>
  <c r="X16" i="59"/>
  <c r="AP140" i="42"/>
  <c r="X17" i="59"/>
  <c r="AP141" i="42"/>
  <c r="AZ125"/>
  <c r="C61" i="58"/>
  <c r="C69"/>
  <c r="AG21"/>
  <c r="AF21"/>
  <c r="AQ114" i="42"/>
  <c r="AG22" i="58"/>
  <c r="AF22"/>
  <c r="AQ115" i="42"/>
  <c r="AG23" i="58"/>
  <c r="AF23"/>
  <c r="AQ116" i="42"/>
  <c r="AG24" i="58"/>
  <c r="AF24"/>
  <c r="AQ117" i="42"/>
  <c r="AG25" i="58"/>
  <c r="AF25"/>
  <c r="AQ118" i="42"/>
  <c r="AG26" i="58"/>
  <c r="AF26"/>
  <c r="AQ119" i="42"/>
  <c r="AG27" i="58"/>
  <c r="AF27"/>
  <c r="AQ120" i="42"/>
  <c r="AG28" i="58"/>
  <c r="AF28"/>
  <c r="AQ121" i="42"/>
  <c r="AG29" i="58"/>
  <c r="AF29"/>
  <c r="AQ122" i="42"/>
  <c r="AG30" i="58"/>
  <c r="AF30"/>
  <c r="AQ123" i="42"/>
  <c r="AG31" i="58"/>
  <c r="AF31"/>
  <c r="AQ124" i="42"/>
  <c r="AG32" i="58"/>
  <c r="AF32"/>
  <c r="AQ125" i="42"/>
  <c r="AG33" i="58"/>
  <c r="AF33"/>
  <c r="AQ126" i="42"/>
  <c r="AG34" i="58"/>
  <c r="AF34"/>
  <c r="AQ127" i="42"/>
  <c r="AQ128"/>
  <c r="AQ129"/>
  <c r="AQ130"/>
  <c r="AQ131"/>
  <c r="AQ132"/>
  <c r="AQ133"/>
  <c r="AQ134"/>
  <c r="AQ135"/>
  <c r="AQ136"/>
  <c r="AQ137"/>
  <c r="AQ138"/>
  <c r="AQ139"/>
  <c r="AQ140"/>
  <c r="AQ141"/>
  <c r="AG19" i="58"/>
  <c r="AF19"/>
  <c r="AQ112" i="42"/>
  <c r="AG20" i="58"/>
  <c r="AF20"/>
  <c r="AQ113" i="42"/>
  <c r="BA125"/>
  <c r="AE21" i="58"/>
  <c r="AS114" i="42"/>
  <c r="AR114"/>
  <c r="AE22" i="58"/>
  <c r="AS115" i="42"/>
  <c r="AR115"/>
  <c r="AE23" i="58"/>
  <c r="AS116" i="42"/>
  <c r="AR116"/>
  <c r="AE24" i="58"/>
  <c r="AS117" i="42"/>
  <c r="AR117"/>
  <c r="AE25" i="58"/>
  <c r="AS118" i="42"/>
  <c r="AR118"/>
  <c r="AE26" i="58"/>
  <c r="AS119" i="42"/>
  <c r="AR119"/>
  <c r="AE27" i="58"/>
  <c r="AS120" i="42"/>
  <c r="AR120"/>
  <c r="AE28" i="58"/>
  <c r="AS121" i="42"/>
  <c r="AR121"/>
  <c r="AE29" i="58"/>
  <c r="AS122" i="42"/>
  <c r="AR122"/>
  <c r="AE30" i="58"/>
  <c r="AS123" i="42"/>
  <c r="AR123"/>
  <c r="AE31" i="58"/>
  <c r="AS124" i="42"/>
  <c r="AR124"/>
  <c r="AE32" i="58"/>
  <c r="AS125" i="42"/>
  <c r="AR125"/>
  <c r="AE33" i="58"/>
  <c r="AS126" i="42"/>
  <c r="AR126"/>
  <c r="AE34" i="58"/>
  <c r="AS127" i="42"/>
  <c r="AR127"/>
  <c r="AS128"/>
  <c r="AR128"/>
  <c r="AS129"/>
  <c r="AR129"/>
  <c r="AS130"/>
  <c r="AR130"/>
  <c r="AS131"/>
  <c r="AR131"/>
  <c r="AS132"/>
  <c r="AR132"/>
  <c r="AS133"/>
  <c r="AR133"/>
  <c r="AS134"/>
  <c r="AR134"/>
  <c r="AS135"/>
  <c r="AR135"/>
  <c r="AS136"/>
  <c r="AR136"/>
  <c r="AS137"/>
  <c r="AR137"/>
  <c r="AS138"/>
  <c r="AR138"/>
  <c r="AS139"/>
  <c r="AR139"/>
  <c r="AS140"/>
  <c r="AR140"/>
  <c r="AS141"/>
  <c r="AR141"/>
  <c r="AE19" i="58"/>
  <c r="AS112" i="42"/>
  <c r="AR112"/>
  <c r="AE20" i="58"/>
  <c r="AS113" i="42"/>
  <c r="AR113"/>
  <c r="BB125"/>
  <c r="BC125"/>
  <c r="AT114"/>
  <c r="AT115"/>
  <c r="AT116"/>
  <c r="AT117"/>
  <c r="AT118"/>
  <c r="AT119"/>
  <c r="AT120"/>
  <c r="AT121"/>
  <c r="AT122"/>
  <c r="AT123"/>
  <c r="AT124"/>
  <c r="AT125"/>
  <c r="AT126"/>
  <c r="AT127"/>
  <c r="AT128"/>
  <c r="AT129"/>
  <c r="AT130"/>
  <c r="AT131"/>
  <c r="AT132"/>
  <c r="AT133"/>
  <c r="AT134"/>
  <c r="AT135"/>
  <c r="AT136"/>
  <c r="AT137"/>
  <c r="AT138"/>
  <c r="AT139"/>
  <c r="AT140"/>
  <c r="AT141"/>
  <c r="BD125"/>
  <c r="AM114"/>
  <c r="AN114"/>
  <c r="AM115"/>
  <c r="AN115"/>
  <c r="AM116"/>
  <c r="AN116"/>
  <c r="AM117"/>
  <c r="AN117"/>
  <c r="AM118"/>
  <c r="AN118"/>
  <c r="AM119"/>
  <c r="AN119"/>
  <c r="AM120"/>
  <c r="AN120"/>
  <c r="AM121"/>
  <c r="AN121"/>
  <c r="AM122"/>
  <c r="AN122"/>
  <c r="AM123"/>
  <c r="AN123"/>
  <c r="AM124"/>
  <c r="AN124"/>
  <c r="AM125"/>
  <c r="AN125"/>
  <c r="AM126"/>
  <c r="AN126"/>
  <c r="AM127"/>
  <c r="AN127"/>
  <c r="AM128"/>
  <c r="AN128"/>
  <c r="AM129"/>
  <c r="AN129"/>
  <c r="AM130"/>
  <c r="AN130"/>
  <c r="AM131"/>
  <c r="AN131"/>
  <c r="AM132"/>
  <c r="AN132"/>
  <c r="AM133"/>
  <c r="AN133"/>
  <c r="AM134"/>
  <c r="AN134"/>
  <c r="AM135"/>
  <c r="AN135"/>
  <c r="AM136"/>
  <c r="AN136"/>
  <c r="AM137"/>
  <c r="AN137"/>
  <c r="AM138"/>
  <c r="AN138"/>
  <c r="AM139"/>
  <c r="AN139"/>
  <c r="AM140"/>
  <c r="AN140"/>
  <c r="AM141"/>
  <c r="AN141"/>
  <c r="AX125"/>
  <c r="O24" i="57"/>
  <c r="P24"/>
  <c r="T24"/>
  <c r="U24"/>
  <c r="W24"/>
  <c r="AO86" i="42"/>
  <c r="O25" i="57"/>
  <c r="P25"/>
  <c r="T25"/>
  <c r="U25"/>
  <c r="W25"/>
  <c r="AO87" i="42"/>
  <c r="O26" i="57"/>
  <c r="P26"/>
  <c r="T26"/>
  <c r="U26"/>
  <c r="W26"/>
  <c r="AO88" i="42"/>
  <c r="O27" i="57"/>
  <c r="P27"/>
  <c r="T27"/>
  <c r="U27"/>
  <c r="W27"/>
  <c r="AO89" i="42"/>
  <c r="O28" i="57"/>
  <c r="P28"/>
  <c r="T28"/>
  <c r="U28"/>
  <c r="W28"/>
  <c r="AO90" i="42"/>
  <c r="O29" i="57"/>
  <c r="P29"/>
  <c r="T29"/>
  <c r="U29"/>
  <c r="W29"/>
  <c r="AO91" i="42"/>
  <c r="U30" i="57"/>
  <c r="W30"/>
  <c r="AO92" i="42"/>
  <c r="U31" i="57"/>
  <c r="W31"/>
  <c r="AO93" i="42"/>
  <c r="U32" i="57"/>
  <c r="W32"/>
  <c r="AO94" i="42"/>
  <c r="U33" i="57"/>
  <c r="W33"/>
  <c r="AO95" i="42"/>
  <c r="T34" i="57"/>
  <c r="U34"/>
  <c r="W34"/>
  <c r="AO96" i="42"/>
  <c r="O4" i="58"/>
  <c r="P4"/>
  <c r="T4"/>
  <c r="U4"/>
  <c r="W4"/>
  <c r="AO97" i="42"/>
  <c r="O5" i="58"/>
  <c r="P5"/>
  <c r="T5"/>
  <c r="U5"/>
  <c r="W5"/>
  <c r="AO98" i="42"/>
  <c r="U6" i="58"/>
  <c r="W6"/>
  <c r="AO99" i="42"/>
  <c r="O7" i="58"/>
  <c r="P7"/>
  <c r="T7"/>
  <c r="U7"/>
  <c r="W7"/>
  <c r="AO100" i="42"/>
  <c r="O8" i="58"/>
  <c r="P8"/>
  <c r="T8"/>
  <c r="U8"/>
  <c r="W8"/>
  <c r="AO101" i="42"/>
  <c r="O9" i="58"/>
  <c r="P9"/>
  <c r="T9"/>
  <c r="U9"/>
  <c r="W9"/>
  <c r="AO102" i="42"/>
  <c r="O10" i="58"/>
  <c r="P10"/>
  <c r="T10"/>
  <c r="U10"/>
  <c r="W10"/>
  <c r="AO103" i="42"/>
  <c r="O11" i="58"/>
  <c r="P11"/>
  <c r="T11"/>
  <c r="U11"/>
  <c r="W11"/>
  <c r="AO104" i="42"/>
  <c r="U12" i="58"/>
  <c r="W12"/>
  <c r="AO105" i="42"/>
  <c r="U13" i="58"/>
  <c r="W13"/>
  <c r="AO106" i="42"/>
  <c r="O14" i="58"/>
  <c r="P14"/>
  <c r="T14"/>
  <c r="U14"/>
  <c r="W14"/>
  <c r="AO107" i="42"/>
  <c r="O15" i="58"/>
  <c r="P15"/>
  <c r="T15"/>
  <c r="U15"/>
  <c r="W15"/>
  <c r="AO108" i="42"/>
  <c r="O16" i="58"/>
  <c r="P16"/>
  <c r="T16"/>
  <c r="U16"/>
  <c r="W16"/>
  <c r="AO109" i="42"/>
  <c r="U17" i="58"/>
  <c r="W17"/>
  <c r="AO110" i="42"/>
  <c r="O18" i="58"/>
  <c r="P18"/>
  <c r="T18"/>
  <c r="U18"/>
  <c r="W18"/>
  <c r="AO111" i="42"/>
  <c r="U19" i="58"/>
  <c r="W19"/>
  <c r="AO112" i="42"/>
  <c r="U20" i="58"/>
  <c r="W20"/>
  <c r="AO113" i="42"/>
  <c r="AY94"/>
  <c r="X24" i="57"/>
  <c r="AP86" i="42"/>
  <c r="X25" i="57"/>
  <c r="AP87" i="42"/>
  <c r="X26" i="57"/>
  <c r="AP88" i="42"/>
  <c r="X27" i="57"/>
  <c r="AP89" i="42"/>
  <c r="X28" i="57"/>
  <c r="AP90" i="42"/>
  <c r="X29" i="57"/>
  <c r="AP91" i="42"/>
  <c r="X30" i="57"/>
  <c r="AP92" i="42"/>
  <c r="X31" i="57"/>
  <c r="AP93" i="42"/>
  <c r="X32" i="57"/>
  <c r="AP94" i="42"/>
  <c r="X33" i="57"/>
  <c r="AP95" i="42"/>
  <c r="X34" i="57"/>
  <c r="AP96" i="42"/>
  <c r="X4" i="58"/>
  <c r="AP97" i="42"/>
  <c r="X5" i="58"/>
  <c r="AP98" i="42"/>
  <c r="X6" i="58"/>
  <c r="AP99" i="42"/>
  <c r="X7" i="58"/>
  <c r="AP100" i="42"/>
  <c r="X8" i="58"/>
  <c r="AP101" i="42"/>
  <c r="X9" i="58"/>
  <c r="AP102" i="42"/>
  <c r="X10" i="58"/>
  <c r="AP103" i="42"/>
  <c r="X11" i="58"/>
  <c r="AP104" i="42"/>
  <c r="X12" i="58"/>
  <c r="AP105" i="42"/>
  <c r="X13" i="58"/>
  <c r="AP106" i="42"/>
  <c r="X14" i="58"/>
  <c r="AP107" i="42"/>
  <c r="X15" i="58"/>
  <c r="AP108" i="42"/>
  <c r="X16" i="58"/>
  <c r="AP109" i="42"/>
  <c r="X17" i="58"/>
  <c r="AP110" i="42"/>
  <c r="X18" i="58"/>
  <c r="AP111" i="42"/>
  <c r="X19" i="58"/>
  <c r="AP112" i="42"/>
  <c r="X20" i="58"/>
  <c r="AP113" i="42"/>
  <c r="AZ94"/>
  <c r="C61" i="57"/>
  <c r="C68"/>
  <c r="AG24"/>
  <c r="AF24"/>
  <c r="AQ86" i="42"/>
  <c r="AG25" i="57"/>
  <c r="AF25"/>
  <c r="AQ87" i="42"/>
  <c r="AG26" i="57"/>
  <c r="AF26"/>
  <c r="AQ88" i="42"/>
  <c r="AG27" i="57"/>
  <c r="AF27"/>
  <c r="AQ89" i="42"/>
  <c r="AG28" i="57"/>
  <c r="AF28"/>
  <c r="AQ90" i="42"/>
  <c r="AG29" i="57"/>
  <c r="AF29"/>
  <c r="AQ91" i="42"/>
  <c r="AG30" i="57"/>
  <c r="AF30"/>
  <c r="AQ92" i="42"/>
  <c r="AG31" i="57"/>
  <c r="AF31"/>
  <c r="AQ93" i="42"/>
  <c r="AG32" i="57"/>
  <c r="AF32"/>
  <c r="AQ94" i="42"/>
  <c r="AG33" i="57"/>
  <c r="AF33"/>
  <c r="AQ95" i="42"/>
  <c r="AG34" i="57"/>
  <c r="AF34"/>
  <c r="AQ96" i="42"/>
  <c r="AG4" i="58"/>
  <c r="AF4"/>
  <c r="AQ97" i="42"/>
  <c r="AG5" i="58"/>
  <c r="AF5"/>
  <c r="AQ98" i="42"/>
  <c r="AG6" i="58"/>
  <c r="AF6"/>
  <c r="AQ99" i="42"/>
  <c r="AG7" i="58"/>
  <c r="AF7"/>
  <c r="AQ100" i="42"/>
  <c r="AG8" i="58"/>
  <c r="AF8"/>
  <c r="AQ101" i="42"/>
  <c r="AG9" i="58"/>
  <c r="AF9"/>
  <c r="AQ102" i="42"/>
  <c r="AG10" i="58"/>
  <c r="AF10"/>
  <c r="AQ103" i="42"/>
  <c r="AG11" i="58"/>
  <c r="AF11"/>
  <c r="AQ104" i="42"/>
  <c r="AG12" i="58"/>
  <c r="AF12"/>
  <c r="AQ105" i="42"/>
  <c r="AG13" i="58"/>
  <c r="AF13"/>
  <c r="AQ106" i="42"/>
  <c r="AG14" i="58"/>
  <c r="AF14"/>
  <c r="AQ107" i="42"/>
  <c r="AG15" i="58"/>
  <c r="AF15"/>
  <c r="AQ108" i="42"/>
  <c r="AG16" i="58"/>
  <c r="AF16"/>
  <c r="AQ109" i="42"/>
  <c r="AG17" i="58"/>
  <c r="AF17"/>
  <c r="AQ110" i="42"/>
  <c r="AG18" i="58"/>
  <c r="AF18"/>
  <c r="AQ111" i="42"/>
  <c r="AG22" i="57"/>
  <c r="AF22"/>
  <c r="AQ84" i="42"/>
  <c r="AG23" i="57"/>
  <c r="AF23"/>
  <c r="AQ85" i="42"/>
  <c r="BA94"/>
  <c r="AE24" i="57"/>
  <c r="AS86" i="42"/>
  <c r="AR86"/>
  <c r="AE25" i="57"/>
  <c r="AS87" i="42"/>
  <c r="AR87"/>
  <c r="AE26" i="57"/>
  <c r="AS88" i="42"/>
  <c r="AR88"/>
  <c r="AE27" i="57"/>
  <c r="AS89" i="42"/>
  <c r="AR89"/>
  <c r="AE28" i="57"/>
  <c r="AS90" i="42"/>
  <c r="AR90"/>
  <c r="AE29" i="57"/>
  <c r="AS91" i="42"/>
  <c r="AR91"/>
  <c r="AE30" i="57"/>
  <c r="AS92" i="42"/>
  <c r="AR92"/>
  <c r="AE31" i="57"/>
  <c r="AS93" i="42"/>
  <c r="AR93"/>
  <c r="AE32" i="57"/>
  <c r="AS94" i="42"/>
  <c r="AR94"/>
  <c r="AE33" i="57"/>
  <c r="AS95" i="42"/>
  <c r="AR95"/>
  <c r="AE34" i="57"/>
  <c r="AS96" i="42"/>
  <c r="AR96"/>
  <c r="AE4" i="58"/>
  <c r="AS97" i="42"/>
  <c r="AR97"/>
  <c r="AE5" i="58"/>
  <c r="AS98" i="42"/>
  <c r="AR98"/>
  <c r="AE6" i="58"/>
  <c r="AS99" i="42"/>
  <c r="AR99"/>
  <c r="AE7" i="58"/>
  <c r="AS100" i="42"/>
  <c r="AR100"/>
  <c r="AE8" i="58"/>
  <c r="AS101" i="42"/>
  <c r="AR101"/>
  <c r="AE9" i="58"/>
  <c r="AS102" i="42"/>
  <c r="AR102"/>
  <c r="AE10" i="58"/>
  <c r="AS103" i="42"/>
  <c r="AR103"/>
  <c r="AE11" i="58"/>
  <c r="AS104" i="42"/>
  <c r="AR104"/>
  <c r="AE12" i="58"/>
  <c r="AS105" i="42"/>
  <c r="AR105"/>
  <c r="AE13" i="58"/>
  <c r="AS106" i="42"/>
  <c r="AR106"/>
  <c r="AE14" i="58"/>
  <c r="AS107" i="42"/>
  <c r="AR107"/>
  <c r="AE15" i="58"/>
  <c r="AS108" i="42"/>
  <c r="AR108"/>
  <c r="AE16" i="58"/>
  <c r="AS109" i="42"/>
  <c r="AR109"/>
  <c r="AE17" i="58"/>
  <c r="AS110" i="42"/>
  <c r="AR110"/>
  <c r="AE18" i="58"/>
  <c r="AS111" i="42"/>
  <c r="AR111"/>
  <c r="AE22" i="57"/>
  <c r="AS84" i="42"/>
  <c r="AR84"/>
  <c r="AE23" i="57"/>
  <c r="AS85" i="42"/>
  <c r="AR85"/>
  <c r="BB94"/>
  <c r="BC94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T107"/>
  <c r="AT108"/>
  <c r="AT109"/>
  <c r="AT110"/>
  <c r="AT111"/>
  <c r="AT112"/>
  <c r="AT113"/>
  <c r="BD94"/>
  <c r="O26" i="56"/>
  <c r="P26"/>
  <c r="T26"/>
  <c r="U26"/>
  <c r="W26"/>
  <c r="AO58" i="42"/>
  <c r="O27" i="56"/>
  <c r="P27"/>
  <c r="T27"/>
  <c r="U27"/>
  <c r="W27"/>
  <c r="AO59" i="42"/>
  <c r="O28" i="56"/>
  <c r="P28"/>
  <c r="T28"/>
  <c r="U28"/>
  <c r="W28"/>
  <c r="AO60" i="42"/>
  <c r="O29" i="56"/>
  <c r="P29"/>
  <c r="T29"/>
  <c r="U29"/>
  <c r="W29"/>
  <c r="AO61" i="42"/>
  <c r="O30" i="56"/>
  <c r="P30"/>
  <c r="T30"/>
  <c r="U30"/>
  <c r="W30"/>
  <c r="AO62" i="42"/>
  <c r="O31" i="56"/>
  <c r="P31"/>
  <c r="T31"/>
  <c r="U31"/>
  <c r="W31"/>
  <c r="AO63" i="42"/>
  <c r="U32" i="56"/>
  <c r="W32"/>
  <c r="AO64" i="42"/>
  <c r="U33" i="56"/>
  <c r="W33"/>
  <c r="AO65" i="42"/>
  <c r="O4" i="57"/>
  <c r="P4"/>
  <c r="T4"/>
  <c r="U4"/>
  <c r="W4"/>
  <c r="AO66" i="42"/>
  <c r="O5" i="57"/>
  <c r="P5"/>
  <c r="T5"/>
  <c r="U5"/>
  <c r="W5"/>
  <c r="AO67" i="42"/>
  <c r="O6" i="57"/>
  <c r="P6"/>
  <c r="T6"/>
  <c r="U6"/>
  <c r="W6"/>
  <c r="AO68" i="42"/>
  <c r="O7" i="57"/>
  <c r="P7"/>
  <c r="T7"/>
  <c r="U7"/>
  <c r="W7"/>
  <c r="AO69" i="42"/>
  <c r="U8" i="57"/>
  <c r="W8"/>
  <c r="AO70" i="42"/>
  <c r="U9" i="57"/>
  <c r="W9"/>
  <c r="AO71" i="42"/>
  <c r="O10" i="57"/>
  <c r="P10"/>
  <c r="T10"/>
  <c r="U10"/>
  <c r="W10"/>
  <c r="AO72" i="42"/>
  <c r="O11" i="57"/>
  <c r="P11"/>
  <c r="T11"/>
  <c r="U11"/>
  <c r="W11"/>
  <c r="AO73" i="42"/>
  <c r="O12" i="57"/>
  <c r="P12"/>
  <c r="T12"/>
  <c r="U12"/>
  <c r="W12"/>
  <c r="AO74" i="42"/>
  <c r="O13" i="57"/>
  <c r="P13"/>
  <c r="T13"/>
  <c r="U13"/>
  <c r="W13"/>
  <c r="AO75" i="42"/>
  <c r="O14" i="57"/>
  <c r="P14"/>
  <c r="T14"/>
  <c r="U14"/>
  <c r="W14"/>
  <c r="AO76" i="42"/>
  <c r="O15" i="57"/>
  <c r="P15"/>
  <c r="T15"/>
  <c r="U15"/>
  <c r="W15"/>
  <c r="AO77" i="42"/>
  <c r="U16" i="57"/>
  <c r="W16"/>
  <c r="AO78" i="42"/>
  <c r="O17" i="57"/>
  <c r="P17"/>
  <c r="T17"/>
  <c r="U17"/>
  <c r="W17"/>
  <c r="AO79" i="42"/>
  <c r="O18" i="57"/>
  <c r="P18"/>
  <c r="T18"/>
  <c r="U18"/>
  <c r="W18"/>
  <c r="AO80" i="42"/>
  <c r="O19" i="57"/>
  <c r="P19"/>
  <c r="T19"/>
  <c r="U19"/>
  <c r="W19"/>
  <c r="AO81" i="42"/>
  <c r="O20" i="57"/>
  <c r="P20"/>
  <c r="T20"/>
  <c r="U20"/>
  <c r="W20"/>
  <c r="AO82" i="42"/>
  <c r="O21" i="57"/>
  <c r="P21"/>
  <c r="T21"/>
  <c r="U21"/>
  <c r="W21"/>
  <c r="AO83" i="42"/>
  <c r="U22" i="57"/>
  <c r="W22"/>
  <c r="AO84" i="42"/>
  <c r="U23" i="57"/>
  <c r="W23"/>
  <c r="AO85" i="42"/>
  <c r="AY63"/>
  <c r="X26" i="56"/>
  <c r="AP58" i="42"/>
  <c r="X27" i="56"/>
  <c r="AP59" i="42"/>
  <c r="X28" i="56"/>
  <c r="AP60" i="42"/>
  <c r="X29" i="56"/>
  <c r="AP61" i="42"/>
  <c r="X30" i="56"/>
  <c r="AP62" i="42"/>
  <c r="X31" i="56"/>
  <c r="AP63" i="42"/>
  <c r="X32" i="56"/>
  <c r="AP64" i="42"/>
  <c r="X33" i="56"/>
  <c r="AP65" i="42"/>
  <c r="X4" i="57"/>
  <c r="AP66" i="42"/>
  <c r="X5" i="57"/>
  <c r="AP67" i="42"/>
  <c r="X6" i="57"/>
  <c r="AP68" i="42"/>
  <c r="X7" i="57"/>
  <c r="AP69" i="42"/>
  <c r="X8" i="57"/>
  <c r="AP70" i="42"/>
  <c r="X9" i="57"/>
  <c r="AP71" i="42"/>
  <c r="X10" i="57"/>
  <c r="AP72" i="42"/>
  <c r="X11" i="57"/>
  <c r="AP73" i="42"/>
  <c r="X12" i="57"/>
  <c r="AP74" i="42"/>
  <c r="X13" i="57"/>
  <c r="AP75" i="42"/>
  <c r="X14" i="57"/>
  <c r="AP76" i="42"/>
  <c r="X15" i="57"/>
  <c r="AP77" i="42"/>
  <c r="X16" i="57"/>
  <c r="AP78" i="42"/>
  <c r="X17" i="57"/>
  <c r="AP79" i="42"/>
  <c r="X18" i="57"/>
  <c r="AP80" i="42"/>
  <c r="X19" i="57"/>
  <c r="AP81" i="42"/>
  <c r="X20" i="57"/>
  <c r="AP82" i="42"/>
  <c r="X21" i="57"/>
  <c r="AP83" i="42"/>
  <c r="X22" i="57"/>
  <c r="AP84" i="42"/>
  <c r="X23" i="57"/>
  <c r="AP85" i="42"/>
  <c r="AZ63"/>
  <c r="AF26" i="56"/>
  <c r="AQ58" i="42"/>
  <c r="AF27" i="56"/>
  <c r="AQ59" i="42"/>
  <c r="AF28" i="56"/>
  <c r="AQ60" i="42"/>
  <c r="AF29" i="56"/>
  <c r="AQ61" i="42"/>
  <c r="AF30" i="56"/>
  <c r="AQ62" i="42"/>
  <c r="AF31" i="56"/>
  <c r="AQ63" i="42"/>
  <c r="AF32" i="56"/>
  <c r="AQ64" i="42"/>
  <c r="AF33" i="56"/>
  <c r="AQ65" i="42"/>
  <c r="AG4" i="57"/>
  <c r="AF4"/>
  <c r="AQ66" i="42"/>
  <c r="AG5" i="57"/>
  <c r="AF5"/>
  <c r="AQ67" i="42"/>
  <c r="AG6" i="57"/>
  <c r="AF6"/>
  <c r="AQ68" i="42"/>
  <c r="AG7" i="57"/>
  <c r="AF7"/>
  <c r="AQ69" i="42"/>
  <c r="AG8" i="57"/>
  <c r="AF8"/>
  <c r="AQ70" i="42"/>
  <c r="AG9" i="57"/>
  <c r="AF9"/>
  <c r="AQ71" i="42"/>
  <c r="AG10" i="57"/>
  <c r="AF10"/>
  <c r="AQ72" i="42"/>
  <c r="AG11" i="57"/>
  <c r="AF11"/>
  <c r="AQ73" i="42"/>
  <c r="AG12" i="57"/>
  <c r="AF12"/>
  <c r="AQ74" i="42"/>
  <c r="AG13" i="57"/>
  <c r="AF13"/>
  <c r="AQ75" i="42"/>
  <c r="AG14" i="57"/>
  <c r="AF14"/>
  <c r="AQ76" i="42"/>
  <c r="AG15" i="57"/>
  <c r="AF15"/>
  <c r="AQ77" i="42"/>
  <c r="AG16" i="57"/>
  <c r="AF16"/>
  <c r="AQ78" i="42"/>
  <c r="AG17" i="57"/>
  <c r="AF17"/>
  <c r="AQ79" i="42"/>
  <c r="AG18" i="57"/>
  <c r="AF18"/>
  <c r="AQ80" i="42"/>
  <c r="AG19" i="57"/>
  <c r="AF19"/>
  <c r="AQ81" i="42"/>
  <c r="AG20" i="57"/>
  <c r="AF20"/>
  <c r="AQ82" i="42"/>
  <c r="AG21" i="57"/>
  <c r="AF21"/>
  <c r="AQ83" i="42"/>
  <c r="AF24" i="56"/>
  <c r="AQ56" i="42"/>
  <c r="AF25" i="56"/>
  <c r="AQ57" i="42"/>
  <c r="BA63"/>
  <c r="AE26" i="56"/>
  <c r="AS58" i="42"/>
  <c r="AR58"/>
  <c r="AE27" i="56"/>
  <c r="AS59" i="42"/>
  <c r="AR59"/>
  <c r="AE28" i="56"/>
  <c r="AS60" i="42"/>
  <c r="AR60"/>
  <c r="AE29" i="56"/>
  <c r="AS61" i="42"/>
  <c r="AR61"/>
  <c r="AE30" i="56"/>
  <c r="AS62" i="42"/>
  <c r="AR62"/>
  <c r="AE31" i="56"/>
  <c r="AS63" i="42"/>
  <c r="AR63"/>
  <c r="AE32" i="56"/>
  <c r="AS64" i="42"/>
  <c r="AR64"/>
  <c r="AE33" i="56"/>
  <c r="AS65" i="42"/>
  <c r="AR65"/>
  <c r="AE4" i="57"/>
  <c r="AS66" i="42"/>
  <c r="AR66"/>
  <c r="AE5" i="57"/>
  <c r="AS67" i="42"/>
  <c r="AR67"/>
  <c r="AE6" i="57"/>
  <c r="AS68" i="42"/>
  <c r="AR68"/>
  <c r="AE7" i="57"/>
  <c r="AS69" i="42"/>
  <c r="AR69"/>
  <c r="AE8" i="57"/>
  <c r="AS70" i="42"/>
  <c r="AR70"/>
  <c r="AE9" i="57"/>
  <c r="AS71" i="42"/>
  <c r="AR71"/>
  <c r="AE10" i="57"/>
  <c r="AS72" i="42"/>
  <c r="AR72"/>
  <c r="AE11" i="57"/>
  <c r="AS73" i="42"/>
  <c r="AR73"/>
  <c r="AE12" i="57"/>
  <c r="AS74" i="42"/>
  <c r="AR74"/>
  <c r="AE13" i="57"/>
  <c r="AS75" i="42"/>
  <c r="AR75"/>
  <c r="AE14" i="57"/>
  <c r="AS76" i="42"/>
  <c r="AR76"/>
  <c r="AE15" i="57"/>
  <c r="AS77" i="42"/>
  <c r="AR77"/>
  <c r="AE16" i="57"/>
  <c r="AS78" i="42"/>
  <c r="AR78"/>
  <c r="AE17" i="57"/>
  <c r="AS79" i="42"/>
  <c r="AR79"/>
  <c r="AE18" i="57"/>
  <c r="AS80" i="42"/>
  <c r="AR80"/>
  <c r="AE19" i="57"/>
  <c r="AS81" i="42"/>
  <c r="AR81"/>
  <c r="AE20" i="57"/>
  <c r="AS82" i="42"/>
  <c r="AR82"/>
  <c r="AE21" i="57"/>
  <c r="AS83" i="42"/>
  <c r="AR83"/>
  <c r="AE24" i="56"/>
  <c r="AS56" i="42"/>
  <c r="AR56"/>
  <c r="AE25" i="56"/>
  <c r="AS57" i="42"/>
  <c r="AR57"/>
  <c r="BB63"/>
  <c r="BC63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BD63"/>
  <c r="AM86"/>
  <c r="AN86"/>
  <c r="AM87"/>
  <c r="AN87"/>
  <c r="AM88"/>
  <c r="AN88"/>
  <c r="AM89"/>
  <c r="AN89"/>
  <c r="AM90"/>
  <c r="AN90"/>
  <c r="AM91"/>
  <c r="AN91"/>
  <c r="AM92"/>
  <c r="AN92"/>
  <c r="AM93"/>
  <c r="AN93"/>
  <c r="AM94"/>
  <c r="AN94"/>
  <c r="AM95"/>
  <c r="AN95"/>
  <c r="AM96"/>
  <c r="AN96"/>
  <c r="AM97"/>
  <c r="AN97"/>
  <c r="AM98"/>
  <c r="AN98"/>
  <c r="AM99"/>
  <c r="AN99"/>
  <c r="AM100"/>
  <c r="AN100"/>
  <c r="AM101"/>
  <c r="AN101"/>
  <c r="AM102"/>
  <c r="AN102"/>
  <c r="AM103"/>
  <c r="AN103"/>
  <c r="AM104"/>
  <c r="AN104"/>
  <c r="AM105"/>
  <c r="AN105"/>
  <c r="AM106"/>
  <c r="AN106"/>
  <c r="AM107"/>
  <c r="AN107"/>
  <c r="AM108"/>
  <c r="AN108"/>
  <c r="AM109"/>
  <c r="AN109"/>
  <c r="AM110"/>
  <c r="AN110"/>
  <c r="AM111"/>
  <c r="AN111"/>
  <c r="AM112"/>
  <c r="AN112"/>
  <c r="AM113"/>
  <c r="AN113"/>
  <c r="AX94"/>
  <c r="AE4" i="56"/>
  <c r="AE5"/>
  <c r="AE6"/>
  <c r="AE7"/>
  <c r="AE8"/>
  <c r="AE9"/>
  <c r="AE10"/>
  <c r="AE11"/>
  <c r="AE12"/>
  <c r="O13"/>
  <c r="P13"/>
  <c r="T13"/>
  <c r="U13"/>
  <c r="W13"/>
  <c r="AE20"/>
  <c r="AE21"/>
  <c r="AE22"/>
  <c r="AE23"/>
  <c r="AE36"/>
  <c r="AG4"/>
  <c r="AF4"/>
  <c r="AG5"/>
  <c r="AF5"/>
  <c r="AG6"/>
  <c r="AF6"/>
  <c r="AG7"/>
  <c r="AF7"/>
  <c r="AG8"/>
  <c r="AF8"/>
  <c r="AF9"/>
  <c r="AF10"/>
  <c r="AF11"/>
  <c r="AF12"/>
  <c r="AF20"/>
  <c r="AF21"/>
  <c r="AF22"/>
  <c r="AF23"/>
  <c r="AF36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6"/>
  <c r="AM58" i="42"/>
  <c r="AN58"/>
  <c r="AM59"/>
  <c r="AN59"/>
  <c r="AM60"/>
  <c r="AN60"/>
  <c r="AM61"/>
  <c r="AN61"/>
  <c r="AM62"/>
  <c r="AN62"/>
  <c r="AM63"/>
  <c r="AN63"/>
  <c r="AM64"/>
  <c r="AN64"/>
  <c r="AM65"/>
  <c r="AN65"/>
  <c r="AM66"/>
  <c r="AN66"/>
  <c r="AM67"/>
  <c r="AN67"/>
  <c r="AM68"/>
  <c r="AN68"/>
  <c r="AM69"/>
  <c r="AN69"/>
  <c r="AM70"/>
  <c r="AN70"/>
  <c r="AM71"/>
  <c r="AN71"/>
  <c r="AM72"/>
  <c r="AN72"/>
  <c r="AM73"/>
  <c r="AN73"/>
  <c r="AM74"/>
  <c r="AN74"/>
  <c r="AM75"/>
  <c r="AN75"/>
  <c r="AM76"/>
  <c r="AN76"/>
  <c r="AM77"/>
  <c r="AN77"/>
  <c r="AM78"/>
  <c r="AN78"/>
  <c r="AM79"/>
  <c r="AN79"/>
  <c r="AM80"/>
  <c r="AN80"/>
  <c r="AM81"/>
  <c r="AN81"/>
  <c r="AM82"/>
  <c r="AN82"/>
  <c r="AM83"/>
  <c r="AN83"/>
  <c r="AM84"/>
  <c r="AN84"/>
  <c r="AM85"/>
  <c r="AN85"/>
  <c r="AX63"/>
  <c r="U4" i="56"/>
  <c r="W4"/>
  <c r="AO36" i="42"/>
  <c r="U5" i="56"/>
  <c r="W5"/>
  <c r="AO37" i="42"/>
  <c r="O6" i="56"/>
  <c r="P6"/>
  <c r="T6"/>
  <c r="U6"/>
  <c r="W6"/>
  <c r="O7"/>
  <c r="P7"/>
  <c r="T7"/>
  <c r="U7"/>
  <c r="W7"/>
  <c r="O8"/>
  <c r="P8"/>
  <c r="T8"/>
  <c r="U8"/>
  <c r="W8"/>
  <c r="O9"/>
  <c r="P9"/>
  <c r="T9"/>
  <c r="U9"/>
  <c r="W9"/>
  <c r="U10"/>
  <c r="W10"/>
  <c r="U11"/>
  <c r="W11"/>
  <c r="O12"/>
  <c r="P12"/>
  <c r="T12"/>
  <c r="U12"/>
  <c r="W12"/>
  <c r="O14"/>
  <c r="P14"/>
  <c r="T14"/>
  <c r="U14"/>
  <c r="W14"/>
  <c r="O15"/>
  <c r="P15"/>
  <c r="T15"/>
  <c r="U15"/>
  <c r="W15"/>
  <c r="O16"/>
  <c r="P16"/>
  <c r="T16"/>
  <c r="U16"/>
  <c r="W16"/>
  <c r="O17"/>
  <c r="P17"/>
  <c r="T17"/>
  <c r="U17"/>
  <c r="W17"/>
  <c r="U18"/>
  <c r="W18"/>
  <c r="O19"/>
  <c r="P19"/>
  <c r="T19"/>
  <c r="U19"/>
  <c r="W19"/>
  <c r="O20"/>
  <c r="P20"/>
  <c r="T20"/>
  <c r="U20"/>
  <c r="W20"/>
  <c r="AO52" i="42"/>
  <c r="O21" i="56"/>
  <c r="P21"/>
  <c r="T21"/>
  <c r="U21"/>
  <c r="W21"/>
  <c r="AO53" i="42"/>
  <c r="O22" i="56"/>
  <c r="P22"/>
  <c r="T22"/>
  <c r="U22"/>
  <c r="W22"/>
  <c r="AO54" i="42"/>
  <c r="O23" i="56"/>
  <c r="P23"/>
  <c r="T23"/>
  <c r="U23"/>
  <c r="W23"/>
  <c r="AO55" i="42"/>
  <c r="U24" i="56"/>
  <c r="W24"/>
  <c r="AO56" i="42"/>
  <c r="U25" i="56"/>
  <c r="W25"/>
  <c r="AO57" i="42"/>
  <c r="AY33"/>
  <c r="X4" i="56"/>
  <c r="AP36" i="42"/>
  <c r="AP37"/>
  <c r="X20" i="56"/>
  <c r="AP52" i="42"/>
  <c r="X21" i="56"/>
  <c r="AP53" i="42"/>
  <c r="X22" i="56"/>
  <c r="AP54" i="42"/>
  <c r="X23" i="56"/>
  <c r="AP55" i="42"/>
  <c r="X24" i="56"/>
  <c r="AP56" i="42"/>
  <c r="X25" i="56"/>
  <c r="AP57" i="42"/>
  <c r="AZ33"/>
  <c r="AQ36"/>
  <c r="AQ37"/>
  <c r="AQ38"/>
  <c r="AQ39"/>
  <c r="AQ40"/>
  <c r="AQ41"/>
  <c r="AQ42"/>
  <c r="AQ43"/>
  <c r="AQ44"/>
  <c r="AQ52"/>
  <c r="AQ53"/>
  <c r="AQ54"/>
  <c r="AQ55"/>
  <c r="BA33"/>
  <c r="AS36"/>
  <c r="AR36"/>
  <c r="AS37"/>
  <c r="AR37"/>
  <c r="AS38"/>
  <c r="AR38"/>
  <c r="AS39"/>
  <c r="AR39"/>
  <c r="AS40"/>
  <c r="AR40"/>
  <c r="AS41"/>
  <c r="AR41"/>
  <c r="AS42"/>
  <c r="AR42"/>
  <c r="AS43"/>
  <c r="AR43"/>
  <c r="AS44"/>
  <c r="AR44"/>
  <c r="AS52"/>
  <c r="AR52"/>
  <c r="AS53"/>
  <c r="AR53"/>
  <c r="AS54"/>
  <c r="AR54"/>
  <c r="AS55"/>
  <c r="AR55"/>
  <c r="BB33"/>
  <c r="BC33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BD33"/>
  <c r="AN30"/>
  <c r="AN31"/>
  <c r="AN32"/>
  <c r="AN33"/>
  <c r="AN34"/>
  <c r="AN35"/>
  <c r="AM36"/>
  <c r="AN36"/>
  <c r="AM37"/>
  <c r="AN37"/>
  <c r="AM38"/>
  <c r="AN38"/>
  <c r="AM39"/>
  <c r="AN39"/>
  <c r="AM40"/>
  <c r="AN40"/>
  <c r="AM41"/>
  <c r="AN41"/>
  <c r="AM42"/>
  <c r="AN42"/>
  <c r="AM43"/>
  <c r="AN43"/>
  <c r="AM44"/>
  <c r="AN44"/>
  <c r="AM45"/>
  <c r="AN45"/>
  <c r="AM46"/>
  <c r="AN46"/>
  <c r="AM47"/>
  <c r="AN47"/>
  <c r="AM48"/>
  <c r="AN48"/>
  <c r="AM49"/>
  <c r="AN49"/>
  <c r="AM50"/>
  <c r="AN50"/>
  <c r="AM52"/>
  <c r="AN52"/>
  <c r="AM53"/>
  <c r="AN53"/>
  <c r="AM54"/>
  <c r="AN54"/>
  <c r="AM55"/>
  <c r="AN55"/>
  <c r="AM56"/>
  <c r="AN56"/>
  <c r="AM57"/>
  <c r="AN57"/>
  <c r="M43" i="61"/>
  <c r="G32" i="42"/>
  <c r="M43" i="62"/>
  <c r="G33" i="42"/>
  <c r="M43" i="63"/>
  <c r="G34" i="42"/>
  <c r="AJ41" i="56"/>
  <c r="G27" i="42"/>
  <c r="M43" i="57"/>
  <c r="G28" i="42"/>
  <c r="M43" i="58"/>
  <c r="G29" i="42"/>
  <c r="M43" i="59"/>
  <c r="G30" i="42"/>
  <c r="M43" i="60"/>
  <c r="G31" i="42"/>
  <c r="M43" i="64"/>
  <c r="G35" i="42"/>
  <c r="M43" i="65"/>
  <c r="G36" i="42"/>
  <c r="M43" i="66"/>
  <c r="G37" i="42"/>
  <c r="M43" i="74"/>
  <c r="G38" i="42"/>
  <c r="G39"/>
  <c r="M44" i="61"/>
  <c r="H32" i="42"/>
  <c r="M44" i="62"/>
  <c r="H33" i="42"/>
  <c r="M44" i="63"/>
  <c r="H34" i="42"/>
  <c r="AJ42" i="56"/>
  <c r="H27" i="42"/>
  <c r="M44" i="57"/>
  <c r="H28" i="42"/>
  <c r="M44" i="58"/>
  <c r="H29" i="42"/>
  <c r="M44" i="59"/>
  <c r="H30" i="42"/>
  <c r="M44" i="60"/>
  <c r="H31" i="42"/>
  <c r="M44" i="64"/>
  <c r="H35" i="42"/>
  <c r="M44" i="65"/>
  <c r="H36" i="42"/>
  <c r="M44" i="66"/>
  <c r="H37" i="42"/>
  <c r="M44" i="74"/>
  <c r="H38" i="42"/>
  <c r="H39"/>
  <c r="M45" i="61"/>
  <c r="I32" i="42"/>
  <c r="M45" i="62"/>
  <c r="I33" i="42"/>
  <c r="M45" i="63"/>
  <c r="I34" i="42"/>
  <c r="AJ43" i="56"/>
  <c r="I27" i="42"/>
  <c r="M45" i="57"/>
  <c r="I28" i="42"/>
  <c r="M45" i="58"/>
  <c r="I29" i="42"/>
  <c r="M45" i="59"/>
  <c r="I30" i="42"/>
  <c r="M45" i="60"/>
  <c r="I31" i="42"/>
  <c r="M45" i="64"/>
  <c r="I35" i="42"/>
  <c r="M45" i="65"/>
  <c r="I36" i="42"/>
  <c r="M45" i="66"/>
  <c r="I37" i="42"/>
  <c r="M45" i="74"/>
  <c r="I38" i="42"/>
  <c r="I39"/>
  <c r="K39"/>
  <c r="G41"/>
  <c r="H41"/>
  <c r="I41"/>
  <c r="K41"/>
  <c r="E4" i="65"/>
  <c r="E5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36" i="42"/>
  <c r="E4" i="66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37" i="42"/>
  <c r="E4" i="7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38" i="42"/>
  <c r="E13" i="61"/>
  <c r="E27"/>
  <c r="E29"/>
  <c r="E30"/>
  <c r="E31"/>
  <c r="E32"/>
  <c r="E4"/>
  <c r="E5"/>
  <c r="E6"/>
  <c r="E7"/>
  <c r="E8"/>
  <c r="E9"/>
  <c r="E10"/>
  <c r="E11"/>
  <c r="E12"/>
  <c r="E14"/>
  <c r="E15"/>
  <c r="E16"/>
  <c r="E17"/>
  <c r="E18"/>
  <c r="E19"/>
  <c r="E20"/>
  <c r="E21"/>
  <c r="E22"/>
  <c r="E23"/>
  <c r="E24"/>
  <c r="E25"/>
  <c r="E26"/>
  <c r="E28"/>
  <c r="E33"/>
  <c r="E34"/>
  <c r="K37"/>
  <c r="N32" i="42"/>
  <c r="E25" i="62"/>
  <c r="E26"/>
  <c r="E28"/>
  <c r="E29"/>
  <c r="E32"/>
  <c r="E33"/>
  <c r="E19"/>
  <c r="E20"/>
  <c r="E21"/>
  <c r="E22"/>
  <c r="E23"/>
  <c r="E12"/>
  <c r="E13"/>
  <c r="E14"/>
  <c r="E15"/>
  <c r="E16"/>
  <c r="E11"/>
  <c r="E4"/>
  <c r="E5"/>
  <c r="E6"/>
  <c r="E7"/>
  <c r="E8"/>
  <c r="E9"/>
  <c r="E10"/>
  <c r="E17"/>
  <c r="E18"/>
  <c r="E24"/>
  <c r="E27"/>
  <c r="E30"/>
  <c r="E31"/>
  <c r="E34"/>
  <c r="K37"/>
  <c r="N33" i="42"/>
  <c r="E4" i="63"/>
  <c r="E5"/>
  <c r="E9"/>
  <c r="E10"/>
  <c r="E11"/>
  <c r="E12"/>
  <c r="E13"/>
  <c r="E6"/>
  <c r="E7"/>
  <c r="E8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34" i="42"/>
  <c r="E4" i="56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6"/>
  <c r="N27" i="42"/>
  <c r="E4" i="57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28" i="42"/>
  <c r="E4" i="58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29" i="42"/>
  <c r="E4" i="59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30" i="42"/>
  <c r="E4" i="60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K37"/>
  <c r="N31" i="42"/>
  <c r="E33" i="64"/>
  <c r="N35" i="42"/>
  <c r="N39"/>
  <c r="F4" i="65"/>
  <c r="F5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36" i="42"/>
  <c r="F4" i="66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37" i="42"/>
  <c r="F4" i="7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38" i="42"/>
  <c r="F13" i="61"/>
  <c r="F27"/>
  <c r="F29"/>
  <c r="F30"/>
  <c r="F31"/>
  <c r="F32"/>
  <c r="F4"/>
  <c r="F5"/>
  <c r="F6"/>
  <c r="F7"/>
  <c r="F8"/>
  <c r="F9"/>
  <c r="F10"/>
  <c r="F11"/>
  <c r="F12"/>
  <c r="F14"/>
  <c r="F15"/>
  <c r="F16"/>
  <c r="F17"/>
  <c r="F18"/>
  <c r="F19"/>
  <c r="F20"/>
  <c r="F21"/>
  <c r="F22"/>
  <c r="F23"/>
  <c r="F24"/>
  <c r="F25"/>
  <c r="F26"/>
  <c r="F28"/>
  <c r="F33"/>
  <c r="F34"/>
  <c r="K39"/>
  <c r="O32" i="42"/>
  <c r="F25" i="62"/>
  <c r="F26"/>
  <c r="F28"/>
  <c r="F29"/>
  <c r="F32"/>
  <c r="F33"/>
  <c r="F19"/>
  <c r="F20"/>
  <c r="F21"/>
  <c r="F22"/>
  <c r="F23"/>
  <c r="F12"/>
  <c r="F13"/>
  <c r="F14"/>
  <c r="F15"/>
  <c r="F16"/>
  <c r="F11"/>
  <c r="F4"/>
  <c r="F5"/>
  <c r="F6"/>
  <c r="F7"/>
  <c r="F8"/>
  <c r="F9"/>
  <c r="F10"/>
  <c r="F17"/>
  <c r="F18"/>
  <c r="F24"/>
  <c r="F27"/>
  <c r="F30"/>
  <c r="F31"/>
  <c r="F34"/>
  <c r="K39"/>
  <c r="O33" i="42"/>
  <c r="F4" i="63"/>
  <c r="F5"/>
  <c r="F9"/>
  <c r="F10"/>
  <c r="F11"/>
  <c r="F12"/>
  <c r="F13"/>
  <c r="F6"/>
  <c r="F7"/>
  <c r="F8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34" i="42"/>
  <c r="F4" i="56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K38"/>
  <c r="O27" i="42"/>
  <c r="F4" i="57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28" i="42"/>
  <c r="F4" i="58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29" i="42"/>
  <c r="F4" i="59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30" i="42"/>
  <c r="F4" i="60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K39"/>
  <c r="O31" i="42"/>
  <c r="F4" i="64"/>
  <c r="F5"/>
  <c r="F6"/>
  <c r="F11"/>
  <c r="F12"/>
  <c r="F13"/>
  <c r="F20"/>
  <c r="F21"/>
  <c r="F22"/>
  <c r="F23"/>
  <c r="F24"/>
  <c r="F25"/>
  <c r="F26"/>
  <c r="F27"/>
  <c r="F28"/>
  <c r="F29"/>
  <c r="F30"/>
  <c r="F31"/>
  <c r="F32"/>
  <c r="K39"/>
  <c r="O35" i="42"/>
  <c r="O39"/>
  <c r="P39"/>
  <c r="O40"/>
  <c r="C61" i="64"/>
  <c r="C63"/>
  <c r="C63" i="63"/>
  <c r="Y37" i="60"/>
  <c r="D11" i="42"/>
  <c r="Y37" i="61"/>
  <c r="D12" i="42"/>
  <c r="E11" i="69"/>
  <c r="F11"/>
  <c r="AC13" i="60"/>
  <c r="AC16"/>
  <c r="AC21"/>
  <c r="AC24"/>
  <c r="AC4"/>
  <c r="AC5"/>
  <c r="AC6"/>
  <c r="AC7"/>
  <c r="AC8"/>
  <c r="AC9"/>
  <c r="AC10"/>
  <c r="AC11"/>
  <c r="AC12"/>
  <c r="AC14"/>
  <c r="AC15"/>
  <c r="AC17"/>
  <c r="AC18"/>
  <c r="AC19"/>
  <c r="AC20"/>
  <c r="AC22"/>
  <c r="AC23"/>
  <c r="AC25"/>
  <c r="AC26"/>
  <c r="AC27"/>
  <c r="AC28"/>
  <c r="AC29"/>
  <c r="AC30"/>
  <c r="AC31"/>
  <c r="AC32"/>
  <c r="AC33"/>
  <c r="AC34"/>
  <c r="AC37"/>
  <c r="G11" i="42"/>
  <c r="AC4" i="61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7"/>
  <c r="G12" i="42"/>
  <c r="D12" i="69"/>
  <c r="E12"/>
  <c r="F12"/>
  <c r="AD13" i="60"/>
  <c r="AD16"/>
  <c r="AD21"/>
  <c r="AD24"/>
  <c r="AD4"/>
  <c r="AD5"/>
  <c r="AD6"/>
  <c r="AD7"/>
  <c r="AD8"/>
  <c r="AD9"/>
  <c r="AD10"/>
  <c r="AD11"/>
  <c r="AD12"/>
  <c r="AD14"/>
  <c r="AD15"/>
  <c r="AD17"/>
  <c r="AD18"/>
  <c r="AD19"/>
  <c r="AD20"/>
  <c r="AD22"/>
  <c r="AD23"/>
  <c r="AD25"/>
  <c r="AD26"/>
  <c r="AD27"/>
  <c r="AD28"/>
  <c r="AD29"/>
  <c r="AD30"/>
  <c r="AD31"/>
  <c r="AD32"/>
  <c r="AD33"/>
  <c r="AD34"/>
  <c r="AD37"/>
  <c r="H11" i="42"/>
  <c r="AD4" i="61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7"/>
  <c r="H12" i="42"/>
  <c r="D13" i="69"/>
  <c r="E13"/>
  <c r="F13"/>
  <c r="AE37" i="60"/>
  <c r="I11" i="42"/>
  <c r="AE37" i="61"/>
  <c r="I12" i="42"/>
  <c r="D14" i="69"/>
  <c r="E14"/>
  <c r="F14"/>
  <c r="AE11" i="42"/>
  <c r="AJ11"/>
  <c r="AE8"/>
  <c r="AJ8"/>
  <c r="AE13"/>
  <c r="AJ13"/>
  <c r="AE12"/>
  <c r="AJ12"/>
  <c r="D15" i="69"/>
  <c r="F15"/>
  <c r="C5"/>
  <c r="F10"/>
  <c r="D18"/>
  <c r="F18"/>
  <c r="F19"/>
  <c r="D29"/>
  <c r="F29"/>
  <c r="AI13" i="60"/>
  <c r="AH13"/>
  <c r="AI16"/>
  <c r="AH16"/>
  <c r="AI21"/>
  <c r="AH21"/>
  <c r="AI24"/>
  <c r="AH24"/>
  <c r="AI4"/>
  <c r="AH4"/>
  <c r="AI5"/>
  <c r="AH5"/>
  <c r="AI6"/>
  <c r="AH6"/>
  <c r="AH7"/>
  <c r="AH8"/>
  <c r="AI9"/>
  <c r="AH9"/>
  <c r="AI10"/>
  <c r="AH10"/>
  <c r="AI11"/>
  <c r="AH11"/>
  <c r="AI12"/>
  <c r="AH12"/>
  <c r="AH14"/>
  <c r="AH15"/>
  <c r="AI17"/>
  <c r="AH17"/>
  <c r="AI18"/>
  <c r="AH18"/>
  <c r="AI19"/>
  <c r="AH19"/>
  <c r="AI20"/>
  <c r="AH20"/>
  <c r="AH22"/>
  <c r="AH23"/>
  <c r="AI25"/>
  <c r="AH25"/>
  <c r="AI26"/>
  <c r="AH26"/>
  <c r="AI27"/>
  <c r="AH27"/>
  <c r="AI28"/>
  <c r="AH28"/>
  <c r="AH29"/>
  <c r="AI30"/>
  <c r="AH30"/>
  <c r="AI31"/>
  <c r="AH31"/>
  <c r="AI32"/>
  <c r="AH32"/>
  <c r="AI33"/>
  <c r="AH33"/>
  <c r="AH34"/>
  <c r="AH37"/>
  <c r="K11" i="42"/>
  <c r="AI32" i="61"/>
  <c r="AH32"/>
  <c r="AH4"/>
  <c r="AH5"/>
  <c r="AI6"/>
  <c r="AH6"/>
  <c r="AI7"/>
  <c r="AH7"/>
  <c r="AI8"/>
  <c r="AH8"/>
  <c r="AI9"/>
  <c r="AH9"/>
  <c r="AI10"/>
  <c r="AH10"/>
  <c r="AH11"/>
  <c r="AH12"/>
  <c r="AI13"/>
  <c r="AH13"/>
  <c r="AH14"/>
  <c r="AI15"/>
  <c r="AH15"/>
  <c r="AI16"/>
  <c r="AH16"/>
  <c r="AI17"/>
  <c r="AH17"/>
  <c r="AH18"/>
  <c r="AH19"/>
  <c r="AH20"/>
  <c r="AI21"/>
  <c r="AH21"/>
  <c r="AI22"/>
  <c r="AH22"/>
  <c r="AI23"/>
  <c r="AH23"/>
  <c r="AI24"/>
  <c r="AH24"/>
  <c r="AI25"/>
  <c r="AH25"/>
  <c r="AH26"/>
  <c r="AH27"/>
  <c r="AI28"/>
  <c r="AH28"/>
  <c r="AI29"/>
  <c r="AH29"/>
  <c r="AI30"/>
  <c r="AH30"/>
  <c r="AI31"/>
  <c r="AH31"/>
  <c r="AH33"/>
  <c r="AH37"/>
  <c r="K12" i="42"/>
  <c r="D41" i="69"/>
  <c r="F41"/>
  <c r="AI7" i="60"/>
  <c r="AI8"/>
  <c r="AI14"/>
  <c r="AI15"/>
  <c r="AI22"/>
  <c r="AI23"/>
  <c r="AI29"/>
  <c r="AI34"/>
  <c r="AI37"/>
  <c r="L11" i="42"/>
  <c r="AI4" i="61"/>
  <c r="AI5"/>
  <c r="AI11"/>
  <c r="AI12"/>
  <c r="AI14"/>
  <c r="AI18"/>
  <c r="AI19"/>
  <c r="AI20"/>
  <c r="AI26"/>
  <c r="AI27"/>
  <c r="AI33"/>
  <c r="AI37"/>
  <c r="L12" i="42"/>
  <c r="D42" i="69"/>
  <c r="F42"/>
  <c r="D20"/>
  <c r="G20"/>
  <c r="D21"/>
  <c r="G21"/>
  <c r="D22"/>
  <c r="G22"/>
  <c r="D23"/>
  <c r="G23"/>
  <c r="D24"/>
  <c r="G24"/>
  <c r="D25"/>
  <c r="G25"/>
  <c r="D26"/>
  <c r="G26"/>
  <c r="D28"/>
  <c r="G28"/>
  <c r="G29"/>
  <c r="D30"/>
  <c r="G30"/>
  <c r="D31"/>
  <c r="G31"/>
  <c r="D32"/>
  <c r="G32"/>
  <c r="J32"/>
  <c r="D35"/>
  <c r="G35"/>
  <c r="D36"/>
  <c r="G36"/>
  <c r="D37"/>
  <c r="G37"/>
  <c r="L46"/>
  <c r="D38"/>
  <c r="G38"/>
  <c r="D39"/>
  <c r="G39"/>
  <c r="D40"/>
  <c r="G40"/>
  <c r="G27"/>
  <c r="G33"/>
  <c r="G34"/>
  <c r="I47"/>
  <c r="J48"/>
  <c r="AF35" i="57"/>
  <c r="P28" i="42"/>
  <c r="P29"/>
  <c r="P30"/>
  <c r="P31"/>
  <c r="P32"/>
  <c r="P33"/>
  <c r="P34"/>
  <c r="P35"/>
  <c r="P36"/>
  <c r="P37"/>
  <c r="P38"/>
  <c r="P27"/>
  <c r="AC40" i="56"/>
  <c r="S7" i="42"/>
  <c r="H10" i="57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4"/>
  <c r="I24"/>
  <c r="H31"/>
  <c r="I31"/>
  <c r="H21"/>
  <c r="I21"/>
  <c r="H22"/>
  <c r="I22"/>
  <c r="H23"/>
  <c r="I23"/>
  <c r="H25"/>
  <c r="I25"/>
  <c r="H26"/>
  <c r="I26"/>
  <c r="H27"/>
  <c r="I27"/>
  <c r="H28"/>
  <c r="I28"/>
  <c r="H29"/>
  <c r="I29"/>
  <c r="H30"/>
  <c r="I30"/>
  <c r="O22"/>
  <c r="P22"/>
  <c r="O31"/>
  <c r="P31"/>
  <c r="H4"/>
  <c r="I4"/>
  <c r="H5"/>
  <c r="I5"/>
  <c r="H6"/>
  <c r="I6"/>
  <c r="H7"/>
  <c r="I7"/>
  <c r="H8"/>
  <c r="I8"/>
  <c r="O8"/>
  <c r="P8"/>
  <c r="H32"/>
  <c r="I32"/>
  <c r="H33"/>
  <c r="I33"/>
  <c r="H34"/>
  <c r="I34"/>
  <c r="O32"/>
  <c r="P32"/>
  <c r="P33"/>
  <c r="O33"/>
  <c r="H9"/>
  <c r="I9"/>
  <c r="D41"/>
  <c r="C28" i="42"/>
  <c r="F35" i="58"/>
  <c r="F35" i="59"/>
  <c r="F35" i="60"/>
  <c r="F35" i="61"/>
  <c r="F35" i="62"/>
  <c r="F35" i="63"/>
  <c r="F33" i="64"/>
  <c r="F34"/>
  <c r="F35"/>
  <c r="F35" i="65"/>
  <c r="F35" i="66"/>
  <c r="F35" i="74"/>
  <c r="F35" i="57"/>
  <c r="E34" i="64"/>
  <c r="E34" i="56"/>
  <c r="AN29" i="42"/>
  <c r="AH27"/>
  <c r="AF28"/>
  <c r="AH28"/>
  <c r="AA8"/>
  <c r="AF29"/>
  <c r="AH29"/>
  <c r="AA9"/>
  <c r="AF30"/>
  <c r="AH30"/>
  <c r="AA10"/>
  <c r="AF31"/>
  <c r="AH31"/>
  <c r="AA11"/>
  <c r="AF32"/>
  <c r="AH32"/>
  <c r="AA12"/>
  <c r="AF33"/>
  <c r="AH33"/>
  <c r="AA13"/>
  <c r="AF34"/>
  <c r="AH34"/>
  <c r="AA14"/>
  <c r="AF35"/>
  <c r="AH35"/>
  <c r="AA15"/>
  <c r="AF36"/>
  <c r="AH36"/>
  <c r="AA16"/>
  <c r="AF37"/>
  <c r="AH37"/>
  <c r="AA17"/>
  <c r="AF38"/>
  <c r="AH38"/>
  <c r="AA18"/>
  <c r="AF39"/>
  <c r="AH39"/>
  <c r="AA19"/>
  <c r="AA7"/>
  <c r="I4" i="56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I5" i="58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34"/>
  <c r="I10" i="59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5" i="60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5" i="61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5" i="62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5" i="63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8"/>
  <c r="I29"/>
  <c r="I30"/>
  <c r="I31"/>
  <c r="I32"/>
  <c r="I33"/>
  <c r="I34"/>
  <c r="I5" i="64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10" i="65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5" i="66"/>
  <c r="I6"/>
  <c r="I7"/>
  <c r="I8"/>
  <c r="I9"/>
  <c r="I10"/>
  <c r="I11"/>
  <c r="I12"/>
  <c r="I13"/>
  <c r="I14"/>
  <c r="I15"/>
  <c r="I16"/>
  <c r="I21"/>
  <c r="I22"/>
  <c r="I23"/>
  <c r="I24"/>
  <c r="I25"/>
  <c r="I26"/>
  <c r="I27"/>
  <c r="I28"/>
  <c r="I29"/>
  <c r="I30"/>
  <c r="I31"/>
  <c r="I32"/>
  <c r="I33"/>
  <c r="I34"/>
  <c r="I5" i="74"/>
  <c r="I6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H5" i="58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59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0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2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3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4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66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 i="74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 i="59"/>
  <c r="T16" i="64"/>
  <c r="T17"/>
  <c r="T18"/>
  <c r="O21"/>
  <c r="P21"/>
  <c r="T21"/>
  <c r="T22"/>
  <c r="T23"/>
  <c r="O25"/>
  <c r="P25"/>
  <c r="T25"/>
  <c r="T27"/>
  <c r="T6" i="63"/>
  <c r="O7"/>
  <c r="P7"/>
  <c r="T7"/>
  <c r="T11"/>
  <c r="T12"/>
  <c r="O17"/>
  <c r="P17"/>
  <c r="T17"/>
  <c r="O21"/>
  <c r="P21"/>
  <c r="T21"/>
  <c r="O9" i="62"/>
  <c r="P9"/>
  <c r="T9"/>
  <c r="O10"/>
  <c r="P10"/>
  <c r="T10"/>
  <c r="O12"/>
  <c r="P12"/>
  <c r="T12"/>
  <c r="O13"/>
  <c r="P13"/>
  <c r="T13"/>
  <c r="O14"/>
  <c r="P14"/>
  <c r="T14"/>
  <c r="O15"/>
  <c r="P15"/>
  <c r="T15"/>
  <c r="O16"/>
  <c r="P16"/>
  <c r="O19"/>
  <c r="P19"/>
  <c r="O20"/>
  <c r="P20"/>
  <c r="T20"/>
  <c r="O21"/>
  <c r="P21"/>
  <c r="O22"/>
  <c r="P22"/>
  <c r="T22"/>
  <c r="O23"/>
  <c r="P23"/>
  <c r="T23"/>
  <c r="O24"/>
  <c r="P24"/>
  <c r="T24"/>
  <c r="T26"/>
  <c r="T27"/>
  <c r="O28"/>
  <c r="P28"/>
  <c r="T28"/>
  <c r="T29"/>
  <c r="T30"/>
  <c r="O31"/>
  <c r="P31"/>
  <c r="T31"/>
  <c r="O32"/>
  <c r="P32"/>
  <c r="O34"/>
  <c r="P34"/>
  <c r="T34"/>
  <c r="O5" i="61"/>
  <c r="P5"/>
  <c r="T5"/>
  <c r="O11"/>
  <c r="P11"/>
  <c r="T11"/>
  <c r="O12"/>
  <c r="P12"/>
  <c r="T12"/>
  <c r="O14"/>
  <c r="P14"/>
  <c r="T14"/>
  <c r="O18"/>
  <c r="P18"/>
  <c r="T18"/>
  <c r="O26"/>
  <c r="P26"/>
  <c r="T26"/>
  <c r="O27"/>
  <c r="P27"/>
  <c r="O33"/>
  <c r="P33"/>
  <c r="T33"/>
  <c r="O4"/>
  <c r="P4"/>
  <c r="T4"/>
  <c r="O7" i="60"/>
  <c r="P7"/>
  <c r="T7"/>
  <c r="O8"/>
  <c r="P8"/>
  <c r="T8"/>
  <c r="O15"/>
  <c r="P15"/>
  <c r="T15"/>
  <c r="O29"/>
  <c r="P29"/>
  <c r="T29"/>
  <c r="O34"/>
  <c r="P34"/>
  <c r="T34"/>
  <c r="O16" i="59"/>
  <c r="P16"/>
  <c r="T16"/>
  <c r="O23"/>
  <c r="P23"/>
  <c r="T23"/>
  <c r="O31"/>
  <c r="P31"/>
  <c r="T31"/>
  <c r="O6" i="58"/>
  <c r="P6"/>
  <c r="T6"/>
  <c r="O12"/>
  <c r="P12"/>
  <c r="T12"/>
  <c r="O17"/>
  <c r="P17"/>
  <c r="O19"/>
  <c r="P19"/>
  <c r="T19"/>
  <c r="O26"/>
  <c r="P26"/>
  <c r="T26"/>
  <c r="O29"/>
  <c r="P29"/>
  <c r="T29"/>
  <c r="T8" i="57"/>
  <c r="O9"/>
  <c r="P9"/>
  <c r="O16"/>
  <c r="P16"/>
  <c r="T16"/>
  <c r="T32"/>
  <c r="T33"/>
  <c r="O10" i="56"/>
  <c r="P10"/>
  <c r="T10"/>
  <c r="O11"/>
  <c r="P11"/>
  <c r="T11"/>
  <c r="O18"/>
  <c r="P18"/>
  <c r="T18"/>
  <c r="O24"/>
  <c r="P24"/>
  <c r="T24"/>
  <c r="O25"/>
  <c r="P25"/>
  <c r="T25"/>
  <c r="AN26" i="42"/>
  <c r="AN25"/>
  <c r="AN27"/>
  <c r="AN24"/>
  <c r="AC41" i="58"/>
  <c r="AC41" i="59"/>
  <c r="AC41" i="60"/>
  <c r="AC41" i="61"/>
  <c r="AC41" i="63"/>
  <c r="AC41" i="65"/>
  <c r="AC41" i="66"/>
  <c r="AC41" i="74"/>
  <c r="B27" i="42"/>
  <c r="A34" i="56"/>
  <c r="AN28" i="42"/>
  <c r="O28" i="58"/>
  <c r="P28"/>
  <c r="T28"/>
  <c r="O30"/>
  <c r="P30"/>
  <c r="T30"/>
  <c r="O31"/>
  <c r="P31"/>
  <c r="T31"/>
  <c r="O32"/>
  <c r="P32"/>
  <c r="O20"/>
  <c r="P20"/>
  <c r="O27"/>
  <c r="P27"/>
  <c r="T17"/>
  <c r="T27"/>
  <c r="D43"/>
  <c r="O33"/>
  <c r="P33"/>
  <c r="I4"/>
  <c r="H4"/>
  <c r="T32"/>
  <c r="V32"/>
  <c r="O13"/>
  <c r="P13"/>
  <c r="V30"/>
  <c r="P34"/>
  <c r="O34"/>
  <c r="V34"/>
  <c r="AE35"/>
  <c r="X35"/>
  <c r="T13"/>
  <c r="Z4"/>
  <c r="Z5"/>
  <c r="Z6"/>
  <c r="Z7"/>
  <c r="Z11"/>
  <c r="Z12"/>
  <c r="Z13"/>
  <c r="Z14"/>
  <c r="Z15"/>
  <c r="Z8"/>
  <c r="Z9"/>
  <c r="Z10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D39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AI28"/>
  <c r="AH28"/>
  <c r="AI30"/>
  <c r="AH30"/>
  <c r="AI31"/>
  <c r="AH31"/>
  <c r="AI32"/>
  <c r="AH32"/>
  <c r="AI33"/>
  <c r="AH33"/>
  <c r="AI34"/>
  <c r="AH34"/>
  <c r="T33"/>
  <c r="T34"/>
  <c r="T20"/>
  <c r="O23" i="57"/>
  <c r="P23"/>
  <c r="O30"/>
  <c r="P30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T31"/>
  <c r="O25" i="66"/>
  <c r="P25"/>
  <c r="O26"/>
  <c r="P26"/>
  <c r="O27"/>
  <c r="P27"/>
  <c r="O8"/>
  <c r="P8"/>
  <c r="O9"/>
  <c r="P9"/>
  <c r="O20"/>
  <c r="P20"/>
  <c r="O21"/>
  <c r="P21"/>
  <c r="O19"/>
  <c r="P19"/>
  <c r="O31"/>
  <c r="P31"/>
  <c r="O32"/>
  <c r="P32"/>
  <c r="O33"/>
  <c r="P33"/>
  <c r="U33"/>
  <c r="W33"/>
  <c r="O17"/>
  <c r="P17"/>
  <c r="O18"/>
  <c r="P18"/>
  <c r="O23"/>
  <c r="P23"/>
  <c r="O24"/>
  <c r="P24"/>
  <c r="O30"/>
  <c r="P30"/>
  <c r="O14"/>
  <c r="P14"/>
  <c r="O28"/>
  <c r="P28"/>
  <c r="D43"/>
  <c r="P13"/>
  <c r="O13"/>
  <c r="O15"/>
  <c r="P15"/>
  <c r="D42"/>
  <c r="I4"/>
  <c r="H4"/>
  <c r="O11"/>
  <c r="P11"/>
  <c r="O22"/>
  <c r="P22"/>
  <c r="D76"/>
  <c r="O5"/>
  <c r="P5"/>
  <c r="V5"/>
  <c r="O6"/>
  <c r="P6"/>
  <c r="O7"/>
  <c r="P7"/>
  <c r="O10"/>
  <c r="P10"/>
  <c r="D75"/>
  <c r="O12"/>
  <c r="P12"/>
  <c r="V15"/>
  <c r="O16"/>
  <c r="P16"/>
  <c r="V23"/>
  <c r="O29"/>
  <c r="P29"/>
  <c r="V33"/>
  <c r="O4"/>
  <c r="P4"/>
  <c r="AD34"/>
  <c r="AE35"/>
  <c r="X35"/>
  <c r="AB34"/>
  <c r="Z27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8"/>
  <c r="Z29"/>
  <c r="Z30"/>
  <c r="Z31"/>
  <c r="Z32"/>
  <c r="Z33"/>
  <c r="Z34"/>
  <c r="V25"/>
  <c r="AA34"/>
  <c r="D39"/>
  <c r="T11"/>
  <c r="T5"/>
  <c r="T6"/>
  <c r="T7"/>
  <c r="T8"/>
  <c r="T9"/>
  <c r="T12"/>
  <c r="T4"/>
  <c r="T13"/>
  <c r="T25"/>
  <c r="T26"/>
  <c r="T27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AI5"/>
  <c r="AH5"/>
  <c r="AI6"/>
  <c r="AH6"/>
  <c r="AI7"/>
  <c r="AH7"/>
  <c r="AI8"/>
  <c r="AH8"/>
  <c r="AI9"/>
  <c r="AH9"/>
  <c r="AI12"/>
  <c r="AH12"/>
  <c r="AI13"/>
  <c r="AH13"/>
  <c r="AI14"/>
  <c r="AH14"/>
  <c r="AI15"/>
  <c r="AH15"/>
  <c r="AI16"/>
  <c r="AH16"/>
  <c r="AI17"/>
  <c r="AH17"/>
  <c r="AI18"/>
  <c r="AH18"/>
  <c r="AI19"/>
  <c r="AH19"/>
  <c r="AI20"/>
  <c r="AH20"/>
  <c r="AI21"/>
  <c r="AH21"/>
  <c r="AI22"/>
  <c r="AH22"/>
  <c r="AI23"/>
  <c r="AH23"/>
  <c r="AI25"/>
  <c r="AH25"/>
  <c r="AI26"/>
  <c r="AH26"/>
  <c r="AI27"/>
  <c r="AH27"/>
  <c r="AI28"/>
  <c r="AH28"/>
  <c r="AI29"/>
  <c r="AH29"/>
  <c r="AI30"/>
  <c r="AH30"/>
  <c r="AI31"/>
  <c r="AH31"/>
  <c r="AI32"/>
  <c r="AH32"/>
  <c r="T10"/>
  <c r="T14"/>
  <c r="T15"/>
  <c r="T16"/>
  <c r="T17"/>
  <c r="T18"/>
  <c r="T19"/>
  <c r="T20"/>
  <c r="T21"/>
  <c r="T22"/>
  <c r="T23"/>
  <c r="T24"/>
  <c r="T28"/>
  <c r="T29"/>
  <c r="T30"/>
  <c r="T31"/>
  <c r="T32"/>
  <c r="T33"/>
  <c r="X34" i="65"/>
  <c r="O18" i="59"/>
  <c r="P18"/>
  <c r="O9"/>
  <c r="P9"/>
  <c r="V9"/>
  <c r="O25"/>
  <c r="P25"/>
  <c r="AA34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O23" i="60"/>
  <c r="P2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O20" i="61"/>
  <c r="P20"/>
  <c r="AA34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O18" i="62"/>
  <c r="P18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4" i="63"/>
  <c r="Z5"/>
  <c r="Z7"/>
  <c r="Z8"/>
  <c r="Z9"/>
  <c r="Z10"/>
  <c r="Z11"/>
  <c r="Z12"/>
  <c r="Z13"/>
  <c r="Z14"/>
  <c r="Z15"/>
  <c r="Z16"/>
  <c r="Z17"/>
  <c r="Z18"/>
  <c r="Z19"/>
  <c r="Z20"/>
  <c r="Z21"/>
  <c r="Z22"/>
  <c r="Z23"/>
  <c r="Z26"/>
  <c r="Z27"/>
  <c r="Z28"/>
  <c r="Z29"/>
  <c r="Z30"/>
  <c r="Z31"/>
  <c r="Z32"/>
  <c r="Z33"/>
  <c r="Z34"/>
  <c r="Z4" i="64"/>
  <c r="Z5"/>
  <c r="Z11"/>
  <c r="Z12"/>
  <c r="Z20"/>
  <c r="Z21"/>
  <c r="Z25"/>
  <c r="Z31"/>
  <c r="Z32"/>
  <c r="Z33"/>
  <c r="Y30" i="65"/>
  <c r="AA30"/>
  <c r="Y31"/>
  <c r="AA31"/>
  <c r="Y32"/>
  <c r="AA32"/>
  <c r="Y33"/>
  <c r="AA33"/>
  <c r="Z4"/>
  <c r="Z10"/>
  <c r="Z11"/>
  <c r="Z12"/>
  <c r="Z13"/>
  <c r="Z14"/>
  <c r="Z15"/>
  <c r="Z16"/>
  <c r="Z17"/>
  <c r="Z18"/>
  <c r="Z30"/>
  <c r="Z31"/>
  <c r="Z32"/>
  <c r="Z33"/>
  <c r="Z34"/>
  <c r="G33" i="71"/>
  <c r="G34"/>
  <c r="J33"/>
  <c r="J34"/>
  <c r="L46"/>
  <c r="G27"/>
  <c r="C5"/>
  <c r="F10"/>
  <c r="E11"/>
  <c r="E12"/>
  <c r="E13"/>
  <c r="E14"/>
  <c r="E5"/>
  <c r="J33" i="69"/>
  <c r="J34"/>
  <c r="E5"/>
  <c r="T30" i="57"/>
  <c r="D43" i="62"/>
  <c r="E33" i="42"/>
  <c r="T21" i="62"/>
  <c r="I4"/>
  <c r="H4"/>
  <c r="T16"/>
  <c r="V26"/>
  <c r="O17"/>
  <c r="P17"/>
  <c r="AE35"/>
  <c r="X35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T17"/>
  <c r="T18"/>
  <c r="T19"/>
  <c r="T25"/>
  <c r="T32"/>
  <c r="AF35"/>
  <c r="O20" i="64"/>
  <c r="P20"/>
  <c r="T15"/>
  <c r="T14"/>
  <c r="T8"/>
  <c r="D43"/>
  <c r="T30"/>
  <c r="T6"/>
  <c r="T7"/>
  <c r="T9"/>
  <c r="D42"/>
  <c r="D35" i="42"/>
  <c r="T28" i="64"/>
  <c r="T29"/>
  <c r="O31"/>
  <c r="P31"/>
  <c r="T31"/>
  <c r="I4"/>
  <c r="H4"/>
  <c r="T24"/>
  <c r="D76"/>
  <c r="O5"/>
  <c r="P5"/>
  <c r="D75"/>
  <c r="O11"/>
  <c r="P11"/>
  <c r="O12"/>
  <c r="P12"/>
  <c r="O32"/>
  <c r="P32"/>
  <c r="O33"/>
  <c r="P33"/>
  <c r="O4"/>
  <c r="P4"/>
  <c r="U33"/>
  <c r="W33"/>
  <c r="Q32"/>
  <c r="R32"/>
  <c r="T32"/>
  <c r="Q33"/>
  <c r="R33"/>
  <c r="T33"/>
  <c r="AI33"/>
  <c r="AH33"/>
  <c r="AD34"/>
  <c r="AG37"/>
  <c r="AF37"/>
  <c r="AE35"/>
  <c r="X35"/>
  <c r="T10"/>
  <c r="T11"/>
  <c r="T12"/>
  <c r="T4"/>
  <c r="T5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AI5"/>
  <c r="AH5"/>
  <c r="AI6"/>
  <c r="AH6"/>
  <c r="AI11"/>
  <c r="AH11"/>
  <c r="AI12"/>
  <c r="AH12"/>
  <c r="AI13"/>
  <c r="AH13"/>
  <c r="AI19"/>
  <c r="AH19"/>
  <c r="AI20"/>
  <c r="AH20"/>
  <c r="AI24"/>
  <c r="AH24"/>
  <c r="AI26"/>
  <c r="AH26"/>
  <c r="AI4"/>
  <c r="AH4"/>
  <c r="T13"/>
  <c r="T19"/>
  <c r="T20"/>
  <c r="T26"/>
  <c r="AE37"/>
  <c r="O23" i="63"/>
  <c r="P23"/>
  <c r="T24"/>
  <c r="O26"/>
  <c r="P26"/>
  <c r="O16"/>
  <c r="P16"/>
  <c r="O18"/>
  <c r="P18"/>
  <c r="O15"/>
  <c r="P15"/>
  <c r="D43"/>
  <c r="E34" i="42"/>
  <c r="O14" i="63"/>
  <c r="P14"/>
  <c r="T14"/>
  <c r="T18"/>
  <c r="I4"/>
  <c r="H4"/>
  <c r="V23"/>
  <c r="O8"/>
  <c r="P8"/>
  <c r="O27"/>
  <c r="P27"/>
  <c r="O28"/>
  <c r="P28"/>
  <c r="P34"/>
  <c r="O34"/>
  <c r="AE35"/>
  <c r="X35"/>
  <c r="T8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AI22"/>
  <c r="AH22"/>
  <c r="AI23"/>
  <c r="AH23"/>
  <c r="AI25"/>
  <c r="AH25"/>
  <c r="AI26"/>
  <c r="AH26"/>
  <c r="AI27"/>
  <c r="AH27"/>
  <c r="AI30"/>
  <c r="AH30"/>
  <c r="AI31"/>
  <c r="AH31"/>
  <c r="AI32"/>
  <c r="AH32"/>
  <c r="AI33"/>
  <c r="AH33"/>
  <c r="AI34"/>
  <c r="AH34"/>
  <c r="T15"/>
  <c r="T16"/>
  <c r="T23"/>
  <c r="T25"/>
  <c r="T26"/>
  <c r="T27"/>
  <c r="T28"/>
  <c r="T34"/>
  <c r="T23" i="57"/>
  <c r="D43"/>
  <c r="E28" i="42"/>
  <c r="D39" i="57"/>
  <c r="T22"/>
  <c r="AE35"/>
  <c r="X35"/>
  <c r="T9"/>
  <c r="Q5"/>
  <c r="R5"/>
  <c r="Q6"/>
  <c r="R6"/>
  <c r="Q7"/>
  <c r="R7"/>
  <c r="Q8"/>
  <c r="R8"/>
  <c r="Q9"/>
  <c r="R9"/>
  <c r="Q10"/>
  <c r="R10"/>
  <c r="Q4"/>
  <c r="R4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AI5"/>
  <c r="AH5"/>
  <c r="AI17"/>
  <c r="AH17"/>
  <c r="AI4"/>
  <c r="AH4"/>
  <c r="O5" i="56"/>
  <c r="P5"/>
  <c r="T5"/>
  <c r="D42"/>
  <c r="E27" i="42"/>
  <c r="O32" i="56"/>
  <c r="P32"/>
  <c r="T32"/>
  <c r="V26"/>
  <c r="Y26"/>
  <c r="AA26"/>
  <c r="O33"/>
  <c r="P33"/>
  <c r="O4"/>
  <c r="P4"/>
  <c r="V5"/>
  <c r="Y5"/>
  <c r="AA5"/>
  <c r="V9"/>
  <c r="Y9"/>
  <c r="V11"/>
  <c r="Y11"/>
  <c r="V12"/>
  <c r="V13"/>
  <c r="Y13"/>
  <c r="V15"/>
  <c r="Y15"/>
  <c r="V16"/>
  <c r="V17"/>
  <c r="V18"/>
  <c r="Y18"/>
  <c r="AA18"/>
  <c r="V21"/>
  <c r="Y21"/>
  <c r="V29"/>
  <c r="Y29"/>
  <c r="V32"/>
  <c r="V33"/>
  <c r="V6"/>
  <c r="Y6"/>
  <c r="AA6"/>
  <c r="Y12"/>
  <c r="AA12"/>
  <c r="Y16"/>
  <c r="AA16"/>
  <c r="Y17"/>
  <c r="AA17"/>
  <c r="Y32"/>
  <c r="AA32"/>
  <c r="Y33"/>
  <c r="AA33"/>
  <c r="Z12"/>
  <c r="Z11"/>
  <c r="Z6"/>
  <c r="Z7"/>
  <c r="Z8"/>
  <c r="Z10"/>
  <c r="Z14"/>
  <c r="Z16"/>
  <c r="Z17"/>
  <c r="Z18"/>
  <c r="Z21"/>
  <c r="Z22"/>
  <c r="Z23"/>
  <c r="Z24"/>
  <c r="Z25"/>
  <c r="Z26"/>
  <c r="Z27"/>
  <c r="Z29"/>
  <c r="Z30"/>
  <c r="Z32"/>
  <c r="Z4"/>
  <c r="Z5"/>
  <c r="Z9"/>
  <c r="Z13"/>
  <c r="Z15"/>
  <c r="Z19"/>
  <c r="Z20"/>
  <c r="Z28"/>
  <c r="Z31"/>
  <c r="Z33"/>
  <c r="AC4"/>
  <c r="T4"/>
  <c r="T33"/>
  <c r="C53"/>
  <c r="Q33"/>
  <c r="R33"/>
  <c r="AI33"/>
  <c r="AH33"/>
  <c r="C63"/>
  <c r="C62"/>
  <c r="C61"/>
  <c r="C60"/>
  <c r="C59"/>
  <c r="C56"/>
  <c r="C55"/>
  <c r="AI6"/>
  <c r="AH6"/>
  <c r="AI12"/>
  <c r="AH12"/>
  <c r="AI16"/>
  <c r="AH16"/>
  <c r="AI17"/>
  <c r="AH17"/>
  <c r="AI32"/>
  <c r="AH32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O22" i="74"/>
  <c r="P22"/>
  <c r="O23"/>
  <c r="P23"/>
  <c r="O24"/>
  <c r="P24"/>
  <c r="O25"/>
  <c r="P25"/>
  <c r="O21"/>
  <c r="P21"/>
  <c r="O4"/>
  <c r="P4"/>
  <c r="O5"/>
  <c r="P5"/>
  <c r="O12"/>
  <c r="P12"/>
  <c r="O29"/>
  <c r="P29"/>
  <c r="U29"/>
  <c r="W29"/>
  <c r="O30"/>
  <c r="P30"/>
  <c r="U30"/>
  <c r="W30"/>
  <c r="O8"/>
  <c r="P8"/>
  <c r="P9"/>
  <c r="O9"/>
  <c r="O28"/>
  <c r="P28"/>
  <c r="U28"/>
  <c r="W28"/>
  <c r="O15"/>
  <c r="P15"/>
  <c r="O16"/>
  <c r="P16"/>
  <c r="O17"/>
  <c r="P17"/>
  <c r="O18"/>
  <c r="P18"/>
  <c r="O19"/>
  <c r="P19"/>
  <c r="U27"/>
  <c r="W27"/>
  <c r="D43"/>
  <c r="E38" i="42"/>
  <c r="T9" i="74"/>
  <c r="O11"/>
  <c r="P11"/>
  <c r="T11"/>
  <c r="T12"/>
  <c r="O13"/>
  <c r="P13"/>
  <c r="D42"/>
  <c r="D38" i="42"/>
  <c r="I4" i="74"/>
  <c r="H4"/>
  <c r="D41"/>
  <c r="C38" i="42"/>
  <c r="T4" i="74"/>
  <c r="T5"/>
  <c r="O6"/>
  <c r="P6"/>
  <c r="T6"/>
  <c r="T8"/>
  <c r="D76"/>
  <c r="V13"/>
  <c r="D75"/>
  <c r="O7"/>
  <c r="P7"/>
  <c r="O10"/>
  <c r="P10"/>
  <c r="V10"/>
  <c r="O14"/>
  <c r="P14"/>
  <c r="O20"/>
  <c r="P20"/>
  <c r="O26"/>
  <c r="P26"/>
  <c r="O27"/>
  <c r="P27"/>
  <c r="O31"/>
  <c r="P31"/>
  <c r="O32"/>
  <c r="P32"/>
  <c r="O33"/>
  <c r="P33"/>
  <c r="O34"/>
  <c r="P34"/>
  <c r="D37"/>
  <c r="X27"/>
  <c r="X28"/>
  <c r="X29"/>
  <c r="X30"/>
  <c r="X31"/>
  <c r="X32"/>
  <c r="X33"/>
  <c r="X34"/>
  <c r="X35"/>
  <c r="U31"/>
  <c r="W31"/>
  <c r="U32"/>
  <c r="W32"/>
  <c r="U33"/>
  <c r="W33"/>
  <c r="U34"/>
  <c r="W34"/>
  <c r="T25"/>
  <c r="T26"/>
  <c r="T27"/>
  <c r="Y6"/>
  <c r="AA6"/>
  <c r="Y7"/>
  <c r="AA7"/>
  <c r="Y8"/>
  <c r="AA8"/>
  <c r="Y9"/>
  <c r="AA9"/>
  <c r="Y10"/>
  <c r="AA10"/>
  <c r="V11"/>
  <c r="Y11"/>
  <c r="AA11"/>
  <c r="Y12"/>
  <c r="AA12"/>
  <c r="Y13"/>
  <c r="AA13"/>
  <c r="Y14"/>
  <c r="AA14"/>
  <c r="Y15"/>
  <c r="AA15"/>
  <c r="Y16"/>
  <c r="AA16"/>
  <c r="Y17"/>
  <c r="AA17"/>
  <c r="Y18"/>
  <c r="AA18"/>
  <c r="Y20"/>
  <c r="AA20"/>
  <c r="Y21"/>
  <c r="AA21"/>
  <c r="Y23"/>
  <c r="AA23"/>
  <c r="Y24"/>
  <c r="AA24"/>
  <c r="Y26"/>
  <c r="AA26"/>
  <c r="Y27"/>
  <c r="AA27"/>
  <c r="Y28"/>
  <c r="AA28"/>
  <c r="Y29"/>
  <c r="AA29"/>
  <c r="Y30"/>
  <c r="AA30"/>
  <c r="Y31"/>
  <c r="AA31"/>
  <c r="Y32"/>
  <c r="AA32"/>
  <c r="Y33"/>
  <c r="AA3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T7"/>
  <c r="Q34"/>
  <c r="R34"/>
  <c r="T34"/>
  <c r="T13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AJ6"/>
  <c r="AI6"/>
  <c r="AJ7"/>
  <c r="AI7"/>
  <c r="AJ8"/>
  <c r="AI8"/>
  <c r="AJ9"/>
  <c r="AI9"/>
  <c r="AJ10"/>
  <c r="AI10"/>
  <c r="AJ11"/>
  <c r="AI11"/>
  <c r="AJ12"/>
  <c r="AI12"/>
  <c r="AJ13"/>
  <c r="AI13"/>
  <c r="AJ14"/>
  <c r="AI14"/>
  <c r="AJ15"/>
  <c r="AI15"/>
  <c r="AJ16"/>
  <c r="AI16"/>
  <c r="AJ17"/>
  <c r="AI17"/>
  <c r="AJ18"/>
  <c r="AI18"/>
  <c r="AJ20"/>
  <c r="AI20"/>
  <c r="AJ21"/>
  <c r="AI21"/>
  <c r="AJ23"/>
  <c r="AI23"/>
  <c r="AJ24"/>
  <c r="AI24"/>
  <c r="AJ26"/>
  <c r="AI26"/>
  <c r="AJ27"/>
  <c r="AI27"/>
  <c r="AJ28"/>
  <c r="AI28"/>
  <c r="AJ29"/>
  <c r="AI29"/>
  <c r="AJ30"/>
  <c r="AI30"/>
  <c r="AJ31"/>
  <c r="AI31"/>
  <c r="AJ32"/>
  <c r="AI32"/>
  <c r="AJ33"/>
  <c r="AI33"/>
  <c r="T14"/>
  <c r="T15"/>
  <c r="T16"/>
  <c r="T10"/>
  <c r="T17"/>
  <c r="T18"/>
  <c r="T19"/>
  <c r="T20"/>
  <c r="T21"/>
  <c r="T22"/>
  <c r="T23"/>
  <c r="T24"/>
  <c r="T28"/>
  <c r="T29"/>
  <c r="T30"/>
  <c r="T31"/>
  <c r="T32"/>
  <c r="T33"/>
  <c r="O12" i="65"/>
  <c r="P12"/>
  <c r="O13"/>
  <c r="P13"/>
  <c r="O14"/>
  <c r="P14"/>
  <c r="O15"/>
  <c r="P15"/>
  <c r="V15"/>
  <c r="Y15"/>
  <c r="O16"/>
  <c r="P16"/>
  <c r="V16"/>
  <c r="Y16"/>
  <c r="O9"/>
  <c r="P9"/>
  <c r="O10"/>
  <c r="P10"/>
  <c r="T10"/>
  <c r="O20"/>
  <c r="P20"/>
  <c r="O21"/>
  <c r="P21"/>
  <c r="O22"/>
  <c r="P22"/>
  <c r="V22"/>
  <c r="O23"/>
  <c r="P23"/>
  <c r="V23"/>
  <c r="O24"/>
  <c r="P24"/>
  <c r="V24"/>
  <c r="Y24"/>
  <c r="O30"/>
  <c r="P30"/>
  <c r="V30"/>
  <c r="O19"/>
  <c r="P19"/>
  <c r="D43"/>
  <c r="E36" i="42"/>
  <c r="D42" i="65"/>
  <c r="D36" i="42"/>
  <c r="I4" i="65"/>
  <c r="H4"/>
  <c r="O4"/>
  <c r="P4"/>
  <c r="T4"/>
  <c r="O17"/>
  <c r="P17"/>
  <c r="V17"/>
  <c r="Y17"/>
  <c r="O31"/>
  <c r="P31"/>
  <c r="V31"/>
  <c r="O32"/>
  <c r="P32"/>
  <c r="V32"/>
  <c r="T7"/>
  <c r="O11"/>
  <c r="P11"/>
  <c r="V11"/>
  <c r="Y11"/>
  <c r="O18"/>
  <c r="P18"/>
  <c r="V18"/>
  <c r="Y18"/>
  <c r="O33"/>
  <c r="P33"/>
  <c r="O34"/>
  <c r="P34"/>
  <c r="V35"/>
  <c r="X35"/>
  <c r="T11"/>
  <c r="T12"/>
  <c r="T8"/>
  <c r="T9"/>
  <c r="T5"/>
  <c r="T6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AI28"/>
  <c r="AH28"/>
  <c r="AI29"/>
  <c r="AH29"/>
  <c r="AI30"/>
  <c r="AH30"/>
  <c r="AI31"/>
  <c r="AH31"/>
  <c r="AI32"/>
  <c r="AH32"/>
  <c r="AI33"/>
  <c r="AH33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AF35" i="61"/>
  <c r="D43"/>
  <c r="E32" i="42"/>
  <c r="I4" i="61"/>
  <c r="H4"/>
  <c r="D39"/>
  <c r="O19"/>
  <c r="P19"/>
  <c r="AD34"/>
  <c r="AE35"/>
  <c r="X34"/>
  <c r="X35"/>
  <c r="AB34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T19"/>
  <c r="T20"/>
  <c r="T27"/>
  <c r="O14" i="60"/>
  <c r="P14"/>
  <c r="D43"/>
  <c r="E31" i="42"/>
  <c r="I4" i="60"/>
  <c r="D37"/>
  <c r="N11" i="42"/>
  <c r="O11"/>
  <c r="H4" i="60"/>
  <c r="T14"/>
  <c r="O22"/>
  <c r="P22"/>
  <c r="AE35"/>
  <c r="X35"/>
  <c r="T22"/>
  <c r="T23"/>
  <c r="D42"/>
  <c r="D31" i="42"/>
  <c r="Q4" i="60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AF37"/>
  <c r="X34" i="59"/>
  <c r="K36" i="42"/>
  <c r="K35"/>
  <c r="E35"/>
  <c r="E37"/>
  <c r="E29"/>
  <c r="D37"/>
  <c r="W23"/>
  <c r="W24"/>
  <c r="N18"/>
  <c r="O18"/>
  <c r="T7"/>
  <c r="T18" i="59"/>
  <c r="T25"/>
  <c r="S18" i="42"/>
  <c r="S17"/>
  <c r="S16"/>
  <c r="S15"/>
  <c r="S14"/>
  <c r="S13"/>
  <c r="S12"/>
  <c r="S9"/>
  <c r="S8"/>
  <c r="S11"/>
  <c r="I15"/>
  <c r="AE37" i="59"/>
  <c r="I10" i="42"/>
  <c r="S10"/>
  <c r="I4" i="59"/>
  <c r="D43"/>
  <c r="E30" i="42"/>
  <c r="H4" i="59"/>
  <c r="AI4"/>
  <c r="AI5"/>
  <c r="AI6"/>
  <c r="AI7"/>
  <c r="AI8"/>
  <c r="AI9"/>
  <c r="AI10"/>
  <c r="AI11"/>
  <c r="AH4"/>
  <c r="AH5"/>
  <c r="AH6"/>
  <c r="AH7"/>
  <c r="AH8"/>
  <c r="AH9"/>
  <c r="AH10"/>
  <c r="AH11"/>
  <c r="O24"/>
  <c r="P24"/>
  <c r="T24"/>
  <c r="O7"/>
  <c r="P7"/>
  <c r="O8"/>
  <c r="P8"/>
  <c r="O11"/>
  <c r="P11"/>
  <c r="V11"/>
  <c r="O5"/>
  <c r="P5"/>
  <c r="V5"/>
  <c r="O6"/>
  <c r="P6"/>
  <c r="V6"/>
  <c r="O10"/>
  <c r="P10"/>
  <c r="O17"/>
  <c r="P17"/>
  <c r="V34"/>
  <c r="O4"/>
  <c r="P4"/>
  <c r="AD34"/>
  <c r="C61"/>
  <c r="C63"/>
  <c r="C66"/>
  <c r="C67"/>
  <c r="AE35"/>
  <c r="X35"/>
  <c r="T4"/>
  <c r="T5"/>
  <c r="T7"/>
  <c r="T8"/>
  <c r="T9"/>
  <c r="T10"/>
  <c r="T11"/>
  <c r="T17"/>
  <c r="AB34"/>
  <c r="T6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AG37"/>
  <c r="AF37"/>
  <c r="AI26" i="56"/>
  <c r="AH26"/>
  <c r="AI5"/>
  <c r="V14" i="61"/>
  <c r="V30" i="74"/>
  <c r="V18"/>
  <c r="V20" i="56"/>
  <c r="Y20"/>
  <c r="AA20"/>
  <c r="V28" i="62"/>
  <c r="V22"/>
  <c r="V10"/>
  <c r="V21"/>
  <c r="V27"/>
  <c r="V34"/>
  <c r="V27" i="61"/>
  <c r="AI32" i="59"/>
  <c r="AH32"/>
  <c r="V29" i="58"/>
  <c r="AI29"/>
  <c r="AI23"/>
  <c r="AH23"/>
  <c r="V17"/>
  <c r="AH5" i="56"/>
  <c r="K38" i="42"/>
  <c r="L45" i="74"/>
  <c r="L44"/>
  <c r="V11" i="66"/>
  <c r="L43"/>
  <c r="AI11"/>
  <c r="AH11"/>
  <c r="Z37"/>
  <c r="V33" i="65"/>
  <c r="V21"/>
  <c r="AI21"/>
  <c r="AH21"/>
  <c r="AA11"/>
  <c r="AI11"/>
  <c r="AH11"/>
  <c r="AI25"/>
  <c r="AH25"/>
  <c r="AA17"/>
  <c r="AI17"/>
  <c r="AH17"/>
  <c r="AA24"/>
  <c r="AI24"/>
  <c r="AH24"/>
  <c r="AI23"/>
  <c r="AH23"/>
  <c r="AI22"/>
  <c r="AH22"/>
  <c r="AA16"/>
  <c r="AI16"/>
  <c r="AH16"/>
  <c r="AA18"/>
  <c r="AI18"/>
  <c r="AH18"/>
  <c r="AA15"/>
  <c r="AI15"/>
  <c r="AH15"/>
  <c r="V12"/>
  <c r="Y12"/>
  <c r="V10"/>
  <c r="Y10"/>
  <c r="AI7"/>
  <c r="V4"/>
  <c r="Y4"/>
  <c r="AI22" i="64"/>
  <c r="AH22"/>
  <c r="AI16"/>
  <c r="AH16"/>
  <c r="AI10"/>
  <c r="AH10"/>
  <c r="L45"/>
  <c r="V12" i="74"/>
  <c r="V24"/>
  <c r="V20" i="61"/>
  <c r="V23" i="60"/>
  <c r="K37" i="42"/>
  <c r="K27"/>
  <c r="V8" i="60"/>
  <c r="C63" i="57"/>
  <c r="C66"/>
  <c r="C67"/>
  <c r="V29" i="66"/>
  <c r="V27"/>
  <c r="V19"/>
  <c r="Z37" i="74"/>
  <c r="W37"/>
  <c r="AI15" i="58"/>
  <c r="AI21"/>
  <c r="AH21"/>
  <c r="V27"/>
  <c r="AI27"/>
  <c r="AH27"/>
  <c r="V25" i="62"/>
  <c r="V13"/>
  <c r="V29" i="60"/>
  <c r="V18" i="62"/>
  <c r="V16" i="74"/>
  <c r="V22"/>
  <c r="Y22"/>
  <c r="V28"/>
  <c r="V4"/>
  <c r="Y4"/>
  <c r="V33" i="61"/>
  <c r="V10" i="59"/>
  <c r="C69" i="57"/>
  <c r="V16"/>
  <c r="V8"/>
  <c r="V4" i="66"/>
  <c r="V31"/>
  <c r="V21"/>
  <c r="V17"/>
  <c r="V13"/>
  <c r="V9"/>
  <c r="V19" i="65"/>
  <c r="V20"/>
  <c r="V9"/>
  <c r="V14"/>
  <c r="Y14"/>
  <c r="V13"/>
  <c r="Y13"/>
  <c r="V11" i="64"/>
  <c r="V31" i="62"/>
  <c r="V28" i="56"/>
  <c r="Y28"/>
  <c r="AA28"/>
  <c r="V25"/>
  <c r="Y25"/>
  <c r="V7"/>
  <c r="Y7"/>
  <c r="V23"/>
  <c r="Y23"/>
  <c r="AA23"/>
  <c r="V22"/>
  <c r="Y22"/>
  <c r="V33" i="74"/>
  <c r="AI28" i="62"/>
  <c r="AH28"/>
  <c r="V20"/>
  <c r="V15"/>
  <c r="V4" i="61"/>
  <c r="AI23" i="56"/>
  <c r="AH23"/>
  <c r="C71" i="57"/>
  <c r="C64"/>
  <c r="V28" i="63"/>
  <c r="V27"/>
  <c r="V12" i="62"/>
  <c r="AI19" i="63"/>
  <c r="AH19"/>
  <c r="D42"/>
  <c r="D34" i="42"/>
  <c r="K32"/>
  <c r="AI30" i="59"/>
  <c r="AI15"/>
  <c r="V17"/>
  <c r="K28" i="42"/>
  <c r="AH29" i="58"/>
  <c r="AI24"/>
  <c r="AH24"/>
  <c r="V10" i="56"/>
  <c r="Y10"/>
  <c r="AI9"/>
  <c r="AA9"/>
  <c r="AA29"/>
  <c r="AI29"/>
  <c r="AH29"/>
  <c r="V31"/>
  <c r="Y31"/>
  <c r="V30"/>
  <c r="Y30"/>
  <c r="V27"/>
  <c r="Y27"/>
  <c r="AI20"/>
  <c r="AH20"/>
  <c r="AA10"/>
  <c r="AI10"/>
  <c r="AH10"/>
  <c r="AH9"/>
  <c r="K30" i="42"/>
  <c r="K31"/>
  <c r="K33"/>
  <c r="K29"/>
  <c r="C68" i="61"/>
  <c r="V8" i="63"/>
  <c r="K34" i="42"/>
  <c r="V21" i="74"/>
  <c r="V15" i="63"/>
  <c r="V33" i="57"/>
  <c r="AI33"/>
  <c r="AH33"/>
  <c r="V4" i="59"/>
  <c r="AI13"/>
  <c r="AH13"/>
  <c r="V8"/>
  <c r="V7"/>
  <c r="V22" i="57"/>
  <c r="V12" i="63"/>
  <c r="V30" i="62"/>
  <c r="AI30"/>
  <c r="AH30"/>
  <c r="D37" i="61"/>
  <c r="N12" i="42"/>
  <c r="O12"/>
  <c r="D37" i="57"/>
  <c r="N8" i="42"/>
  <c r="D39" i="64"/>
  <c r="D37"/>
  <c r="N15" i="42"/>
  <c r="O15"/>
  <c r="V4" i="56"/>
  <c r="Y4"/>
  <c r="V19"/>
  <c r="Y19"/>
  <c r="G40" i="42"/>
  <c r="I40"/>
  <c r="AI9" i="58"/>
  <c r="H40" i="42"/>
  <c r="V27" i="74"/>
  <c r="V15"/>
  <c r="V17" i="62"/>
  <c r="AI28" i="63"/>
  <c r="AH28"/>
  <c r="X37" i="65"/>
  <c r="AI15" i="63"/>
  <c r="AH15"/>
  <c r="V29" i="62"/>
  <c r="AI6" i="63"/>
  <c r="AH6"/>
  <c r="V14" i="62"/>
  <c r="AI31"/>
  <c r="AH31"/>
  <c r="AI20"/>
  <c r="AH20"/>
  <c r="AI17"/>
  <c r="AH17"/>
  <c r="D37" i="63"/>
  <c r="N14" i="42"/>
  <c r="O14"/>
  <c r="W37" i="62"/>
  <c r="C13" i="42"/>
  <c r="D39" i="62"/>
  <c r="L45"/>
  <c r="V26" i="61"/>
  <c r="L43"/>
  <c r="L44"/>
  <c r="L45"/>
  <c r="V11"/>
  <c r="Z37"/>
  <c r="V22" i="60"/>
  <c r="D39"/>
  <c r="L44"/>
  <c r="Z37"/>
  <c r="AH15" i="58"/>
  <c r="V24" i="59"/>
  <c r="V23"/>
  <c r="D37"/>
  <c r="N10" i="42"/>
  <c r="O10"/>
  <c r="AI17" i="59"/>
  <c r="AH17"/>
  <c r="V16"/>
  <c r="AI14"/>
  <c r="L43"/>
  <c r="L45"/>
  <c r="AH9" i="58"/>
  <c r="L45"/>
  <c r="AI17"/>
  <c r="AH17"/>
  <c r="V35" i="74"/>
  <c r="V31"/>
  <c r="V25"/>
  <c r="Y25"/>
  <c r="V19"/>
  <c r="Y19"/>
  <c r="V7"/>
  <c r="V7" i="66"/>
  <c r="V33" i="64"/>
  <c r="V20"/>
  <c r="V5"/>
  <c r="C69" i="59"/>
  <c r="C68"/>
  <c r="V4" i="64"/>
  <c r="V31"/>
  <c r="V25"/>
  <c r="V21"/>
  <c r="V12"/>
  <c r="V34" i="66"/>
  <c r="V32"/>
  <c r="V30"/>
  <c r="V28"/>
  <c r="V26"/>
  <c r="V24"/>
  <c r="V22"/>
  <c r="V20"/>
  <c r="V18"/>
  <c r="V16"/>
  <c r="V14"/>
  <c r="V12"/>
  <c r="V10"/>
  <c r="V8"/>
  <c r="V6"/>
  <c r="V31" i="57"/>
  <c r="V30"/>
  <c r="AI24"/>
  <c r="AH24"/>
  <c r="AI16" i="58"/>
  <c r="AH16"/>
  <c r="V6"/>
  <c r="D37"/>
  <c r="N9" i="42"/>
  <c r="O9"/>
  <c r="D39" i="59"/>
  <c r="Z37" i="58"/>
  <c r="V34" i="65"/>
  <c r="Y34"/>
  <c r="D41" i="66"/>
  <c r="C37" i="42"/>
  <c r="D37" i="66"/>
  <c r="N17" i="42"/>
  <c r="O17"/>
  <c r="V6" i="74"/>
  <c r="AI33" i="66"/>
  <c r="AH33"/>
  <c r="L45"/>
  <c r="U34" i="65"/>
  <c r="W34"/>
  <c r="AA34"/>
  <c r="AI34"/>
  <c r="AH34"/>
  <c r="AI5"/>
  <c r="AH5"/>
  <c r="D37"/>
  <c r="N16" i="42"/>
  <c r="O16"/>
  <c r="D41" i="65"/>
  <c r="C36" i="42"/>
  <c r="AA4" i="74"/>
  <c r="AJ4"/>
  <c r="AI4" i="66"/>
  <c r="AH4"/>
  <c r="W37"/>
  <c r="C17" i="42"/>
  <c r="L44" i="66"/>
  <c r="V32" i="64"/>
  <c r="AI32"/>
  <c r="AH32"/>
  <c r="AA4" i="65"/>
  <c r="AI4"/>
  <c r="Y37"/>
  <c r="D16" i="42"/>
  <c r="D39" i="65"/>
  <c r="U32" i="64"/>
  <c r="D41"/>
  <c r="C35" i="42"/>
  <c r="C18"/>
  <c r="L43" i="74"/>
  <c r="D39"/>
  <c r="C62" i="60"/>
  <c r="C69"/>
  <c r="V34" i="63"/>
  <c r="V21"/>
  <c r="V17"/>
  <c r="AI21" i="56"/>
  <c r="AH21"/>
  <c r="AA21"/>
  <c r="AA11"/>
  <c r="AI11"/>
  <c r="AH11"/>
  <c r="Z37" i="59"/>
  <c r="L44" i="58"/>
  <c r="W37"/>
  <c r="C9" i="42"/>
  <c r="C62" i="59"/>
  <c r="C72"/>
  <c r="C65" i="60"/>
  <c r="C68"/>
  <c r="C72"/>
  <c r="C63"/>
  <c r="C66"/>
  <c r="C67"/>
  <c r="C64" i="61"/>
  <c r="C72"/>
  <c r="AG34"/>
  <c r="AE34"/>
  <c r="AG34" i="56"/>
  <c r="C64" i="58"/>
  <c r="C72"/>
  <c r="C62"/>
  <c r="C68"/>
  <c r="C63"/>
  <c r="C66"/>
  <c r="C67"/>
  <c r="C70"/>
  <c r="AF35"/>
  <c r="C71"/>
  <c r="C65"/>
  <c r="C71" i="62"/>
  <c r="O8" i="42"/>
  <c r="AI31" i="57"/>
  <c r="AH31"/>
  <c r="AI30"/>
  <c r="AH30"/>
  <c r="AI29"/>
  <c r="AH29"/>
  <c r="V32"/>
  <c r="AI25"/>
  <c r="AH25"/>
  <c r="V23"/>
  <c r="AI18"/>
  <c r="AH18"/>
  <c r="AI16"/>
  <c r="V24" i="56"/>
  <c r="Y24"/>
  <c r="AI28"/>
  <c r="AH28"/>
  <c r="AI10" i="57"/>
  <c r="AH10"/>
  <c r="V9"/>
  <c r="AI8"/>
  <c r="AH8"/>
  <c r="L45"/>
  <c r="AA22" i="56"/>
  <c r="AI22"/>
  <c r="AH22"/>
  <c r="AI19"/>
  <c r="AA19"/>
  <c r="AI18"/>
  <c r="AH18"/>
  <c r="AA15"/>
  <c r="AI15"/>
  <c r="AH15"/>
  <c r="V14"/>
  <c r="Y14"/>
  <c r="AA13"/>
  <c r="AI13"/>
  <c r="AH13"/>
  <c r="V8"/>
  <c r="Y8"/>
  <c r="AA8"/>
  <c r="C65" i="62"/>
  <c r="V32"/>
  <c r="V23"/>
  <c r="V31" i="59"/>
  <c r="X37" i="66"/>
  <c r="AI7" i="56"/>
  <c r="AA7"/>
  <c r="AA4"/>
  <c r="AI4"/>
  <c r="AI42"/>
  <c r="D38"/>
  <c r="D36"/>
  <c r="N7" i="42"/>
  <c r="P7"/>
  <c r="P8"/>
  <c r="P9"/>
  <c r="P10"/>
  <c r="P11"/>
  <c r="P12"/>
  <c r="Z36" i="56"/>
  <c r="V18" i="63"/>
  <c r="V16"/>
  <c r="V26"/>
  <c r="V26" i="58"/>
  <c r="V20"/>
  <c r="V13"/>
  <c r="V12"/>
  <c r="V33"/>
  <c r="V31"/>
  <c r="V28"/>
  <c r="AD4" i="56"/>
  <c r="D40"/>
  <c r="C27" i="42"/>
  <c r="D41" i="56"/>
  <c r="D27" i="42"/>
  <c r="W37" i="61"/>
  <c r="C12" i="42"/>
  <c r="V7" i="60"/>
  <c r="V9" i="62"/>
  <c r="D41" i="59"/>
  <c r="C30" i="42"/>
  <c r="D42" i="61"/>
  <c r="D32" i="42"/>
  <c r="D42" i="57"/>
  <c r="D28" i="42"/>
  <c r="D41" i="61"/>
  <c r="C32" i="42"/>
  <c r="D42" i="62"/>
  <c r="D33" i="42"/>
  <c r="D41" i="58"/>
  <c r="C29" i="42"/>
  <c r="D42" i="58"/>
  <c r="D29" i="42"/>
  <c r="D39" i="63"/>
  <c r="D37" i="62"/>
  <c r="N13" i="42"/>
  <c r="O13"/>
  <c r="AI15" i="62"/>
  <c r="AH15"/>
  <c r="AI7"/>
  <c r="AH7"/>
  <c r="AI4"/>
  <c r="AH4"/>
  <c r="AI10"/>
  <c r="AH10"/>
  <c r="AI18"/>
  <c r="AH18"/>
  <c r="AI21"/>
  <c r="AH21"/>
  <c r="AI13"/>
  <c r="AH13"/>
  <c r="AI5"/>
  <c r="AH5"/>
  <c r="AI6"/>
  <c r="AH6"/>
  <c r="AI14"/>
  <c r="AH14"/>
  <c r="AI22"/>
  <c r="AH22"/>
  <c r="AI33"/>
  <c r="AH33"/>
  <c r="AI27" i="57"/>
  <c r="AH27"/>
  <c r="AI7" i="58"/>
  <c r="AG35" i="60"/>
  <c r="AI11" i="58"/>
  <c r="AH11"/>
  <c r="C71" i="59"/>
  <c r="C65"/>
  <c r="C64"/>
  <c r="C70"/>
  <c r="C64" i="60"/>
  <c r="X37"/>
  <c r="C71"/>
  <c r="V34"/>
  <c r="V14"/>
  <c r="C62" i="61"/>
  <c r="C63"/>
  <c r="C66"/>
  <c r="C65"/>
  <c r="C69"/>
  <c r="X37"/>
  <c r="V19"/>
  <c r="X37" i="74"/>
  <c r="C72" i="57"/>
  <c r="C70"/>
  <c r="C65"/>
  <c r="C62"/>
  <c r="X37"/>
  <c r="Y37" i="64"/>
  <c r="D15" i="42"/>
  <c r="C69" i="62"/>
  <c r="C63"/>
  <c r="C66"/>
  <c r="C67"/>
  <c r="X37"/>
  <c r="V24"/>
  <c r="V19"/>
  <c r="V16"/>
  <c r="X37" i="64"/>
  <c r="Y37" i="66"/>
  <c r="D17" i="42"/>
  <c r="AG35" i="57"/>
  <c r="V18" i="61"/>
  <c r="X37" i="59"/>
  <c r="V15" i="60"/>
  <c r="C67" i="61"/>
  <c r="V34"/>
  <c r="V12"/>
  <c r="V5"/>
  <c r="V34" i="74"/>
  <c r="Y34"/>
  <c r="V32"/>
  <c r="V29"/>
  <c r="V26"/>
  <c r="V23"/>
  <c r="V20"/>
  <c r="V17"/>
  <c r="V14"/>
  <c r="V9"/>
  <c r="V5"/>
  <c r="Y5"/>
  <c r="Y37"/>
  <c r="V8"/>
  <c r="V11" i="63"/>
  <c r="V7"/>
  <c r="C70" i="62"/>
  <c r="C68"/>
  <c r="C64"/>
  <c r="C62"/>
  <c r="V18" i="59"/>
  <c r="V19" i="58"/>
  <c r="V25" i="59"/>
  <c r="AD5" i="56"/>
  <c r="AC5"/>
  <c r="V14" i="63"/>
  <c r="AI9"/>
  <c r="AH9"/>
  <c r="AI8"/>
  <c r="AH8"/>
  <c r="AI4"/>
  <c r="X37"/>
  <c r="L43"/>
  <c r="E39" i="42"/>
  <c r="AI34" i="62"/>
  <c r="AH34"/>
  <c r="AI32"/>
  <c r="AH32"/>
  <c r="Z37"/>
  <c r="L43"/>
  <c r="AI29"/>
  <c r="AH29"/>
  <c r="AI27"/>
  <c r="AH27"/>
  <c r="AI26"/>
  <c r="AH26"/>
  <c r="AI25"/>
  <c r="D41"/>
  <c r="C33" i="42"/>
  <c r="L44" i="62"/>
  <c r="AI6" i="65"/>
  <c r="AH6"/>
  <c r="AI31" i="64"/>
  <c r="AH31"/>
  <c r="AI29"/>
  <c r="AH29"/>
  <c r="AI28"/>
  <c r="AH28"/>
  <c r="AI30"/>
  <c r="AH30"/>
  <c r="AA25" i="74"/>
  <c r="AJ25"/>
  <c r="AI25"/>
  <c r="AA22"/>
  <c r="AJ22"/>
  <c r="AI22"/>
  <c r="AA19"/>
  <c r="AJ19"/>
  <c r="AI19"/>
  <c r="AA34"/>
  <c r="AJ34"/>
  <c r="AI34"/>
  <c r="AI24" i="66"/>
  <c r="AH24"/>
  <c r="R17" i="42"/>
  <c r="AI10" i="66"/>
  <c r="AA14" i="65"/>
  <c r="AI14"/>
  <c r="AH14"/>
  <c r="AI20"/>
  <c r="AH20"/>
  <c r="AI19"/>
  <c r="AH19"/>
  <c r="AA12"/>
  <c r="AI12"/>
  <c r="AH12"/>
  <c r="AI27"/>
  <c r="AH27"/>
  <c r="AA13"/>
  <c r="AI13"/>
  <c r="AH13"/>
  <c r="AA10"/>
  <c r="AI10"/>
  <c r="AH10"/>
  <c r="AI26"/>
  <c r="AH26"/>
  <c r="AI9"/>
  <c r="AH9"/>
  <c r="AI8"/>
  <c r="AH8"/>
  <c r="AH7"/>
  <c r="L45"/>
  <c r="L43"/>
  <c r="AI25" i="64"/>
  <c r="AH25"/>
  <c r="AI23"/>
  <c r="AH23"/>
  <c r="AI27"/>
  <c r="AH27"/>
  <c r="AI21"/>
  <c r="AH21"/>
  <c r="AI15"/>
  <c r="AH15"/>
  <c r="AI18"/>
  <c r="AH18"/>
  <c r="AI17"/>
  <c r="AH17"/>
  <c r="AI14"/>
  <c r="AH14"/>
  <c r="AI9"/>
  <c r="AH9"/>
  <c r="AI8"/>
  <c r="AH8"/>
  <c r="AI7"/>
  <c r="AH7"/>
  <c r="AI11" i="63"/>
  <c r="AH11"/>
  <c r="AI10"/>
  <c r="AH10"/>
  <c r="AI24"/>
  <c r="AH24"/>
  <c r="AI10" i="58"/>
  <c r="AH10"/>
  <c r="AA25" i="56"/>
  <c r="AI25"/>
  <c r="AH25"/>
  <c r="Y37" i="58"/>
  <c r="D9" i="42"/>
  <c r="AI43" i="56"/>
  <c r="AI12" i="62"/>
  <c r="AH12"/>
  <c r="AF35" i="63"/>
  <c r="C71"/>
  <c r="C69"/>
  <c r="C65"/>
  <c r="C66"/>
  <c r="C67"/>
  <c r="C72"/>
  <c r="C70"/>
  <c r="C68"/>
  <c r="C64"/>
  <c r="AI20"/>
  <c r="AH20"/>
  <c r="AI21"/>
  <c r="AH21"/>
  <c r="AI13"/>
  <c r="AH13"/>
  <c r="AI12"/>
  <c r="AH12"/>
  <c r="L45"/>
  <c r="D41"/>
  <c r="C34" i="42"/>
  <c r="AI23" i="62"/>
  <c r="AH23"/>
  <c r="AI16"/>
  <c r="AH16"/>
  <c r="AI8"/>
  <c r="AH8"/>
  <c r="D41" i="60"/>
  <c r="C31" i="42"/>
  <c r="AI28" i="59"/>
  <c r="AH28"/>
  <c r="AH30"/>
  <c r="AH15"/>
  <c r="D42"/>
  <c r="D30" i="42"/>
  <c r="D39"/>
  <c r="L44" i="59"/>
  <c r="AI22"/>
  <c r="AH22"/>
  <c r="E9" i="42"/>
  <c r="AI32" i="57"/>
  <c r="AH32"/>
  <c r="AI18" i="58"/>
  <c r="AH18"/>
  <c r="AI19"/>
  <c r="AH19"/>
  <c r="AI25"/>
  <c r="AH25"/>
  <c r="AI26"/>
  <c r="AH26"/>
  <c r="AI12"/>
  <c r="AH12"/>
  <c r="AI4"/>
  <c r="AH4"/>
  <c r="AI34" i="57"/>
  <c r="AH34"/>
  <c r="AI28"/>
  <c r="AH28"/>
  <c r="AI22"/>
  <c r="AH22"/>
  <c r="AI21"/>
  <c r="AH21"/>
  <c r="AI14"/>
  <c r="AH14"/>
  <c r="L43"/>
  <c r="AI6"/>
  <c r="AH6"/>
  <c r="AA31" i="56"/>
  <c r="AI31"/>
  <c r="AH31"/>
  <c r="AA30"/>
  <c r="AI30"/>
  <c r="AH30"/>
  <c r="AA27"/>
  <c r="AI27"/>
  <c r="AH27"/>
  <c r="AH7"/>
  <c r="W36"/>
  <c r="C7" i="42"/>
  <c r="R15"/>
  <c r="R16"/>
  <c r="AI29" i="63"/>
  <c r="AH29"/>
  <c r="X37" i="58"/>
  <c r="AI16" i="63"/>
  <c r="AH16"/>
  <c r="AI18"/>
  <c r="AH18"/>
  <c r="AI17"/>
  <c r="AH17"/>
  <c r="AI7"/>
  <c r="AH7"/>
  <c r="L44"/>
  <c r="Y37" i="62"/>
  <c r="D13" i="42"/>
  <c r="E13"/>
  <c r="AI24" i="62"/>
  <c r="AH24"/>
  <c r="AI19"/>
  <c r="AH19"/>
  <c r="AI11"/>
  <c r="AH11"/>
  <c r="AI9"/>
  <c r="AH9"/>
  <c r="E12" i="42"/>
  <c r="L45" i="60"/>
  <c r="W37"/>
  <c r="C11" i="42"/>
  <c r="L43" i="60"/>
  <c r="AI31" i="59"/>
  <c r="AH31"/>
  <c r="AI24"/>
  <c r="AH24"/>
  <c r="AI23"/>
  <c r="AH23"/>
  <c r="AI19"/>
  <c r="AH19"/>
  <c r="AI16"/>
  <c r="AH16"/>
  <c r="W37"/>
  <c r="C10" i="42"/>
  <c r="AH14" i="59"/>
  <c r="AI12"/>
  <c r="AH12"/>
  <c r="AI22" i="58"/>
  <c r="AH22"/>
  <c r="AI20"/>
  <c r="AH20"/>
  <c r="AI6"/>
  <c r="AH6"/>
  <c r="O7" i="42"/>
  <c r="AI13" i="58"/>
  <c r="AH13"/>
  <c r="AI14"/>
  <c r="AH14"/>
  <c r="AI8"/>
  <c r="AH8"/>
  <c r="W37" i="57"/>
  <c r="C8" i="42"/>
  <c r="AH16" i="57"/>
  <c r="L44"/>
  <c r="W37" i="65"/>
  <c r="C16" i="42"/>
  <c r="E16"/>
  <c r="AA5" i="74"/>
  <c r="AA37"/>
  <c r="Y41"/>
  <c r="R18" i="42"/>
  <c r="AJ5" i="74"/>
  <c r="AI5"/>
  <c r="D18" i="42"/>
  <c r="E18"/>
  <c r="AJ37" i="74"/>
  <c r="L18" i="42"/>
  <c r="AI4" i="74"/>
  <c r="L44" i="65"/>
  <c r="AH4"/>
  <c r="AH37"/>
  <c r="K16" i="42"/>
  <c r="AI37" i="65"/>
  <c r="L16" i="42"/>
  <c r="AI37" i="64"/>
  <c r="L15" i="42"/>
  <c r="W32" i="64"/>
  <c r="L44"/>
  <c r="W37"/>
  <c r="C15" i="42"/>
  <c r="E15"/>
  <c r="AI41" i="56"/>
  <c r="AI23" i="57"/>
  <c r="AH23"/>
  <c r="AI8" i="56"/>
  <c r="AH8"/>
  <c r="AI20" i="57"/>
  <c r="AH20"/>
  <c r="AI5" i="58"/>
  <c r="AH5"/>
  <c r="L43"/>
  <c r="AF34" i="56"/>
  <c r="AE34"/>
  <c r="AI26" i="57"/>
  <c r="AH26"/>
  <c r="AI19"/>
  <c r="AH19"/>
  <c r="AA24" i="56"/>
  <c r="AI24"/>
  <c r="AH24"/>
  <c r="AI15" i="57"/>
  <c r="AH15"/>
  <c r="AI12"/>
  <c r="AH12"/>
  <c r="AI9"/>
  <c r="AH9"/>
  <c r="AH19" i="56"/>
  <c r="AA14"/>
  <c r="AI14"/>
  <c r="AH14"/>
  <c r="Y36"/>
  <c r="D7" i="42"/>
  <c r="P13"/>
  <c r="P14"/>
  <c r="P15"/>
  <c r="P16"/>
  <c r="P17"/>
  <c r="P18"/>
  <c r="AH4" i="56"/>
  <c r="W37" i="63"/>
  <c r="C14" i="42"/>
  <c r="AI26" i="59"/>
  <c r="AH26"/>
  <c r="D11" i="71"/>
  <c r="F11"/>
  <c r="E17" i="42"/>
  <c r="AH7" i="58"/>
  <c r="AI21" i="59"/>
  <c r="AH21"/>
  <c r="AI27"/>
  <c r="AH27"/>
  <c r="AI33"/>
  <c r="AH33"/>
  <c r="AI7" i="57"/>
  <c r="Y37"/>
  <c r="D8" i="42"/>
  <c r="E8"/>
  <c r="AI13" i="57"/>
  <c r="AH13"/>
  <c r="AI20" i="59"/>
  <c r="AH20"/>
  <c r="AI25"/>
  <c r="AH25"/>
  <c r="AI29"/>
  <c r="AH29"/>
  <c r="AI11" i="57"/>
  <c r="AH11"/>
  <c r="AI18" i="59"/>
  <c r="Y37"/>
  <c r="D10" i="42"/>
  <c r="AF34" i="61"/>
  <c r="AC6" i="56"/>
  <c r="AD6"/>
  <c r="AI14" i="63"/>
  <c r="AH14"/>
  <c r="AI5"/>
  <c r="AH5"/>
  <c r="Y37"/>
  <c r="D14" i="42"/>
  <c r="AH4" i="63"/>
  <c r="AH25" i="62"/>
  <c r="AI37"/>
  <c r="L13" i="42"/>
  <c r="AH37" i="64"/>
  <c r="K15" i="42"/>
  <c r="AH10" i="66"/>
  <c r="AH37"/>
  <c r="K17" i="42"/>
  <c r="D41" i="71"/>
  <c r="F41"/>
  <c r="AI37" i="66"/>
  <c r="L17" i="42"/>
  <c r="D42" i="71"/>
  <c r="F42"/>
  <c r="C39" i="42"/>
  <c r="E7"/>
  <c r="E10"/>
  <c r="R13"/>
  <c r="R11"/>
  <c r="C69" i="74"/>
  <c r="AF35"/>
  <c r="C72"/>
  <c r="C62"/>
  <c r="C70"/>
  <c r="C68"/>
  <c r="C71"/>
  <c r="C69" i="66"/>
  <c r="C72"/>
  <c r="C68"/>
  <c r="C71"/>
  <c r="C65"/>
  <c r="C70"/>
  <c r="C62"/>
  <c r="C72" i="64"/>
  <c r="C65"/>
  <c r="C64"/>
  <c r="C70"/>
  <c r="C66"/>
  <c r="C67"/>
  <c r="C69"/>
  <c r="C71"/>
  <c r="C62"/>
  <c r="C68"/>
  <c r="C72" i="65"/>
  <c r="C70"/>
  <c r="C65"/>
  <c r="C62"/>
  <c r="C69"/>
  <c r="C71"/>
  <c r="C68"/>
  <c r="C64"/>
  <c r="R12" i="42"/>
  <c r="E11"/>
  <c r="AA36" i="56"/>
  <c r="E14" i="42"/>
  <c r="AH37" i="63"/>
  <c r="K14" i="42"/>
  <c r="AH37" i="62"/>
  <c r="K13" i="42"/>
  <c r="AI37" i="74"/>
  <c r="K18" i="42"/>
  <c r="AI37" i="58"/>
  <c r="L9" i="42"/>
  <c r="R9"/>
  <c r="C21"/>
  <c r="C22"/>
  <c r="L43" i="64"/>
  <c r="AH36" i="56"/>
  <c r="K7" i="42"/>
  <c r="AI36" i="56"/>
  <c r="L7" i="42"/>
  <c r="AH37" i="58"/>
  <c r="K9" i="42"/>
  <c r="D21"/>
  <c r="R10"/>
  <c r="AH18" i="59"/>
  <c r="AH37"/>
  <c r="K10" i="42"/>
  <c r="AI37" i="59"/>
  <c r="L10" i="42"/>
  <c r="AI37" i="63"/>
  <c r="L14" i="42"/>
  <c r="R14"/>
  <c r="AH7" i="57"/>
  <c r="AH37"/>
  <c r="K8" i="42"/>
  <c r="AI37" i="57"/>
  <c r="L8" i="42"/>
  <c r="AD7" i="56"/>
  <c r="AC7"/>
  <c r="Y40"/>
  <c r="R7" i="42"/>
  <c r="C66" i="65"/>
  <c r="C67"/>
  <c r="AE35"/>
  <c r="AG34" i="66"/>
  <c r="C66"/>
  <c r="C67"/>
  <c r="AF35"/>
  <c r="AG35"/>
  <c r="AG35" i="74"/>
  <c r="AE35"/>
  <c r="AW32" i="42"/>
  <c r="K21"/>
  <c r="D40"/>
  <c r="E40"/>
  <c r="C40"/>
  <c r="G24"/>
  <c r="D22"/>
  <c r="L21"/>
  <c r="R8"/>
  <c r="AU37"/>
  <c r="AC8" i="56"/>
  <c r="AD8"/>
  <c r="AE34" i="66"/>
  <c r="AF34"/>
  <c r="T8" i="42"/>
  <c r="AD9" i="56"/>
  <c r="AC9"/>
  <c r="AU38" i="42"/>
  <c r="AW37"/>
  <c r="T9"/>
  <c r="AU39"/>
  <c r="AW39"/>
  <c r="AD10" i="56"/>
  <c r="AC10"/>
  <c r="T10" i="42"/>
  <c r="AU40"/>
  <c r="AW40"/>
  <c r="AC11" i="56"/>
  <c r="AB11"/>
  <c r="AD11"/>
  <c r="AW34" i="42"/>
  <c r="AW35"/>
  <c r="AW33"/>
  <c r="AW36"/>
  <c r="AW38"/>
  <c r="AW31"/>
  <c r="T11"/>
  <c r="AD12" i="56"/>
  <c r="AC12"/>
  <c r="AB12"/>
  <c r="AU41" i="42"/>
  <c r="AW41"/>
  <c r="T12"/>
  <c r="AW42"/>
  <c r="AC13" i="56"/>
  <c r="AB13"/>
  <c r="AD13"/>
  <c r="T13" i="42"/>
  <c r="AU43"/>
  <c r="AW43"/>
  <c r="AD14" i="56"/>
  <c r="AC14"/>
  <c r="AB14"/>
  <c r="T14" i="42"/>
  <c r="AU44"/>
  <c r="AW44"/>
  <c r="AV44"/>
  <c r="AC15" i="56"/>
  <c r="AB15"/>
  <c r="AD15"/>
  <c r="AZ65" i="42"/>
  <c r="AZ280"/>
  <c r="AZ35"/>
  <c r="AZ188"/>
  <c r="AZ339"/>
  <c r="AZ96"/>
  <c r="AZ369"/>
  <c r="AZ400"/>
  <c r="AZ157"/>
  <c r="AZ218"/>
  <c r="AZ249"/>
  <c r="AZ127"/>
  <c r="AZ308"/>
  <c r="T15"/>
  <c r="AD16" i="56"/>
  <c r="AC16"/>
  <c r="AB16"/>
  <c r="AU45" i="42"/>
  <c r="AW45"/>
  <c r="AV45"/>
  <c r="AE15"/>
  <c r="AJ15"/>
  <c r="AE14"/>
  <c r="AJ14"/>
  <c r="AB14"/>
  <c r="AB12"/>
  <c r="AB10"/>
  <c r="AB8"/>
  <c r="AB15"/>
  <c r="AB13"/>
  <c r="AB11"/>
  <c r="AB9"/>
  <c r="AB7"/>
  <c r="BB35"/>
  <c r="BB96"/>
  <c r="AE9"/>
  <c r="AJ9"/>
  <c r="BB280"/>
  <c r="BB65"/>
  <c r="BB157"/>
  <c r="BB249"/>
  <c r="BB218"/>
  <c r="AE10"/>
  <c r="AJ10"/>
  <c r="BB127"/>
  <c r="BB188"/>
  <c r="T16"/>
  <c r="AU46"/>
  <c r="AW46"/>
  <c r="AV46"/>
  <c r="AB17" i="56"/>
  <c r="AC17"/>
  <c r="AD17"/>
  <c r="AE41" i="74"/>
  <c r="T18" i="42"/>
  <c r="T17"/>
  <c r="AV47"/>
  <c r="AU47"/>
  <c r="AW47"/>
  <c r="AC18" i="56"/>
  <c r="AD18"/>
  <c r="AB18"/>
  <c r="AU48" i="42"/>
  <c r="AW48"/>
  <c r="AV48"/>
  <c r="AC19" i="56"/>
  <c r="AD19"/>
  <c r="AB19"/>
  <c r="AC20"/>
  <c r="AD20"/>
  <c r="AB20"/>
  <c r="AC21"/>
  <c r="AD21"/>
  <c r="AB21"/>
  <c r="AU50" i="42"/>
  <c r="AV50"/>
  <c r="AE7"/>
  <c r="AJ7"/>
  <c r="AC22" i="56"/>
  <c r="AD22"/>
  <c r="AB22"/>
  <c r="AV51" i="42"/>
  <c r="AU51"/>
  <c r="AW51"/>
  <c r="AC23" i="56"/>
  <c r="AD23"/>
  <c r="AB23"/>
  <c r="AU52" i="42"/>
  <c r="AW52"/>
  <c r="AV52"/>
  <c r="AV53"/>
  <c r="AU53"/>
  <c r="AW53"/>
  <c r="AC24" i="56"/>
  <c r="AD24"/>
  <c r="AB24"/>
  <c r="AD25"/>
  <c r="AC25"/>
  <c r="AB25"/>
  <c r="AU54" i="42"/>
  <c r="AW54"/>
  <c r="AV54"/>
  <c r="AV55"/>
  <c r="AU55"/>
  <c r="AW55"/>
  <c r="AC26" i="56"/>
  <c r="AD26"/>
  <c r="AB26"/>
  <c r="AD27"/>
  <c r="AB27"/>
  <c r="AC27"/>
  <c r="AV56" i="42"/>
  <c r="AU56"/>
  <c r="AW56"/>
  <c r="AU57"/>
  <c r="AW57"/>
  <c r="AV57"/>
  <c r="AC28" i="56"/>
  <c r="AD28"/>
  <c r="AB28"/>
  <c r="AD29"/>
  <c r="AC29"/>
  <c r="AB29"/>
  <c r="AU58" i="42"/>
  <c r="AW58"/>
  <c r="AV58"/>
  <c r="AU59"/>
  <c r="AW59"/>
  <c r="AV59"/>
  <c r="AC30" i="56"/>
  <c r="AB30"/>
  <c r="AD30"/>
  <c r="AB31"/>
  <c r="AD31"/>
  <c r="AC31"/>
  <c r="AB32"/>
  <c r="AU60" i="42"/>
  <c r="AW60"/>
  <c r="AV60"/>
  <c r="AB33" i="56"/>
  <c r="AB34"/>
  <c r="AC33"/>
  <c r="AD33"/>
  <c r="AU61" i="42"/>
  <c r="AW61"/>
  <c r="AV61"/>
  <c r="AC32" i="56"/>
  <c r="AD32"/>
  <c r="B28" i="42"/>
  <c r="AV62"/>
  <c r="AU62"/>
  <c r="AW62"/>
  <c r="AC4" i="57"/>
  <c r="AB4"/>
  <c r="AD36" i="56"/>
  <c r="H7" i="42"/>
  <c r="AG7"/>
  <c r="AH7"/>
  <c r="AF7"/>
  <c r="I7"/>
  <c r="AC36" i="56"/>
  <c r="G7" i="42"/>
  <c r="AD4" i="57"/>
  <c r="AI7" i="42"/>
  <c r="AC8"/>
  <c r="V7"/>
  <c r="X7"/>
  <c r="AV63"/>
  <c r="AU63"/>
  <c r="AW63"/>
  <c r="AD5" i="57"/>
  <c r="AC5"/>
  <c r="AB5"/>
  <c r="AV64" i="42"/>
  <c r="AU64"/>
  <c r="AW64"/>
  <c r="AC6" i="57"/>
  <c r="AD6"/>
  <c r="AB6"/>
  <c r="AC7"/>
  <c r="AD7"/>
  <c r="AB7"/>
  <c r="AV65" i="42"/>
  <c r="AU65"/>
  <c r="AW65"/>
  <c r="AV66"/>
  <c r="AU66"/>
  <c r="AW66"/>
  <c r="AD8" i="57"/>
  <c r="AB8"/>
  <c r="AC8"/>
  <c r="AC9"/>
  <c r="AD9"/>
  <c r="AB9"/>
  <c r="AV67" i="42"/>
  <c r="AU67"/>
  <c r="AW67"/>
  <c r="AV68"/>
  <c r="AU68"/>
  <c r="AW68"/>
  <c r="AD10" i="57"/>
  <c r="AB10"/>
  <c r="AC10"/>
  <c r="AC11"/>
  <c r="AD11"/>
  <c r="AB11"/>
  <c r="AU69" i="42"/>
  <c r="AW69"/>
  <c r="AV69"/>
  <c r="AD12" i="57"/>
  <c r="AB12"/>
  <c r="AC12"/>
  <c r="AU70" i="42"/>
  <c r="AV70"/>
  <c r="AW70"/>
  <c r="AC13" i="57"/>
  <c r="AD13"/>
  <c r="AB13"/>
  <c r="AV71" i="42"/>
  <c r="AU71"/>
  <c r="AW71"/>
  <c r="AV72"/>
  <c r="AU72"/>
  <c r="AW72"/>
  <c r="AD14" i="57"/>
  <c r="AB14"/>
  <c r="AC14"/>
  <c r="AD15"/>
  <c r="AB15"/>
  <c r="AC15"/>
  <c r="AV73" i="42"/>
  <c r="AU73"/>
  <c r="AW73"/>
  <c r="AC16" i="57"/>
  <c r="AD16"/>
  <c r="AB16"/>
  <c r="AV74" i="42"/>
  <c r="AU74"/>
  <c r="AW74"/>
  <c r="AU75"/>
  <c r="AW75"/>
  <c r="AV75"/>
  <c r="AB17" i="57"/>
  <c r="AC17"/>
  <c r="AD17"/>
  <c r="AC18"/>
  <c r="AD18"/>
  <c r="AB18"/>
  <c r="AU76" i="42"/>
  <c r="AV76"/>
  <c r="AW76"/>
  <c r="AV77"/>
  <c r="AU77"/>
  <c r="AW77"/>
  <c r="AB19" i="57"/>
  <c r="AC19"/>
  <c r="AD19"/>
  <c r="AC20"/>
  <c r="AD20"/>
  <c r="AB20"/>
  <c r="AU78" i="42"/>
  <c r="AW78"/>
  <c r="AV78"/>
  <c r="AC21" i="57"/>
  <c r="AD21"/>
  <c r="AB21"/>
  <c r="AV79" i="42"/>
  <c r="AU79"/>
  <c r="AW79"/>
  <c r="AU80"/>
  <c r="AW80"/>
  <c r="AV80"/>
  <c r="AC22" i="57"/>
  <c r="AD22"/>
  <c r="AB22"/>
  <c r="AC23"/>
  <c r="AB23"/>
  <c r="AD23"/>
  <c r="AV81" i="42"/>
  <c r="AU81"/>
  <c r="AW81"/>
  <c r="AU82"/>
  <c r="AW82"/>
  <c r="AV82"/>
  <c r="AC24" i="57"/>
  <c r="AD24"/>
  <c r="AB24"/>
  <c r="AD25"/>
  <c r="AB25"/>
  <c r="AC25"/>
  <c r="AV83" i="42"/>
  <c r="AU83"/>
  <c r="AW83"/>
  <c r="AV84"/>
  <c r="AU84"/>
  <c r="AW84"/>
  <c r="AC26" i="57"/>
  <c r="AD26"/>
  <c r="AB26"/>
  <c r="AD27"/>
  <c r="AC27"/>
  <c r="AB27"/>
  <c r="AU85" i="42"/>
  <c r="AW85"/>
  <c r="AV85"/>
  <c r="AV86"/>
  <c r="AU86"/>
  <c r="AW86"/>
  <c r="AC28" i="57"/>
  <c r="AB28"/>
  <c r="AD28"/>
  <c r="AV87" i="42"/>
  <c r="AU87"/>
  <c r="AW87"/>
  <c r="AD29" i="57"/>
  <c r="AB29"/>
  <c r="AC29"/>
  <c r="AU88" i="42"/>
  <c r="AW88"/>
  <c r="AV88"/>
  <c r="AC30" i="57"/>
  <c r="AB30"/>
  <c r="AD30"/>
  <c r="AV89" i="42"/>
  <c r="AU89"/>
  <c r="AW89"/>
  <c r="AF8"/>
  <c r="AG8"/>
  <c r="AH8"/>
  <c r="AC31" i="57"/>
  <c r="AB31"/>
  <c r="AD31"/>
  <c r="AB35"/>
  <c r="AD34"/>
  <c r="AC34"/>
  <c r="AB34"/>
  <c r="AB33"/>
  <c r="AC33"/>
  <c r="AD33"/>
  <c r="AV90" i="42"/>
  <c r="AU90"/>
  <c r="AW90"/>
  <c r="AC32" i="57"/>
  <c r="AB32"/>
  <c r="AD32"/>
  <c r="V8" i="42"/>
  <c r="X8"/>
  <c r="AI8"/>
  <c r="AC9"/>
  <c r="B29"/>
  <c r="AG37" i="57"/>
  <c r="AD37"/>
  <c r="H8" i="42"/>
  <c r="AV91"/>
  <c r="AU91"/>
  <c r="AW91"/>
  <c r="AC4" i="58"/>
  <c r="AD4"/>
  <c r="AB4"/>
  <c r="AC37" i="57"/>
  <c r="G8" i="42"/>
  <c r="AF37" i="57"/>
  <c r="AB5" i="58"/>
  <c r="AD5"/>
  <c r="AC5"/>
  <c r="AV92" i="42"/>
  <c r="AU92"/>
  <c r="AW92"/>
  <c r="AE37" i="57"/>
  <c r="I8" i="42"/>
  <c r="AC6" i="58"/>
  <c r="AD6"/>
  <c r="AB6"/>
  <c r="AU93" i="42"/>
  <c r="AW93"/>
  <c r="AV93"/>
  <c r="AV94"/>
  <c r="AU94"/>
  <c r="AW94"/>
  <c r="AC7" i="58"/>
  <c r="AD7"/>
  <c r="AB7"/>
  <c r="AU95" i="42"/>
  <c r="AW95"/>
  <c r="AV95"/>
  <c r="AD8" i="58"/>
  <c r="AC8"/>
  <c r="AB8"/>
  <c r="AV96" i="42"/>
  <c r="AU96"/>
  <c r="AW96"/>
  <c r="AD9" i="58"/>
  <c r="AB9"/>
  <c r="AC9"/>
  <c r="AU97" i="42"/>
  <c r="AW97"/>
  <c r="AV97"/>
  <c r="AD10" i="58"/>
  <c r="AC10"/>
  <c r="AB10"/>
  <c r="AD11"/>
  <c r="AB11"/>
  <c r="AC11"/>
  <c r="AV98" i="42"/>
  <c r="AU98"/>
  <c r="AW98"/>
  <c r="AU99"/>
  <c r="AW99"/>
  <c r="AV99"/>
  <c r="AD12" i="58"/>
  <c r="AC12"/>
  <c r="AB12"/>
  <c r="AD13"/>
  <c r="AB13"/>
  <c r="AC13"/>
  <c r="AU100" i="42"/>
  <c r="AW100"/>
  <c r="AV100"/>
  <c r="AU101"/>
  <c r="AW101"/>
  <c r="AV101"/>
  <c r="AD14" i="58"/>
  <c r="AC14"/>
  <c r="AB14"/>
  <c r="AC15"/>
  <c r="AD15"/>
  <c r="AB15"/>
  <c r="AV102" i="42"/>
  <c r="AU102"/>
  <c r="AW102"/>
  <c r="AV103"/>
  <c r="AU103"/>
  <c r="AW103"/>
  <c r="AC16" i="58"/>
  <c r="AB16"/>
  <c r="AD16"/>
  <c r="AB17"/>
  <c r="AC17"/>
  <c r="AD17"/>
  <c r="AV104" i="42"/>
  <c r="AU104"/>
  <c r="AW104"/>
  <c r="AV105"/>
  <c r="AU105"/>
  <c r="AW105"/>
  <c r="AD18" i="58"/>
  <c r="AC18"/>
  <c r="AB18"/>
  <c r="AC19"/>
  <c r="AD19"/>
  <c r="AB19"/>
  <c r="AV106" i="42"/>
  <c r="AU106"/>
  <c r="AW106"/>
  <c r="AU107"/>
  <c r="AW107"/>
  <c r="AV107"/>
  <c r="AD20" i="58"/>
  <c r="AC20"/>
  <c r="AB20"/>
  <c r="AD21"/>
  <c r="AB21"/>
  <c r="AC21"/>
  <c r="AV108" i="42"/>
  <c r="AU108"/>
  <c r="AW108"/>
  <c r="AU109"/>
  <c r="AW109"/>
  <c r="AV109"/>
  <c r="AD22" i="58"/>
  <c r="AC22"/>
  <c r="AB22"/>
  <c r="AC23"/>
  <c r="AD23"/>
  <c r="AB23"/>
  <c r="AV110" i="42"/>
  <c r="AU110"/>
  <c r="AW110"/>
  <c r="AD24" i="58"/>
  <c r="AC24"/>
  <c r="AB24"/>
  <c r="AU111" i="42"/>
  <c r="AW111"/>
  <c r="AV111"/>
  <c r="AB25" i="58"/>
  <c r="AC25"/>
  <c r="AD25"/>
  <c r="AU112" i="42"/>
  <c r="AV112"/>
  <c r="AW112"/>
  <c r="AU113"/>
  <c r="AW113"/>
  <c r="AV113"/>
  <c r="AD26" i="58"/>
  <c r="AC26"/>
  <c r="AB26"/>
  <c r="AD27"/>
  <c r="AC27"/>
  <c r="AB27"/>
  <c r="AU114" i="42"/>
  <c r="AW114"/>
  <c r="AV114"/>
  <c r="AG9"/>
  <c r="AH9"/>
  <c r="AU115"/>
  <c r="AW115"/>
  <c r="AV115"/>
  <c r="AC28" i="58"/>
  <c r="AB28"/>
  <c r="AD28"/>
  <c r="AF9" i="42"/>
  <c r="AI9"/>
  <c r="AC10"/>
  <c r="V9"/>
  <c r="X9"/>
  <c r="AD29" i="58"/>
  <c r="AB29"/>
  <c r="AC29"/>
  <c r="AV116" i="42"/>
  <c r="AU116"/>
  <c r="AW116"/>
  <c r="AU117"/>
  <c r="AW117"/>
  <c r="AV117"/>
  <c r="AD30" i="58"/>
  <c r="AC30"/>
  <c r="AB30"/>
  <c r="AD31"/>
  <c r="AB31"/>
  <c r="AC31"/>
  <c r="AV118" i="42"/>
  <c r="AU118"/>
  <c r="AW118"/>
  <c r="AB35" i="58"/>
  <c r="AD33"/>
  <c r="AB33"/>
  <c r="AC33"/>
  <c r="AV119" i="42"/>
  <c r="AU119"/>
  <c r="AW119"/>
  <c r="AC32" i="58"/>
  <c r="AB32"/>
  <c r="AD32"/>
  <c r="AC34"/>
  <c r="AB34"/>
  <c r="AD34"/>
  <c r="AD37"/>
  <c r="H9" i="42"/>
  <c r="B30"/>
  <c r="AC37" i="58"/>
  <c r="G9" i="42"/>
  <c r="AG37" i="58"/>
  <c r="AD4" i="59"/>
  <c r="AB4"/>
  <c r="AV120" i="42"/>
  <c r="AU120"/>
  <c r="AW120"/>
  <c r="AF37" i="58"/>
  <c r="AC4" i="59"/>
  <c r="AV121" i="42"/>
  <c r="AU121"/>
  <c r="AW121"/>
  <c r="AC5" i="59"/>
  <c r="AD5"/>
  <c r="AE37" i="58"/>
  <c r="I9" i="42"/>
  <c r="AB5" i="59"/>
  <c r="AB6"/>
  <c r="AV122" i="42"/>
  <c r="AU122"/>
  <c r="AW122"/>
  <c r="AD6" i="59"/>
  <c r="AC6"/>
  <c r="AV123" i="42"/>
  <c r="AU123"/>
  <c r="AW123"/>
  <c r="AD7" i="59"/>
  <c r="AB7"/>
  <c r="AC7"/>
  <c r="AF10" i="42"/>
  <c r="AG10"/>
  <c r="AH10"/>
  <c r="V10"/>
  <c r="X10"/>
  <c r="AI10"/>
  <c r="AC11"/>
  <c r="AC8" i="59"/>
  <c r="AD8"/>
  <c r="AB8"/>
  <c r="AU124" i="42"/>
  <c r="AW124"/>
  <c r="AV124"/>
  <c r="AD9" i="59"/>
  <c r="AB9"/>
  <c r="AC9"/>
  <c r="AU125" i="42"/>
  <c r="AW125"/>
  <c r="AV125"/>
  <c r="AU126"/>
  <c r="AV126"/>
  <c r="AW126"/>
  <c r="AC10" i="59"/>
  <c r="AD10"/>
  <c r="AB10"/>
  <c r="AD11"/>
  <c r="AC11"/>
  <c r="AB11"/>
  <c r="AV127" i="42"/>
  <c r="AU127"/>
  <c r="AW127"/>
  <c r="AD12" i="59"/>
  <c r="AB12"/>
  <c r="AC12"/>
  <c r="AU128" i="42"/>
  <c r="AW128"/>
  <c r="AV128"/>
  <c r="AC13" i="59"/>
  <c r="AD13"/>
  <c r="AB13"/>
  <c r="AV129" i="42"/>
  <c r="AU129"/>
  <c r="AW129"/>
  <c r="AD14" i="59"/>
  <c r="AC14"/>
  <c r="AB14"/>
  <c r="AU130" i="42"/>
  <c r="AW130"/>
  <c r="AV130"/>
  <c r="AV131"/>
  <c r="AU131"/>
  <c r="AW131"/>
  <c r="AC15" i="59"/>
  <c r="AD15"/>
  <c r="AB15"/>
  <c r="AD16"/>
  <c r="AB16"/>
  <c r="AC16"/>
  <c r="AV132" i="42"/>
  <c r="AU132"/>
  <c r="AW132"/>
  <c r="AU133"/>
  <c r="AW133"/>
  <c r="AV133"/>
  <c r="AC17" i="59"/>
  <c r="AD17"/>
  <c r="AB17"/>
  <c r="AD18"/>
  <c r="AC18"/>
  <c r="AB18"/>
  <c r="AU134" i="42"/>
  <c r="AW134"/>
  <c r="AV134"/>
  <c r="AD19" i="59"/>
  <c r="AB19"/>
  <c r="AC19"/>
  <c r="AV135" i="42"/>
  <c r="AU135"/>
  <c r="AW135"/>
  <c r="AC20" i="59"/>
  <c r="AB20"/>
  <c r="AD20"/>
  <c r="AV136" i="42"/>
  <c r="AU136"/>
  <c r="AW136"/>
  <c r="AD21" i="59"/>
  <c r="AB21"/>
  <c r="AC21"/>
  <c r="AV137" i="42"/>
  <c r="AU137"/>
  <c r="AW137"/>
  <c r="AV138"/>
  <c r="AU138"/>
  <c r="AW138"/>
  <c r="AC22" i="59"/>
  <c r="AD22"/>
  <c r="AB22"/>
  <c r="AD23"/>
  <c r="AB23"/>
  <c r="AC23"/>
  <c r="AU139" i="42"/>
  <c r="AW139"/>
  <c r="AV139"/>
  <c r="AV140"/>
  <c r="AU140"/>
  <c r="AW140"/>
  <c r="AC24" i="59"/>
  <c r="AD24"/>
  <c r="AB24"/>
  <c r="AD25"/>
  <c r="AC25"/>
  <c r="AB25"/>
  <c r="AU141" i="42"/>
  <c r="AW141"/>
  <c r="AV141"/>
  <c r="AD26" i="59"/>
  <c r="AB26"/>
  <c r="AC26"/>
  <c r="AV142" i="42"/>
  <c r="AU142"/>
  <c r="AW142"/>
  <c r="AU143"/>
  <c r="AW143"/>
  <c r="AV143"/>
  <c r="AC27" i="59"/>
  <c r="AD27"/>
  <c r="AB27"/>
  <c r="AD28"/>
  <c r="AB28"/>
  <c r="AC28"/>
  <c r="AU144" i="42"/>
  <c r="AW144"/>
  <c r="AV144"/>
  <c r="AV145"/>
  <c r="AU145"/>
  <c r="AW145"/>
  <c r="AC29" i="59"/>
  <c r="AD29"/>
  <c r="AB29"/>
  <c r="AD30"/>
  <c r="AB30"/>
  <c r="AC30"/>
  <c r="AU146" i="42"/>
  <c r="AW146"/>
  <c r="AV146"/>
  <c r="AV147"/>
  <c r="AU147"/>
  <c r="AW147"/>
  <c r="AC31" i="59"/>
  <c r="AB31"/>
  <c r="AD31"/>
  <c r="AB35"/>
  <c r="AU148" i="42"/>
  <c r="AW148"/>
  <c r="AV148"/>
  <c r="AD33" i="59"/>
  <c r="AC33"/>
  <c r="AB33"/>
  <c r="AC32"/>
  <c r="AB32"/>
  <c r="AD32"/>
  <c r="B31" i="42"/>
  <c r="AC37" i="59"/>
  <c r="G10" i="42"/>
  <c r="AB4" i="60"/>
  <c r="AV149" i="42"/>
  <c r="AU149"/>
  <c r="AW149"/>
  <c r="AD37" i="59"/>
  <c r="H10" i="42"/>
  <c r="AV150"/>
  <c r="AU150"/>
  <c r="AW150"/>
  <c r="AB5" i="60"/>
  <c r="AB6"/>
  <c r="AV151" i="42"/>
  <c r="AU151"/>
  <c r="AW151"/>
  <c r="AU152"/>
  <c r="AW152"/>
  <c r="AV152"/>
  <c r="AB7" i="60"/>
  <c r="AU153" i="42"/>
  <c r="AW153"/>
  <c r="AV153"/>
  <c r="AB8" i="60"/>
  <c r="AU154" i="42"/>
  <c r="AW154"/>
  <c r="AV154"/>
  <c r="AB9" i="60"/>
  <c r="AB10"/>
  <c r="AU155" i="42"/>
  <c r="AW155"/>
  <c r="AV155"/>
  <c r="AB11" i="60"/>
  <c r="AU156" i="42"/>
  <c r="AW156"/>
  <c r="AV156"/>
  <c r="AU157"/>
  <c r="AW157"/>
  <c r="AV157"/>
  <c r="AB12" i="60"/>
  <c r="AB13"/>
  <c r="AU158" i="42"/>
  <c r="AW158"/>
  <c r="AV158"/>
  <c r="AV159"/>
  <c r="AU159"/>
  <c r="AW159"/>
  <c r="AB14" i="60"/>
  <c r="AV160" i="42"/>
  <c r="AU160"/>
  <c r="AW160"/>
  <c r="AB15" i="60"/>
  <c r="AB16"/>
  <c r="AV161" i="42"/>
  <c r="AU161"/>
  <c r="AW161"/>
  <c r="AB17" i="60"/>
  <c r="AU162" i="42"/>
  <c r="AW162"/>
  <c r="AV162"/>
  <c r="AU163"/>
  <c r="AW163"/>
  <c r="AV163"/>
  <c r="AB18" i="60"/>
  <c r="AB19"/>
  <c r="AV164" i="42"/>
  <c r="AU164"/>
  <c r="AW164"/>
  <c r="AU165"/>
  <c r="AV165"/>
  <c r="AW165"/>
  <c r="AB20" i="60"/>
  <c r="AB21"/>
  <c r="AU166" i="42"/>
  <c r="AW166"/>
  <c r="AV166"/>
  <c r="AU167"/>
  <c r="AW167"/>
  <c r="AV167"/>
  <c r="AB22" i="60"/>
  <c r="AF11" i="42"/>
  <c r="AG11"/>
  <c r="AH11"/>
  <c r="AB23" i="60"/>
  <c r="AU168" i="42"/>
  <c r="AV168"/>
  <c r="AW168"/>
  <c r="AB24" i="60"/>
  <c r="AV169" i="42"/>
  <c r="AU169"/>
  <c r="AW169"/>
  <c r="AI11"/>
  <c r="AC12"/>
  <c r="V11"/>
  <c r="X11"/>
  <c r="AU170"/>
  <c r="AW170"/>
  <c r="AV170"/>
  <c r="AB25" i="60"/>
  <c r="AB26"/>
  <c r="AU171" i="42"/>
  <c r="AW171"/>
  <c r="AV171"/>
  <c r="AB27" i="60"/>
  <c r="AV172" i="42"/>
  <c r="AU172"/>
  <c r="AW172"/>
  <c r="AU173"/>
  <c r="AW173"/>
  <c r="AV173"/>
  <c r="AB28" i="60"/>
  <c r="AB29"/>
  <c r="AV174" i="42"/>
  <c r="AU174"/>
  <c r="AW174"/>
  <c r="AU175"/>
  <c r="AW175"/>
  <c r="AV175"/>
  <c r="AB30" i="60"/>
  <c r="AB31"/>
  <c r="AV176" i="42"/>
  <c r="AU176"/>
  <c r="AW176"/>
  <c r="AB35" i="60"/>
  <c r="AB34"/>
  <c r="AU177" i="42"/>
  <c r="AW177"/>
  <c r="AV177"/>
  <c r="AB32" i="60"/>
  <c r="AB33"/>
  <c r="B32" i="42"/>
  <c r="AU178"/>
  <c r="AW178"/>
  <c r="AV178"/>
  <c r="AB4" i="61"/>
  <c r="AG37" i="60"/>
  <c r="AU179" i="42"/>
  <c r="AW179"/>
  <c r="AV179"/>
  <c r="AB5" i="61"/>
  <c r="AU180" i="42"/>
  <c r="AW180"/>
  <c r="AV180"/>
  <c r="AB6" i="61"/>
  <c r="AB7"/>
  <c r="AU181" i="42"/>
  <c r="AW181"/>
  <c r="AV181"/>
  <c r="AV182"/>
  <c r="AU182"/>
  <c r="AW182"/>
  <c r="AB8" i="61"/>
  <c r="AB9"/>
  <c r="AV183" i="42"/>
  <c r="AU183"/>
  <c r="AW183"/>
  <c r="AU184"/>
  <c r="AW184"/>
  <c r="AV184"/>
  <c r="AB10" i="61"/>
  <c r="AB11"/>
  <c r="AV185" i="42"/>
  <c r="AU185"/>
  <c r="AW185"/>
  <c r="AU186"/>
  <c r="AW186"/>
  <c r="AV186"/>
  <c r="AB12" i="61"/>
  <c r="AB13"/>
  <c r="AU187" i="42"/>
  <c r="AW187"/>
  <c r="AV187"/>
  <c r="AU188"/>
  <c r="AW188"/>
  <c r="AV188"/>
  <c r="AB14" i="61"/>
  <c r="AB15"/>
  <c r="AV189" i="42"/>
  <c r="AU189"/>
  <c r="AW189"/>
  <c r="AU190"/>
  <c r="AW190"/>
  <c r="AV190"/>
  <c r="AB16" i="61"/>
  <c r="AB17"/>
  <c r="AU191" i="42"/>
  <c r="AW191"/>
  <c r="AV191"/>
  <c r="AU192"/>
  <c r="AW192"/>
  <c r="AV192"/>
  <c r="AB18" i="61"/>
  <c r="AB19"/>
  <c r="AV193" i="42"/>
  <c r="AU193"/>
  <c r="AW193"/>
  <c r="AU194"/>
  <c r="AW194"/>
  <c r="AV194"/>
  <c r="AB20" i="61"/>
  <c r="AG12" i="42"/>
  <c r="AH12"/>
  <c r="AF12"/>
  <c r="V12"/>
  <c r="X12"/>
  <c r="AI12"/>
  <c r="AC13"/>
  <c r="AB21" i="61"/>
  <c r="AU195" i="42"/>
  <c r="AW195"/>
  <c r="AV195"/>
  <c r="AU196"/>
  <c r="AW196"/>
  <c r="AV196"/>
  <c r="AB22" i="61"/>
  <c r="AW197" i="42"/>
  <c r="AV197"/>
  <c r="AB23" i="61"/>
  <c r="AV198" i="42"/>
  <c r="AU198"/>
  <c r="AW198"/>
  <c r="AB24" i="61"/>
  <c r="AB25"/>
  <c r="AU199" i="42"/>
  <c r="AW199"/>
  <c r="AV199"/>
  <c r="AV200"/>
  <c r="AU200"/>
  <c r="AW200"/>
  <c r="AB26" i="61"/>
  <c r="AB27"/>
  <c r="AU201" i="42"/>
  <c r="AW201"/>
  <c r="AV201"/>
  <c r="AV202"/>
  <c r="AU202"/>
  <c r="AW202"/>
  <c r="AB28" i="61"/>
  <c r="AB29"/>
  <c r="AU203" i="42"/>
  <c r="AV203"/>
  <c r="AW203"/>
  <c r="AV204"/>
  <c r="AU204"/>
  <c r="AW204"/>
  <c r="AB30" i="61"/>
  <c r="AB31"/>
  <c r="AV205" i="42"/>
  <c r="AU205"/>
  <c r="AW205"/>
  <c r="AB35" i="61"/>
  <c r="AU206" i="42"/>
  <c r="AW206"/>
  <c r="AV206"/>
  <c r="AB33" i="61"/>
  <c r="AB32"/>
  <c r="B33" i="42"/>
  <c r="AC4" i="62"/>
  <c r="AV207" i="42"/>
  <c r="AU207"/>
  <c r="AW207"/>
  <c r="AG37" i="61"/>
  <c r="AD4" i="62"/>
  <c r="AB4"/>
  <c r="AV208" i="42"/>
  <c r="AU208"/>
  <c r="AW208"/>
  <c r="AC5" i="62"/>
  <c r="AB5"/>
  <c r="AD5"/>
  <c r="AF37" i="61"/>
  <c r="AD6" i="62"/>
  <c r="AB6"/>
  <c r="AC6"/>
  <c r="AU209" i="42"/>
  <c r="AW209"/>
  <c r="AV209"/>
  <c r="AD7" i="62"/>
  <c r="AC7"/>
  <c r="AB7"/>
  <c r="AV210" i="42"/>
  <c r="AU210"/>
  <c r="AW210"/>
  <c r="AV211"/>
  <c r="AU211"/>
  <c r="AW211"/>
  <c r="AC8" i="62"/>
  <c r="AB8"/>
  <c r="AD8"/>
  <c r="AD9"/>
  <c r="AC9"/>
  <c r="AB9"/>
  <c r="AV212" i="42"/>
  <c r="AU212"/>
  <c r="AW212"/>
  <c r="AV213"/>
  <c r="AU213"/>
  <c r="AW213"/>
  <c r="AC10" i="62"/>
  <c r="AB10"/>
  <c r="AD10"/>
  <c r="AD11"/>
  <c r="AC11"/>
  <c r="AB11"/>
  <c r="AU214" i="42"/>
  <c r="AW214"/>
  <c r="AV214"/>
  <c r="AV215"/>
  <c r="AU215"/>
  <c r="AW215"/>
  <c r="AC12" i="62"/>
  <c r="AB12"/>
  <c r="AD12"/>
  <c r="AD13"/>
  <c r="AB13"/>
  <c r="AC13"/>
  <c r="AV216" i="42"/>
  <c r="AU216"/>
  <c r="AW216"/>
  <c r="AD14" i="62"/>
  <c r="AC14"/>
  <c r="AB14"/>
  <c r="AU217" i="42"/>
  <c r="AW217"/>
  <c r="AV217"/>
  <c r="AU218"/>
  <c r="AW218"/>
  <c r="AV218"/>
  <c r="AC15" i="62"/>
  <c r="AB15"/>
  <c r="AD15"/>
  <c r="AC16"/>
  <c r="AB16"/>
  <c r="AD16"/>
  <c r="AU219" i="42"/>
  <c r="AW219"/>
  <c r="AV219"/>
  <c r="AV220"/>
  <c r="AU220"/>
  <c r="AW220"/>
  <c r="AD17" i="62"/>
  <c r="AC17"/>
  <c r="AB17"/>
  <c r="AU221" i="42"/>
  <c r="AV221"/>
  <c r="AW221"/>
  <c r="AD18" i="62"/>
  <c r="AC18"/>
  <c r="AB18"/>
  <c r="AG13" i="42"/>
  <c r="AH13"/>
  <c r="AF13"/>
  <c r="AV222"/>
  <c r="AU222"/>
  <c r="AW222"/>
  <c r="AC19" i="62"/>
  <c r="AB19"/>
  <c r="AD19"/>
  <c r="AD20"/>
  <c r="AB20"/>
  <c r="AC20"/>
  <c r="AI13" i="42"/>
  <c r="AC14"/>
  <c r="AU223"/>
  <c r="AV223"/>
  <c r="AW223"/>
  <c r="V13"/>
  <c r="X13"/>
  <c r="AC21" i="62"/>
  <c r="AB21"/>
  <c r="AD21"/>
  <c r="AU224" i="42"/>
  <c r="AW224"/>
  <c r="AV224"/>
  <c r="AD22" i="62"/>
  <c r="AB22"/>
  <c r="AC22"/>
  <c r="AV225" i="42"/>
  <c r="AU225"/>
  <c r="AW225"/>
  <c r="AC23" i="62"/>
  <c r="AB23"/>
  <c r="AD23"/>
  <c r="AU226" i="42"/>
  <c r="AV226"/>
  <c r="AW226"/>
  <c r="AD24" i="62"/>
  <c r="AC24"/>
  <c r="AB24"/>
  <c r="AU227" i="42"/>
  <c r="AW227"/>
  <c r="AV227"/>
  <c r="AU228"/>
  <c r="AV228"/>
  <c r="AW228"/>
  <c r="AD25" i="62"/>
  <c r="AB25"/>
  <c r="AC25"/>
  <c r="AV229" i="42"/>
  <c r="AU229"/>
  <c r="AW229"/>
  <c r="AD26" i="62"/>
  <c r="AC26"/>
  <c r="AB26"/>
  <c r="AD27"/>
  <c r="AC27"/>
  <c r="AB27"/>
  <c r="AU230" i="42"/>
  <c r="AW230"/>
  <c r="AV230"/>
  <c r="AV231"/>
  <c r="AU231"/>
  <c r="AW231"/>
  <c r="AC28" i="62"/>
  <c r="AB28"/>
  <c r="AD28"/>
  <c r="AV232" i="42"/>
  <c r="AU232"/>
  <c r="AW232"/>
  <c r="AD29" i="62"/>
  <c r="AB29"/>
  <c r="AC29"/>
  <c r="AD30"/>
  <c r="AB30"/>
  <c r="AC30"/>
  <c r="AV233" i="42"/>
  <c r="AU233"/>
  <c r="AW233"/>
  <c r="AV234"/>
  <c r="AU234"/>
  <c r="AW234"/>
  <c r="AC31" i="62"/>
  <c r="AD31"/>
  <c r="AB31"/>
  <c r="AB35"/>
  <c r="AC33"/>
  <c r="AB33"/>
  <c r="AD33"/>
  <c r="AU235" i="42"/>
  <c r="AW235"/>
  <c r="AV235"/>
  <c r="AC32" i="62"/>
  <c r="AB32"/>
  <c r="AD32"/>
  <c r="AD34"/>
  <c r="AD37"/>
  <c r="H13" i="42"/>
  <c r="AC34" i="62"/>
  <c r="AB34"/>
  <c r="B34" i="42"/>
  <c r="AC37" i="62"/>
  <c r="G13" i="42"/>
  <c r="AB4" i="63"/>
  <c r="AC4"/>
  <c r="AD4"/>
  <c r="AU236" i="42"/>
  <c r="AW236"/>
  <c r="AV236"/>
  <c r="AG37" i="62"/>
  <c r="AF37"/>
  <c r="AB5" i="63"/>
  <c r="AC5"/>
  <c r="AD5"/>
  <c r="AE37" i="62"/>
  <c r="I13" i="42"/>
  <c r="AV237"/>
  <c r="AU237"/>
  <c r="AW237"/>
  <c r="AB6" i="63"/>
  <c r="AC6"/>
  <c r="AD6"/>
  <c r="AV238" i="42"/>
  <c r="AU238"/>
  <c r="AW238"/>
  <c r="AD7" i="63"/>
  <c r="AC7"/>
  <c r="AB7"/>
  <c r="AV239" i="42"/>
  <c r="AU239"/>
  <c r="AW239"/>
  <c r="AD8" i="63"/>
  <c r="AC8"/>
  <c r="AB8"/>
  <c r="AU240" i="42"/>
  <c r="AW240"/>
  <c r="AV240"/>
  <c r="AV241"/>
  <c r="AU241"/>
  <c r="AW241"/>
  <c r="AB9" i="63"/>
  <c r="AC9"/>
  <c r="AD9"/>
  <c r="AD10"/>
  <c r="AC10"/>
  <c r="AB10"/>
  <c r="AU242" i="42"/>
  <c r="AW242"/>
  <c r="AV242"/>
  <c r="AB11" i="63"/>
  <c r="AC11"/>
  <c r="AD11"/>
  <c r="AV243" i="42"/>
  <c r="AU243"/>
  <c r="AW243"/>
  <c r="AD12" i="63"/>
  <c r="AC12"/>
  <c r="AB12"/>
  <c r="AV244" i="42"/>
  <c r="AU244"/>
  <c r="AW244"/>
  <c r="AB13" i="63"/>
  <c r="AC13"/>
  <c r="AD13"/>
  <c r="AV245" i="42"/>
  <c r="AU245"/>
  <c r="AW245"/>
  <c r="AU246"/>
  <c r="AW246"/>
  <c r="AV246"/>
  <c r="AC14" i="63"/>
  <c r="AD14"/>
  <c r="AB14"/>
  <c r="AG14" i="42"/>
  <c r="AH14"/>
  <c r="AB15" i="63"/>
  <c r="AC15"/>
  <c r="AD15"/>
  <c r="AV247" i="42"/>
  <c r="AU247"/>
  <c r="AW247"/>
  <c r="AF14"/>
  <c r="AV248"/>
  <c r="AU248"/>
  <c r="AW248"/>
  <c r="AC16" i="63"/>
  <c r="AB16"/>
  <c r="AD16"/>
  <c r="V14" i="42"/>
  <c r="X14"/>
  <c r="AI14"/>
  <c r="AC15"/>
  <c r="AD17" i="63"/>
  <c r="AC17"/>
  <c r="AB17"/>
  <c r="AU249" i="42"/>
  <c r="AW249"/>
  <c r="AV249"/>
  <c r="AC18" i="63"/>
  <c r="AB18"/>
  <c r="AD18"/>
  <c r="AU250" i="42"/>
  <c r="AW250"/>
  <c r="AV250"/>
  <c r="AB19" i="63"/>
  <c r="AC19"/>
  <c r="AD19"/>
  <c r="AV251" i="42"/>
  <c r="AU251"/>
  <c r="AW251"/>
  <c r="AU252"/>
  <c r="AV252"/>
  <c r="AW252"/>
  <c r="AC20" i="63"/>
  <c r="AD20"/>
  <c r="AB20"/>
  <c r="AB21"/>
  <c r="AC21"/>
  <c r="AD21"/>
  <c r="AV253" i="42"/>
  <c r="AU253"/>
  <c r="AW253"/>
  <c r="AB22" i="63"/>
  <c r="AD22"/>
  <c r="AC22"/>
  <c r="AU254" i="42"/>
  <c r="AW254"/>
  <c r="AV254"/>
  <c r="AD23" i="63"/>
  <c r="AC23"/>
  <c r="AB23"/>
  <c r="AV255" i="42"/>
  <c r="AU255"/>
  <c r="AW255"/>
  <c r="AU256"/>
  <c r="AW256"/>
  <c r="AV256"/>
  <c r="AB24" i="63"/>
  <c r="AD24"/>
  <c r="AC24"/>
  <c r="AD25"/>
  <c r="AC25"/>
  <c r="AB25"/>
  <c r="AV257" i="42"/>
  <c r="AU257"/>
  <c r="AW257"/>
  <c r="AV258"/>
  <c r="AU258"/>
  <c r="AW258"/>
  <c r="AB26" i="63"/>
  <c r="AD26"/>
  <c r="AC26"/>
  <c r="AU259" i="42"/>
  <c r="AW259"/>
  <c r="AV259"/>
  <c r="AB27" i="63"/>
  <c r="AC27"/>
  <c r="AD27"/>
  <c r="AV260" i="42"/>
  <c r="AU260"/>
  <c r="AW260"/>
  <c r="AC28" i="63"/>
  <c r="AD28"/>
  <c r="AB28"/>
  <c r="AU261" i="42"/>
  <c r="AW261"/>
  <c r="AV261"/>
  <c r="AD29" i="63"/>
  <c r="AB29"/>
  <c r="AC29"/>
  <c r="AV262" i="42"/>
  <c r="AU262"/>
  <c r="AW262"/>
  <c r="AD30" i="63"/>
  <c r="AB30"/>
  <c r="AC30"/>
  <c r="AU263" i="42"/>
  <c r="AW263"/>
  <c r="AV263"/>
  <c r="AB31" i="63"/>
  <c r="AD31"/>
  <c r="AC31"/>
  <c r="AV264" i="42"/>
  <c r="AU264"/>
  <c r="AW264"/>
  <c r="AB35" i="63"/>
  <c r="AB33"/>
  <c r="AD33"/>
  <c r="AC33"/>
  <c r="AB34"/>
  <c r="AC34"/>
  <c r="AD34"/>
  <c r="AB32"/>
  <c r="AD32"/>
  <c r="AC32"/>
  <c r="B35" i="42"/>
  <c r="AU265"/>
  <c r="AW265"/>
  <c r="AV265"/>
  <c r="AD37" i="63"/>
  <c r="H14" i="42"/>
  <c r="AC37" i="63"/>
  <c r="G14" i="42"/>
  <c r="AG37" i="63"/>
  <c r="AD4" i="64"/>
  <c r="AB4"/>
  <c r="AC4"/>
  <c r="AV266" i="42"/>
  <c r="AU266"/>
  <c r="AW266"/>
  <c r="AF37" i="63"/>
  <c r="AC5" i="64"/>
  <c r="AD5"/>
  <c r="AB5"/>
  <c r="AE37" i="63"/>
  <c r="I14" i="42"/>
  <c r="I53" i="69"/>
  <c r="AU267" i="42"/>
  <c r="AW267"/>
  <c r="AV267"/>
  <c r="AD6" i="64"/>
  <c r="AB6"/>
  <c r="AC6"/>
  <c r="J37" i="69"/>
  <c r="J22"/>
  <c r="J26"/>
  <c r="J36"/>
  <c r="J20"/>
  <c r="J25"/>
  <c r="J24"/>
  <c r="J23"/>
  <c r="J21"/>
  <c r="J29"/>
  <c r="J28"/>
  <c r="J31"/>
  <c r="J30"/>
  <c r="AV268" i="42"/>
  <c r="AU268"/>
  <c r="AW268"/>
  <c r="AF15"/>
  <c r="AG15"/>
  <c r="AH15"/>
  <c r="AB7" i="64"/>
  <c r="AD7"/>
  <c r="AC7"/>
  <c r="I57" i="69"/>
  <c r="I54"/>
  <c r="J35"/>
  <c r="I58"/>
  <c r="AU269" i="42"/>
  <c r="AW269"/>
  <c r="AV269"/>
  <c r="V15"/>
  <c r="X15"/>
  <c r="AI15"/>
  <c r="AC16"/>
  <c r="AD8" i="64"/>
  <c r="AC8"/>
  <c r="AB8"/>
  <c r="AV270" i="42"/>
  <c r="AU270"/>
  <c r="AW270"/>
  <c r="AB9" i="64"/>
  <c r="AC9"/>
  <c r="AD9"/>
  <c r="AU271" i="42"/>
  <c r="AW271"/>
  <c r="AV271"/>
  <c r="AD10" i="64"/>
  <c r="AC10"/>
  <c r="AB10"/>
  <c r="AU272" i="42"/>
  <c r="AW272"/>
  <c r="AV272"/>
  <c r="AB11" i="64"/>
  <c r="AD11"/>
  <c r="AC11"/>
  <c r="AV273" i="42"/>
  <c r="AU273"/>
  <c r="AW273"/>
  <c r="AD12" i="64"/>
  <c r="AC12"/>
  <c r="AB12"/>
  <c r="AU274" i="42"/>
  <c r="AW274"/>
  <c r="AV274"/>
  <c r="AC13" i="64"/>
  <c r="AD13"/>
  <c r="AB13"/>
  <c r="AV275" i="42"/>
  <c r="AU275"/>
  <c r="AW275"/>
  <c r="AB14" i="64"/>
  <c r="AD14"/>
  <c r="AC14"/>
  <c r="AU276" i="42"/>
  <c r="AW276"/>
  <c r="AV276"/>
  <c r="AC15" i="64"/>
  <c r="AD15"/>
  <c r="AB15"/>
  <c r="AV277" i="42"/>
  <c r="AU277"/>
  <c r="AW277"/>
  <c r="AB16" i="64"/>
  <c r="AC16"/>
  <c r="AD16"/>
  <c r="AU278" i="42"/>
  <c r="AW278"/>
  <c r="AV278"/>
  <c r="AC17" i="64"/>
  <c r="AD17"/>
  <c r="AB17"/>
  <c r="AV279" i="42"/>
  <c r="AU279"/>
  <c r="AW279"/>
  <c r="AB18" i="64"/>
  <c r="AD18"/>
  <c r="AC18"/>
  <c r="AU280" i="42"/>
  <c r="AW280"/>
  <c r="AV280"/>
  <c r="AB19" i="64"/>
  <c r="AC19"/>
  <c r="AD19"/>
  <c r="AV281" i="42"/>
  <c r="AU281"/>
  <c r="AW281"/>
  <c r="AD20" i="64"/>
  <c r="AC20"/>
  <c r="AB20"/>
  <c r="AU282" i="42"/>
  <c r="AW282"/>
  <c r="AV282"/>
  <c r="AB21" i="64"/>
  <c r="AD21"/>
  <c r="AC21"/>
  <c r="AV283" i="42"/>
  <c r="AU283"/>
  <c r="AW283"/>
  <c r="AD22" i="64"/>
  <c r="AC22"/>
  <c r="AB22"/>
  <c r="AU284" i="42"/>
  <c r="AW284"/>
  <c r="AV284"/>
  <c r="AB23" i="64"/>
  <c r="AC23"/>
  <c r="AD23"/>
  <c r="AV285" i="42"/>
  <c r="AU285"/>
  <c r="AW285"/>
  <c r="AD24" i="64"/>
  <c r="AC24"/>
  <c r="AB24"/>
  <c r="AU286" i="42"/>
  <c r="AW286"/>
  <c r="AV286"/>
  <c r="AB25" i="64"/>
  <c r="AD25"/>
  <c r="AC25"/>
  <c r="AV287" i="42"/>
  <c r="AU287"/>
  <c r="AW287"/>
  <c r="AD26" i="64"/>
  <c r="AC26"/>
  <c r="AB26"/>
  <c r="AU288" i="42"/>
  <c r="AW288"/>
  <c r="AV288"/>
  <c r="AC27" i="64"/>
  <c r="AD27"/>
  <c r="AB27"/>
  <c r="AV289" i="42"/>
  <c r="AU289"/>
  <c r="AW289"/>
  <c r="AB28" i="64"/>
  <c r="AD28"/>
  <c r="AC28"/>
  <c r="AU290" i="42"/>
  <c r="AW290"/>
  <c r="AV290"/>
  <c r="AC29" i="64"/>
  <c r="AD29"/>
  <c r="AB29"/>
  <c r="AV291" i="42"/>
  <c r="AU291"/>
  <c r="AW291"/>
  <c r="AB30" i="64"/>
  <c r="AC30"/>
  <c r="AD30"/>
  <c r="AU292" i="42"/>
  <c r="AW292"/>
  <c r="AV292"/>
  <c r="AB31" i="64"/>
  <c r="AC31"/>
  <c r="AD31"/>
  <c r="AV293" i="42"/>
  <c r="AU293"/>
  <c r="AW293"/>
  <c r="AD32" i="64"/>
  <c r="AC32"/>
  <c r="AB32"/>
  <c r="AD33"/>
  <c r="AC33"/>
  <c r="B36" i="42"/>
  <c r="AU294"/>
  <c r="AW294"/>
  <c r="AV294"/>
  <c r="AD37" i="64"/>
  <c r="H15" i="42"/>
  <c r="AC37" i="64"/>
  <c r="G15" i="42"/>
  <c r="AD4" i="65"/>
  <c r="AC4"/>
  <c r="AB4"/>
  <c r="AV295" i="42"/>
  <c r="AU295"/>
  <c r="AW295"/>
  <c r="AM400"/>
  <c r="AN400"/>
  <c r="AT400"/>
  <c r="AM394"/>
  <c r="AN394"/>
  <c r="AM395"/>
  <c r="AN395"/>
  <c r="AM396"/>
  <c r="AN396"/>
  <c r="AM397"/>
  <c r="AN397"/>
  <c r="AM398"/>
  <c r="AN398"/>
  <c r="AM399"/>
  <c r="AN399"/>
  <c r="AT399"/>
  <c r="AO400"/>
  <c r="AT394"/>
  <c r="AT395"/>
  <c r="AT396"/>
  <c r="AT397"/>
  <c r="AT398"/>
  <c r="AO399"/>
  <c r="AO398"/>
  <c r="AP400"/>
  <c r="AP396"/>
  <c r="AO395"/>
  <c r="AP397"/>
  <c r="AO394"/>
  <c r="AO396"/>
  <c r="AP398"/>
  <c r="AP394"/>
  <c r="AO397"/>
  <c r="AP399"/>
  <c r="AP395"/>
  <c r="AB5" i="65"/>
  <c r="AD5"/>
  <c r="AC5"/>
  <c r="AV308" i="42"/>
  <c r="AU296"/>
  <c r="AW296"/>
  <c r="AV296"/>
  <c r="AC6" i="65"/>
  <c r="AB6"/>
  <c r="AD6"/>
  <c r="AB19" i="42"/>
  <c r="AB18"/>
  <c r="AB17"/>
  <c r="AE17"/>
  <c r="AJ17"/>
  <c r="AE19"/>
  <c r="AJ19"/>
  <c r="AU308"/>
  <c r="AE16"/>
  <c r="AJ16"/>
  <c r="AB16"/>
  <c r="AV297"/>
  <c r="AU297"/>
  <c r="AW297"/>
  <c r="AD7" i="65"/>
  <c r="AC7"/>
  <c r="AB7"/>
  <c r="BB339" i="42"/>
  <c r="BB400"/>
  <c r="AE18"/>
  <c r="AJ18"/>
  <c r="BB369"/>
  <c r="AB21"/>
  <c r="AU298"/>
  <c r="AW298"/>
  <c r="AV298"/>
  <c r="AC8" i="65"/>
  <c r="AB8"/>
  <c r="AD8"/>
  <c r="AB23" i="42"/>
  <c r="AB22"/>
  <c r="AV299"/>
  <c r="AU299"/>
  <c r="AW299"/>
  <c r="AD9" i="65"/>
  <c r="AC9"/>
  <c r="AB9"/>
  <c r="AV309" i="42"/>
  <c r="AU309"/>
  <c r="AU300"/>
  <c r="AW300"/>
  <c r="AV300"/>
  <c r="AC10" i="65"/>
  <c r="AB10"/>
  <c r="AD10"/>
  <c r="AU310" i="42"/>
  <c r="AV310"/>
  <c r="AV301"/>
  <c r="AU301"/>
  <c r="AW301"/>
  <c r="AD11" i="65"/>
  <c r="AC11"/>
  <c r="AB11"/>
  <c r="AV311" i="42"/>
  <c r="AU311"/>
  <c r="AU302"/>
  <c r="AW302"/>
  <c r="AV302"/>
  <c r="AD12" i="65"/>
  <c r="AB12"/>
  <c r="AC12"/>
  <c r="AU312" i="42"/>
  <c r="AU303"/>
  <c r="AU304"/>
  <c r="AU305"/>
  <c r="AU306"/>
  <c r="AU307"/>
  <c r="AW312"/>
  <c r="AV312"/>
  <c r="AV303"/>
  <c r="AW303"/>
  <c r="AB13" i="65"/>
  <c r="AC13"/>
  <c r="AD13"/>
  <c r="AG16" i="42"/>
  <c r="AH16"/>
  <c r="AF16"/>
  <c r="AV313"/>
  <c r="AU313"/>
  <c r="AW304"/>
  <c r="AV304"/>
  <c r="AD14" i="65"/>
  <c r="AC14"/>
  <c r="AB14"/>
  <c r="V16" i="42"/>
  <c r="X16"/>
  <c r="AI16"/>
  <c r="AC17"/>
  <c r="AV314"/>
  <c r="AU314"/>
  <c r="AV305"/>
  <c r="AW305"/>
  <c r="BB308"/>
  <c r="AB15" i="65"/>
  <c r="AC15"/>
  <c r="AD15"/>
  <c r="AW306" i="42"/>
  <c r="AU315"/>
  <c r="AV315"/>
  <c r="AV306"/>
  <c r="AC16" i="65"/>
  <c r="AB16"/>
  <c r="AD16"/>
  <c r="AV307" i="42"/>
  <c r="AV316"/>
  <c r="AU316"/>
  <c r="AD17" i="65"/>
  <c r="AB17"/>
  <c r="AC17"/>
  <c r="AW316" i="42"/>
  <c r="AW311"/>
  <c r="AW309"/>
  <c r="AW314"/>
  <c r="AW310"/>
  <c r="AW307"/>
  <c r="AW313"/>
  <c r="AW308"/>
  <c r="AW315"/>
  <c r="AU317"/>
  <c r="AW317"/>
  <c r="AV317"/>
  <c r="AC18" i="65"/>
  <c r="AB18"/>
  <c r="AD18"/>
  <c r="AV318" i="42"/>
  <c r="AU318"/>
  <c r="AW318"/>
  <c r="AB19" i="65"/>
  <c r="AC19"/>
  <c r="AD19"/>
  <c r="AU319" i="42"/>
  <c r="AW319"/>
  <c r="AV319"/>
  <c r="AC20" i="65"/>
  <c r="AB20"/>
  <c r="AD20"/>
  <c r="AV320" i="42"/>
  <c r="AU320"/>
  <c r="AW320"/>
  <c r="AD21" i="65"/>
  <c r="AC21"/>
  <c r="AB21"/>
  <c r="AV321" i="42"/>
  <c r="AU321"/>
  <c r="AW321"/>
  <c r="AD22" i="65"/>
  <c r="AB22"/>
  <c r="AC22"/>
  <c r="AU322" i="42"/>
  <c r="AW322"/>
  <c r="AV322"/>
  <c r="AB23" i="65"/>
  <c r="AC23"/>
  <c r="AD23"/>
  <c r="AV323" i="42"/>
  <c r="AU323"/>
  <c r="AW323"/>
  <c r="AC24" i="65"/>
  <c r="AB24"/>
  <c r="AD24"/>
  <c r="AU324" i="42"/>
  <c r="AW324"/>
  <c r="AV324"/>
  <c r="AC25" i="65"/>
  <c r="AD25"/>
  <c r="AV325" i="42"/>
  <c r="AU325"/>
  <c r="AW325"/>
  <c r="AD26" i="65"/>
  <c r="AB26"/>
  <c r="AC26"/>
  <c r="AU326" i="42"/>
  <c r="AW326"/>
  <c r="AV326"/>
  <c r="AB27" i="65"/>
  <c r="AC27"/>
  <c r="AD27"/>
  <c r="AV327" i="42"/>
  <c r="AU327"/>
  <c r="AW327"/>
  <c r="AD28" i="65"/>
  <c r="AB28"/>
  <c r="AC28"/>
  <c r="AV328" i="42"/>
  <c r="AU328"/>
  <c r="AW328"/>
  <c r="AB29" i="65"/>
  <c r="AC29"/>
  <c r="AD29"/>
  <c r="AU329" i="42"/>
  <c r="AW329"/>
  <c r="AV329"/>
  <c r="AC30" i="65"/>
  <c r="AB30"/>
  <c r="AD30"/>
  <c r="AV330" i="42"/>
  <c r="AU330"/>
  <c r="AW330"/>
  <c r="AB31" i="65"/>
  <c r="AC31"/>
  <c r="AD31"/>
  <c r="AB35"/>
  <c r="AU331" i="42"/>
  <c r="AW331"/>
  <c r="AV331"/>
  <c r="AC33" i="65"/>
  <c r="AD33"/>
  <c r="AB33"/>
  <c r="AD34"/>
  <c r="AB34"/>
  <c r="AC34"/>
  <c r="AD32"/>
  <c r="AB32"/>
  <c r="AC32"/>
  <c r="B37" i="42"/>
  <c r="AV332"/>
  <c r="AU332"/>
  <c r="AW332"/>
  <c r="AD4" i="66"/>
  <c r="AB4"/>
  <c r="AC4"/>
  <c r="AG37" i="65"/>
  <c r="AF37"/>
  <c r="AC37"/>
  <c r="G16" i="42"/>
  <c r="AD37" i="65"/>
  <c r="H16" i="42"/>
  <c r="AU333"/>
  <c r="AW333"/>
  <c r="AV333"/>
  <c r="AB5" i="66"/>
  <c r="AD5"/>
  <c r="AC5"/>
  <c r="AE37" i="65"/>
  <c r="I16" i="42"/>
  <c r="AV334"/>
  <c r="AU334"/>
  <c r="AW334"/>
  <c r="AD6" i="66"/>
  <c r="AB6"/>
  <c r="AC6"/>
  <c r="AV335" i="42"/>
  <c r="AU335"/>
  <c r="AW335"/>
  <c r="AD7" i="66"/>
  <c r="AC7"/>
  <c r="AB7"/>
  <c r="AU336" i="42"/>
  <c r="AW336"/>
  <c r="AV336"/>
  <c r="AD8" i="66"/>
  <c r="AC8"/>
  <c r="AB8"/>
  <c r="AV337" i="42"/>
  <c r="AU337"/>
  <c r="AW337"/>
  <c r="AC9" i="66"/>
  <c r="AD9"/>
  <c r="AB9"/>
  <c r="AU338" i="42"/>
  <c r="AW338"/>
  <c r="AV338"/>
  <c r="AG17"/>
  <c r="AH17"/>
  <c r="AF17"/>
  <c r="AD10" i="66"/>
  <c r="AB10"/>
  <c r="AC10"/>
  <c r="AV339" i="42"/>
  <c r="AU339"/>
  <c r="AW339"/>
  <c r="AD11" i="66"/>
  <c r="AB11"/>
  <c r="AC11"/>
  <c r="AI17" i="42"/>
  <c r="AC18"/>
  <c r="AU340"/>
  <c r="AW340"/>
  <c r="AV340"/>
  <c r="D15" i="71"/>
  <c r="F15"/>
  <c r="V17" i="42"/>
  <c r="X17"/>
  <c r="AC12" i="66"/>
  <c r="AB12"/>
  <c r="AD12"/>
  <c r="AV341" i="42"/>
  <c r="AU341"/>
  <c r="AW341"/>
  <c r="AD13" i="66"/>
  <c r="AC13"/>
  <c r="AB13"/>
  <c r="AV342" i="42"/>
  <c r="AU342"/>
  <c r="AW342"/>
  <c r="AC14" i="66"/>
  <c r="AD14"/>
  <c r="AB14"/>
  <c r="AU343" i="42"/>
  <c r="AW343"/>
  <c r="AV343"/>
  <c r="AB15" i="66"/>
  <c r="AD15"/>
  <c r="AC15"/>
  <c r="AV344" i="42"/>
  <c r="AU344"/>
  <c r="AW344"/>
  <c r="AC16" i="66"/>
  <c r="AB16"/>
  <c r="AD16"/>
  <c r="AU345" i="42"/>
  <c r="AW345"/>
  <c r="AV345"/>
  <c r="AD17" i="66"/>
  <c r="AC17"/>
  <c r="AB17"/>
  <c r="AV346" i="42"/>
  <c r="AU346"/>
  <c r="AW346"/>
  <c r="AD18" i="66"/>
  <c r="AC18"/>
  <c r="AB18"/>
  <c r="AU347" i="42"/>
  <c r="AW347"/>
  <c r="AV347"/>
  <c r="AB19" i="66"/>
  <c r="AD19"/>
  <c r="AC19"/>
  <c r="AV348" i="42"/>
  <c r="AU348"/>
  <c r="AW348"/>
  <c r="AC20" i="66"/>
  <c r="AB20"/>
  <c r="AD20"/>
  <c r="AV349" i="42"/>
  <c r="AU349"/>
  <c r="AW349"/>
  <c r="AD21" i="66"/>
  <c r="AC21"/>
  <c r="AB21"/>
  <c r="AU350" i="42"/>
  <c r="AW350"/>
  <c r="AV350"/>
  <c r="AD22" i="66"/>
  <c r="AC22"/>
  <c r="AB22"/>
  <c r="AV351" i="42"/>
  <c r="AU351"/>
  <c r="AW351"/>
  <c r="AD23" i="66"/>
  <c r="AC23"/>
  <c r="AB23"/>
  <c r="AU352" i="42"/>
  <c r="AW352"/>
  <c r="AV352"/>
  <c r="AD24" i="66"/>
  <c r="AC24"/>
  <c r="AB24"/>
  <c r="AV353" i="42"/>
  <c r="AU353"/>
  <c r="AW353"/>
  <c r="AB25" i="66"/>
  <c r="AD25"/>
  <c r="AC25"/>
  <c r="AU354" i="42"/>
  <c r="AW354"/>
  <c r="AV354"/>
  <c r="AC26" i="66"/>
  <c r="AB26"/>
  <c r="AD26"/>
  <c r="AV355" i="42"/>
  <c r="AU355"/>
  <c r="AW355"/>
  <c r="AD27" i="66"/>
  <c r="AC27"/>
  <c r="AB27"/>
  <c r="AV356" i="42"/>
  <c r="AU356"/>
  <c r="AW356"/>
  <c r="AB28" i="66"/>
  <c r="AC28"/>
  <c r="AD28"/>
  <c r="AU357" i="42"/>
  <c r="AW357"/>
  <c r="AV357"/>
  <c r="AD29" i="66"/>
  <c r="AC29"/>
  <c r="AB29"/>
  <c r="AV358" i="42"/>
  <c r="AU358"/>
  <c r="AW358"/>
  <c r="AC30" i="66"/>
  <c r="AB30"/>
  <c r="AD30"/>
  <c r="AU359" i="42"/>
  <c r="AW359"/>
  <c r="AV359"/>
  <c r="AB31" i="66"/>
  <c r="AD31"/>
  <c r="AC31"/>
  <c r="AV360" i="42"/>
  <c r="AU360"/>
  <c r="AW360"/>
  <c r="AB33" i="66"/>
  <c r="AD33"/>
  <c r="AC33"/>
  <c r="AC32"/>
  <c r="AD32"/>
  <c r="AB32"/>
  <c r="B38" i="42"/>
  <c r="AU361"/>
  <c r="AW361"/>
  <c r="AV361"/>
  <c r="AG37" i="66"/>
  <c r="AC37"/>
  <c r="G17" i="42"/>
  <c r="D12" i="71"/>
  <c r="F12"/>
  <c r="AD37" i="66"/>
  <c r="H17" i="42"/>
  <c r="D13" i="71"/>
  <c r="F13"/>
  <c r="AC4" i="74"/>
  <c r="AD4"/>
  <c r="AB4"/>
  <c r="AV362" i="42"/>
  <c r="AU362"/>
  <c r="AW362"/>
  <c r="AF37" i="66"/>
  <c r="AE37"/>
  <c r="I17" i="42"/>
  <c r="AC5" i="74"/>
  <c r="AB5"/>
  <c r="AD5"/>
  <c r="AV363" i="42"/>
  <c r="AU363"/>
  <c r="AW363"/>
  <c r="AD6" i="74"/>
  <c r="AB6"/>
  <c r="AC6"/>
  <c r="D14" i="71"/>
  <c r="F14"/>
  <c r="AU364" i="42"/>
  <c r="AW364"/>
  <c r="AV364"/>
  <c r="D18" i="71"/>
  <c r="F18"/>
  <c r="F19"/>
  <c r="AB7" i="74"/>
  <c r="AD7"/>
  <c r="AC7"/>
  <c r="AV365" i="42"/>
  <c r="AU365"/>
  <c r="AW365"/>
  <c r="D22" i="71"/>
  <c r="D26"/>
  <c r="D31"/>
  <c r="D20"/>
  <c r="D21"/>
  <c r="D25"/>
  <c r="D30"/>
  <c r="D36"/>
  <c r="D24"/>
  <c r="D29"/>
  <c r="I53"/>
  <c r="D37"/>
  <c r="D23"/>
  <c r="D28"/>
  <c r="D32"/>
  <c r="AD8" i="74"/>
  <c r="AB8"/>
  <c r="AC8"/>
  <c r="AG18" i="42"/>
  <c r="AH18"/>
  <c r="AF18"/>
  <c r="AU366"/>
  <c r="AW366"/>
  <c r="AV366"/>
  <c r="J32" i="71"/>
  <c r="D35"/>
  <c r="G32"/>
  <c r="G23"/>
  <c r="J23"/>
  <c r="J24"/>
  <c r="G24"/>
  <c r="G30"/>
  <c r="J30"/>
  <c r="G21"/>
  <c r="J21"/>
  <c r="J31"/>
  <c r="G31"/>
  <c r="J22"/>
  <c r="G22"/>
  <c r="V18" i="42"/>
  <c r="X18"/>
  <c r="AI18"/>
  <c r="AC19"/>
  <c r="AC9" i="74"/>
  <c r="AB9"/>
  <c r="AD9"/>
  <c r="J28" i="71"/>
  <c r="G28"/>
  <c r="D38"/>
  <c r="G38"/>
  <c r="J37"/>
  <c r="D39"/>
  <c r="G39"/>
  <c r="D40"/>
  <c r="G40"/>
  <c r="G37"/>
  <c r="J29"/>
  <c r="G29"/>
  <c r="J36"/>
  <c r="G36"/>
  <c r="G25"/>
  <c r="J25"/>
  <c r="G20"/>
  <c r="J20"/>
  <c r="J26"/>
  <c r="G26"/>
  <c r="AV367" i="42"/>
  <c r="AU367"/>
  <c r="AW367"/>
  <c r="G35" i="71"/>
  <c r="I47"/>
  <c r="J35"/>
  <c r="I58"/>
  <c r="AD10" i="74"/>
  <c r="AC10"/>
  <c r="AB10"/>
  <c r="AU368" i="42"/>
  <c r="AW368"/>
  <c r="AV368"/>
  <c r="I57" i="71"/>
  <c r="I54"/>
  <c r="AB11" i="74"/>
  <c r="AD11"/>
  <c r="AC11"/>
  <c r="AV369" i="42"/>
  <c r="AU369"/>
  <c r="AW369"/>
  <c r="AD12" i="74"/>
  <c r="AC12"/>
  <c r="AB12"/>
  <c r="AV370" i="42"/>
  <c r="AU370"/>
  <c r="AW370"/>
  <c r="AB13" i="74"/>
  <c r="AD13"/>
  <c r="AC13"/>
  <c r="AU371" i="42"/>
  <c r="AW371"/>
  <c r="AV371"/>
  <c r="AB14" i="74"/>
  <c r="AD14"/>
  <c r="AC14"/>
  <c r="AV372" i="42"/>
  <c r="AU372"/>
  <c r="AW372"/>
  <c r="AC15" i="74"/>
  <c r="AB15"/>
  <c r="AD15"/>
  <c r="AU373" i="42"/>
  <c r="AW373"/>
  <c r="AV373"/>
  <c r="AB16" i="74"/>
  <c r="AD16"/>
  <c r="AC16"/>
  <c r="AV374" i="42"/>
  <c r="AU374"/>
  <c r="AW374"/>
  <c r="AC17" i="74"/>
  <c r="AB17"/>
  <c r="AD17"/>
  <c r="AU375" i="42"/>
  <c r="AW375"/>
  <c r="AV375"/>
  <c r="AD18" i="74"/>
  <c r="AC18"/>
  <c r="AB18"/>
  <c r="AV376" i="42"/>
  <c r="AU376"/>
  <c r="AW376"/>
  <c r="AC19" i="74"/>
  <c r="AB19"/>
  <c r="AD19"/>
  <c r="AV377" i="42"/>
  <c r="AU377"/>
  <c r="AW377"/>
  <c r="AD20" i="74"/>
  <c r="AC20"/>
  <c r="AB20"/>
  <c r="AU378" i="42"/>
  <c r="AW378"/>
  <c r="AB21" i="74"/>
  <c r="AD21"/>
  <c r="AC21"/>
  <c r="AV379" i="42"/>
  <c r="AU379"/>
  <c r="AW379"/>
  <c r="AD22" i="74"/>
  <c r="AB22"/>
  <c r="AC22"/>
  <c r="AU380" i="42"/>
  <c r="AW380"/>
  <c r="AV380"/>
  <c r="AC23" i="74"/>
  <c r="AD23"/>
  <c r="AB23"/>
  <c r="AV381" i="42"/>
  <c r="AU381"/>
  <c r="AW381"/>
  <c r="AB24" i="74"/>
  <c r="AC24"/>
  <c r="AD24"/>
  <c r="AF28"/>
  <c r="AQ394" i="42"/>
  <c r="AU382"/>
  <c r="AW382"/>
  <c r="AV382"/>
  <c r="AC25" i="74"/>
  <c r="AD25"/>
  <c r="AB25"/>
  <c r="AG28"/>
  <c r="AH28"/>
  <c r="AE28"/>
  <c r="AS394" i="42"/>
  <c r="AR394"/>
  <c r="AV383"/>
  <c r="AU383"/>
  <c r="AW383"/>
  <c r="AD26" i="74"/>
  <c r="AB26"/>
  <c r="AC26"/>
  <c r="AV384" i="42"/>
  <c r="AU384"/>
  <c r="AW384"/>
  <c r="AC27" i="74"/>
  <c r="AD27"/>
  <c r="AB27"/>
  <c r="AU385" i="42"/>
  <c r="AW385"/>
  <c r="AV385"/>
  <c r="AD28" i="74"/>
  <c r="AB28"/>
  <c r="AC28"/>
  <c r="AV386" i="42"/>
  <c r="AU386"/>
  <c r="AW386"/>
  <c r="AC29" i="74"/>
  <c r="AH29"/>
  <c r="AD29"/>
  <c r="AB29"/>
  <c r="AF29"/>
  <c r="AQ395" i="42"/>
  <c r="AG29" i="74"/>
  <c r="AU387" i="42"/>
  <c r="AW387"/>
  <c r="AV387"/>
  <c r="AE29" i="74"/>
  <c r="AS395" i="42"/>
  <c r="AR395"/>
  <c r="AF30" i="74"/>
  <c r="AQ396" i="42"/>
  <c r="AG30" i="74"/>
  <c r="AB30"/>
  <c r="AH30"/>
  <c r="AD30"/>
  <c r="AC30"/>
  <c r="AV388" i="42"/>
  <c r="AU388"/>
  <c r="AW388"/>
  <c r="AB31" i="74"/>
  <c r="AH31"/>
  <c r="AD31"/>
  <c r="AC31"/>
  <c r="AF31"/>
  <c r="AQ397" i="42"/>
  <c r="AG31" i="74"/>
  <c r="AB35"/>
  <c r="AE30"/>
  <c r="AS396" i="42"/>
  <c r="AR396"/>
  <c r="AU389"/>
  <c r="AW389"/>
  <c r="AV389"/>
  <c r="AE31" i="74"/>
  <c r="AS397" i="42"/>
  <c r="AR397"/>
  <c r="AF32" i="74"/>
  <c r="AQ398" i="42"/>
  <c r="AG32" i="74"/>
  <c r="AB32"/>
  <c r="AH32"/>
  <c r="AD32"/>
  <c r="AC32"/>
  <c r="AB33"/>
  <c r="AH33"/>
  <c r="AF33"/>
  <c r="AQ399" i="42"/>
  <c r="AG33" i="74"/>
  <c r="AE33"/>
  <c r="AC33"/>
  <c r="AD33"/>
  <c r="AD34"/>
  <c r="AB34"/>
  <c r="AG34"/>
  <c r="AF34"/>
  <c r="AQ400" i="42"/>
  <c r="AC34" i="74"/>
  <c r="AH34"/>
  <c r="AH37"/>
  <c r="AV390" i="42"/>
  <c r="AU390"/>
  <c r="AW390"/>
  <c r="AD37" i="74"/>
  <c r="H18" i="42"/>
  <c r="H21"/>
  <c r="H22"/>
  <c r="AC37" i="74"/>
  <c r="G18" i="42"/>
  <c r="G21"/>
  <c r="G22"/>
  <c r="AE32" i="74"/>
  <c r="AS398" i="42"/>
  <c r="AR398"/>
  <c r="AF37" i="74"/>
  <c r="AE34"/>
  <c r="AS400" i="42"/>
  <c r="AR400"/>
  <c r="AG37" i="74"/>
  <c r="AS399" i="42"/>
  <c r="AR399"/>
  <c r="AV391"/>
  <c r="AU391"/>
  <c r="AW391"/>
  <c r="AE37" i="74"/>
  <c r="I18" i="42"/>
  <c r="I21"/>
  <c r="I22"/>
  <c r="AU392"/>
  <c r="AW392"/>
  <c r="AV392"/>
  <c r="AF19"/>
  <c r="AG19"/>
  <c r="AH19"/>
  <c r="AV393"/>
  <c r="AU393"/>
  <c r="AW393"/>
  <c r="AI19"/>
  <c r="AU394"/>
  <c r="AW394"/>
  <c r="AV394"/>
  <c r="AV395"/>
  <c r="AU395"/>
  <c r="AW395"/>
  <c r="AU396"/>
  <c r="AW396"/>
  <c r="AV396"/>
  <c r="AV397"/>
  <c r="AU397"/>
  <c r="AW397"/>
  <c r="AV398"/>
  <c r="AU398"/>
  <c r="AW398"/>
  <c r="AU399"/>
  <c r="AW399"/>
  <c r="AV399"/>
</calcChain>
</file>

<file path=xl/sharedStrings.xml><?xml version="1.0" encoding="utf-8"?>
<sst xmlns="http://schemas.openxmlformats.org/spreadsheetml/2006/main" count="1701" uniqueCount="227">
  <si>
    <t>Samedi</t>
  </si>
  <si>
    <t>Dimanche</t>
  </si>
  <si>
    <t>Planning</t>
  </si>
  <si>
    <t>Arrivée</t>
  </si>
  <si>
    <t>Sortie</t>
  </si>
  <si>
    <t>Nuit</t>
  </si>
  <si>
    <t>Majorations</t>
  </si>
  <si>
    <t>Férié</t>
  </si>
  <si>
    <t>TOTAL</t>
  </si>
  <si>
    <t xml:space="preserve">Paniers </t>
  </si>
  <si>
    <t>Jour</t>
  </si>
  <si>
    <t>Total</t>
  </si>
  <si>
    <t>Congés payés</t>
  </si>
  <si>
    <t xml:space="preserve">Pris </t>
  </si>
  <si>
    <t>Solde</t>
  </si>
  <si>
    <t>Heures</t>
  </si>
  <si>
    <t>Effectuées</t>
  </si>
  <si>
    <t>Pause</t>
  </si>
  <si>
    <t>CP</t>
  </si>
  <si>
    <t>travaillés</t>
  </si>
  <si>
    <t>Wllés</t>
  </si>
  <si>
    <t>Annualisation</t>
  </si>
  <si>
    <t>en 100°</t>
  </si>
  <si>
    <t xml:space="preserve">Mois de </t>
  </si>
  <si>
    <t xml:space="preserve">Heures </t>
  </si>
  <si>
    <t>Rémunérées</t>
  </si>
  <si>
    <t>Taux horaire</t>
  </si>
  <si>
    <t>de référence</t>
  </si>
  <si>
    <t>RC</t>
  </si>
  <si>
    <t>LIBELLE</t>
  </si>
  <si>
    <t>SALARIE</t>
  </si>
  <si>
    <t>TAUX</t>
  </si>
  <si>
    <t>GAINS</t>
  </si>
  <si>
    <t>RETENUES</t>
  </si>
  <si>
    <t>EMPLOYEUR</t>
  </si>
  <si>
    <t>MONTANT</t>
  </si>
  <si>
    <t>Appointements</t>
  </si>
  <si>
    <r>
      <t xml:space="preserve">Majoration Heures </t>
    </r>
    <r>
      <rPr>
        <b/>
        <sz val="10"/>
        <rFont val="Arial"/>
        <family val="2"/>
      </rPr>
      <t>Nuit</t>
    </r>
  </si>
  <si>
    <r>
      <t xml:space="preserve">Majoration Heures </t>
    </r>
    <r>
      <rPr>
        <b/>
        <sz val="10"/>
        <rFont val="Arial"/>
        <family val="2"/>
      </rPr>
      <t>Samedi</t>
    </r>
  </si>
  <si>
    <r>
      <t xml:space="preserve">Majoration Heures </t>
    </r>
    <r>
      <rPr>
        <b/>
        <sz val="10"/>
        <rFont val="Arial"/>
        <family val="2"/>
      </rPr>
      <t>Dimanche</t>
    </r>
  </si>
  <si>
    <r>
      <t xml:space="preserve">Majoration Heures </t>
    </r>
    <r>
      <rPr>
        <b/>
        <sz val="10"/>
        <rFont val="Arial"/>
        <family val="2"/>
      </rPr>
      <t>Férié</t>
    </r>
  </si>
  <si>
    <t>S.S. Maladie</t>
  </si>
  <si>
    <t>Accident du travail</t>
  </si>
  <si>
    <t>F.N.A.L sur brut</t>
  </si>
  <si>
    <t>ASSEDIC tranche A</t>
  </si>
  <si>
    <t>Retraite ISICA tranche 1</t>
  </si>
  <si>
    <r>
      <t xml:space="preserve">Indemnité Panier </t>
    </r>
    <r>
      <rPr>
        <b/>
        <sz val="10"/>
        <rFont val="Arial"/>
        <family val="2"/>
      </rPr>
      <t>Jour</t>
    </r>
  </si>
  <si>
    <r>
      <t xml:space="preserve">Indemnité Panier </t>
    </r>
    <r>
      <rPr>
        <b/>
        <sz val="10"/>
        <rFont val="Arial"/>
        <family val="2"/>
      </rPr>
      <t>Nuit</t>
    </r>
  </si>
  <si>
    <t>Allocations familiales</t>
  </si>
  <si>
    <t>Complément annuel CP référence</t>
  </si>
  <si>
    <t>Prime d'ancienneté</t>
  </si>
  <si>
    <t>Effectuées + Pause</t>
  </si>
  <si>
    <t>Effectuées + pause</t>
  </si>
  <si>
    <t>Pris</t>
  </si>
  <si>
    <t>Acquit</t>
  </si>
  <si>
    <t>Pris :</t>
  </si>
  <si>
    <t>Solde :</t>
  </si>
  <si>
    <t>Droit du mois :</t>
  </si>
  <si>
    <t>Repos compensateur</t>
  </si>
  <si>
    <t>à la minute prêt.</t>
  </si>
  <si>
    <t>* Pour les congés, rentrer dans la colonne</t>
  </si>
  <si>
    <t>* Ne rien rentrer quand vous étes en Repos.</t>
  </si>
  <si>
    <t>* Pour corriger les heures par rapport au bulletin</t>
  </si>
  <si>
    <r>
      <t xml:space="preserve">* Rentrer dans la colonne </t>
    </r>
    <r>
      <rPr>
        <sz val="10"/>
        <color indexed="16"/>
        <rFont val="Arial"/>
        <family val="2"/>
      </rPr>
      <t>"Planning"</t>
    </r>
    <r>
      <rPr>
        <sz val="10"/>
        <rFont val="Arial"/>
        <family val="2"/>
      </rPr>
      <t xml:space="preserve"> </t>
    </r>
  </si>
  <si>
    <r>
      <t xml:space="preserve">* Rentrer dans la colonne </t>
    </r>
    <r>
      <rPr>
        <sz val="10"/>
        <color indexed="16"/>
        <rFont val="Arial"/>
        <family val="2"/>
      </rPr>
      <t>"Planning"</t>
    </r>
    <r>
      <rPr>
        <sz val="10"/>
        <rFont val="Arial"/>
        <family val="2"/>
      </rPr>
      <t xml:space="preserve"> </t>
    </r>
  </si>
  <si>
    <r>
      <t xml:space="preserve">le poste que vous faites </t>
    </r>
    <r>
      <rPr>
        <sz val="10"/>
        <color indexed="40"/>
        <rFont val="Arial"/>
        <family val="2"/>
      </rPr>
      <t>M, AM, N</t>
    </r>
    <r>
      <rPr>
        <sz val="10"/>
        <rFont val="Arial"/>
        <family val="2"/>
      </rPr>
      <t>.</t>
    </r>
  </si>
  <si>
    <r>
      <t xml:space="preserve">le poste que vous faites </t>
    </r>
    <r>
      <rPr>
        <sz val="10"/>
        <color indexed="40"/>
        <rFont val="Arial"/>
        <family val="2"/>
      </rPr>
      <t>M, AM, N</t>
    </r>
    <r>
      <rPr>
        <sz val="10"/>
        <rFont val="Arial"/>
        <family val="2"/>
      </rPr>
      <t>.</t>
    </r>
  </si>
  <si>
    <r>
      <t xml:space="preserve"> </t>
    </r>
    <r>
      <rPr>
        <sz val="10"/>
        <color indexed="16"/>
        <rFont val="Arial"/>
        <family val="2"/>
      </rPr>
      <t>"Planning"</t>
    </r>
    <r>
      <rPr>
        <sz val="10"/>
        <rFont val="Arial"/>
        <family val="2"/>
      </rPr>
      <t xml:space="preserve"> : </t>
    </r>
    <r>
      <rPr>
        <sz val="10"/>
        <color indexed="16"/>
        <rFont val="Arial"/>
        <family val="2"/>
      </rPr>
      <t>"CP"</t>
    </r>
    <r>
      <rPr>
        <sz val="10"/>
        <rFont val="Arial"/>
        <family val="2"/>
      </rPr>
      <t xml:space="preserve"> en face du jour.</t>
    </r>
  </si>
  <si>
    <r>
      <t xml:space="preserve"> </t>
    </r>
    <r>
      <rPr>
        <sz val="10"/>
        <color indexed="16"/>
        <rFont val="Arial"/>
        <family val="2"/>
      </rPr>
      <t>"Planning"</t>
    </r>
    <r>
      <rPr>
        <sz val="10"/>
        <rFont val="Arial"/>
        <family val="2"/>
      </rPr>
      <t xml:space="preserve"> : </t>
    </r>
    <r>
      <rPr>
        <sz val="10"/>
        <color indexed="16"/>
        <rFont val="Arial"/>
        <family val="2"/>
      </rPr>
      <t>"CP"</t>
    </r>
    <r>
      <rPr>
        <sz val="10"/>
        <rFont val="Arial"/>
        <family val="2"/>
      </rPr>
      <t xml:space="preserve"> en face du jour.</t>
    </r>
  </si>
  <si>
    <r>
      <t xml:space="preserve">de paie, utiliser la case </t>
    </r>
    <r>
      <rPr>
        <sz val="10"/>
        <color indexed="16"/>
        <rFont val="Arial"/>
        <family val="2"/>
      </rPr>
      <t>"Correction solde".</t>
    </r>
  </si>
  <si>
    <t>Votre bulletin de salaire se remplit automatiquement</t>
  </si>
  <si>
    <t xml:space="preserve"> (il peut y avoir un décalage avec la réalité).</t>
  </si>
  <si>
    <t>* Modifier le pourcentage de la prime d'ancienneté</t>
  </si>
  <si>
    <r>
      <t xml:space="preserve">* Rentrer dans la case </t>
    </r>
    <r>
      <rPr>
        <sz val="10"/>
        <color indexed="60"/>
        <rFont val="Arial"/>
        <family val="2"/>
      </rPr>
      <t>"Taux horaire"</t>
    </r>
    <r>
      <rPr>
        <sz val="10"/>
        <color indexed="17"/>
        <rFont val="Arial"/>
        <family val="2"/>
      </rPr>
      <t>, votre taux horaire en ajoutant quelques chiffres après la virgule.</t>
    </r>
  </si>
  <si>
    <t>*Rentrer le mois en majuscules</t>
  </si>
  <si>
    <r>
      <t xml:space="preserve">* Rentrer les heures </t>
    </r>
    <r>
      <rPr>
        <sz val="10"/>
        <color indexed="16"/>
        <rFont val="Arial"/>
        <family val="2"/>
      </rPr>
      <t>d"Arrivée"</t>
    </r>
    <r>
      <rPr>
        <sz val="10"/>
        <rFont val="Arial"/>
        <family val="2"/>
      </rPr>
      <t xml:space="preserve"> et de </t>
    </r>
    <r>
      <rPr>
        <sz val="10"/>
        <color indexed="16"/>
        <rFont val="Arial"/>
        <family val="2"/>
      </rPr>
      <t>"Sortie"</t>
    </r>
  </si>
  <si>
    <t xml:space="preserve">Droit CP : </t>
  </si>
  <si>
    <t>Heures à faire :</t>
  </si>
  <si>
    <t xml:space="preserve">Annualisation : </t>
  </si>
  <si>
    <t>Matin</t>
  </si>
  <si>
    <t>Après-midi</t>
  </si>
  <si>
    <t>Repos compensateur :</t>
  </si>
  <si>
    <t xml:space="preserve">* Pour la journée avec coupure en 12 H 00 et 14 H 00, </t>
  </si>
  <si>
    <r>
      <t xml:space="preserve">saisir dans la case </t>
    </r>
    <r>
      <rPr>
        <sz val="10"/>
        <color indexed="16"/>
        <rFont val="Arial"/>
        <family val="2"/>
      </rPr>
      <t>"Planning"</t>
    </r>
    <r>
      <rPr>
        <sz val="10"/>
        <rFont val="Arial"/>
        <family val="2"/>
      </rPr>
      <t xml:space="preserve"> : </t>
    </r>
    <r>
      <rPr>
        <sz val="10"/>
        <color indexed="49"/>
        <rFont val="Arial"/>
        <family val="2"/>
      </rPr>
      <t>J2</t>
    </r>
  </si>
  <si>
    <r>
      <t xml:space="preserve">saisir dans la case </t>
    </r>
    <r>
      <rPr>
        <sz val="10"/>
        <color indexed="16"/>
        <rFont val="Arial"/>
        <family val="2"/>
      </rPr>
      <t>"Planning"</t>
    </r>
    <r>
      <rPr>
        <sz val="10"/>
        <rFont val="Arial"/>
        <family val="2"/>
      </rPr>
      <t xml:space="preserve"> : </t>
    </r>
    <r>
      <rPr>
        <sz val="10"/>
        <color indexed="49"/>
        <rFont val="Arial"/>
        <family val="2"/>
      </rPr>
      <t>J2</t>
    </r>
  </si>
  <si>
    <t>C.P. pris</t>
  </si>
  <si>
    <t xml:space="preserve">MOIS DE </t>
  </si>
  <si>
    <t>HEURES PAR PERIODE</t>
  </si>
  <si>
    <t>Cycles</t>
  </si>
  <si>
    <t>Dates</t>
  </si>
  <si>
    <t>semaine</t>
  </si>
  <si>
    <t xml:space="preserve">Total </t>
  </si>
  <si>
    <t>Jours travaillés</t>
  </si>
  <si>
    <t>Heures CP</t>
  </si>
  <si>
    <t>Solde mois</t>
  </si>
  <si>
    <t>précédent</t>
  </si>
  <si>
    <t>Correction</t>
  </si>
  <si>
    <t>majorées</t>
  </si>
  <si>
    <t>Variation</t>
  </si>
  <si>
    <t xml:space="preserve">Nouveau </t>
  </si>
  <si>
    <t>solde</t>
  </si>
  <si>
    <t>Référence :</t>
  </si>
  <si>
    <t>valorisées</t>
  </si>
  <si>
    <t>Base Hrs</t>
  </si>
  <si>
    <t>Semaine</t>
  </si>
  <si>
    <t>Total heures</t>
  </si>
  <si>
    <t>Cumul</t>
  </si>
  <si>
    <t>période</t>
  </si>
  <si>
    <t xml:space="preserve">Fériés </t>
  </si>
  <si>
    <t>Jour de l'an</t>
  </si>
  <si>
    <t>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</si>
  <si>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</si>
  <si>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</si>
  <si>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</si>
  <si>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</si>
  <si>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</si>
  <si>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</si>
  <si>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</si>
  <si>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</si>
  <si>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Noël</t>
  </si>
  <si>
    <t>Total période</t>
  </si>
  <si>
    <t>Majoration Heures Supp</t>
  </si>
  <si>
    <t>SALAIRE BRUT</t>
  </si>
  <si>
    <t>S,S, Vieillesse</t>
  </si>
  <si>
    <t>S.S. Vieillesse déplf,</t>
  </si>
  <si>
    <t>Solidatité autonomie</t>
  </si>
  <si>
    <t>AGS TA</t>
  </si>
  <si>
    <t>AGFF ISICA tr,1</t>
  </si>
  <si>
    <t>Prev, société suisse</t>
  </si>
  <si>
    <t>Taxe sur prévoyance</t>
  </si>
  <si>
    <t>Taxe d'apprentissage</t>
  </si>
  <si>
    <t>C.S.G. déductible base 97 %</t>
  </si>
  <si>
    <t>R.D.S.base 97 %</t>
  </si>
  <si>
    <t>C.S.G. base 97 %</t>
  </si>
  <si>
    <t>Participation construction</t>
  </si>
  <si>
    <t xml:space="preserve">Nombre </t>
  </si>
  <si>
    <t>ou base</t>
  </si>
  <si>
    <t>Salaire de</t>
  </si>
  <si>
    <t>référence</t>
  </si>
  <si>
    <t>NET A PAYER :</t>
  </si>
  <si>
    <t>Brut total :</t>
  </si>
  <si>
    <t>Net imposable :</t>
  </si>
  <si>
    <t>Exonérée :</t>
  </si>
  <si>
    <t>Divers :</t>
  </si>
  <si>
    <t>Rémunération éxonérée :</t>
  </si>
  <si>
    <t>Cotisations salariales :</t>
  </si>
  <si>
    <t>Cotisations patronnales :</t>
  </si>
  <si>
    <t>Retenues</t>
  </si>
  <si>
    <t>Réduction cotisations patro.</t>
  </si>
  <si>
    <t>Fériés</t>
  </si>
  <si>
    <t>Non W</t>
  </si>
  <si>
    <t>Travaillés</t>
  </si>
  <si>
    <t>Féries</t>
  </si>
  <si>
    <t>Fériés non W</t>
  </si>
  <si>
    <t>Effec,</t>
  </si>
  <si>
    <t>Fériés W</t>
  </si>
  <si>
    <t>Féries non W</t>
  </si>
  <si>
    <r>
      <t xml:space="preserve">* Pour les </t>
    </r>
    <r>
      <rPr>
        <sz val="10"/>
        <color indexed="40"/>
        <rFont val="Arial"/>
        <family val="2"/>
      </rPr>
      <t>RC,</t>
    </r>
    <r>
      <rPr>
        <sz val="10"/>
        <rFont val="Arial"/>
        <family val="2"/>
      </rPr>
      <t xml:space="preserve"> remplir la colonne </t>
    </r>
    <r>
      <rPr>
        <sz val="10"/>
        <color indexed="60"/>
        <rFont val="Arial"/>
        <family val="2"/>
      </rPr>
      <t>"RC"</t>
    </r>
  </si>
  <si>
    <r>
      <t xml:space="preserve">* Pour les </t>
    </r>
    <r>
      <rPr>
        <sz val="10"/>
        <color indexed="40"/>
        <rFont val="Arial"/>
        <family val="2"/>
      </rPr>
      <t>RC,</t>
    </r>
    <r>
      <rPr>
        <sz val="10"/>
        <rFont val="Arial"/>
        <family val="2"/>
      </rPr>
      <t xml:space="preserve"> ne remplir que la colonne </t>
    </r>
    <r>
      <rPr>
        <sz val="10"/>
        <color indexed="16"/>
        <rFont val="Arial"/>
        <family val="2"/>
      </rPr>
      <t>"RC".</t>
    </r>
  </si>
  <si>
    <t>1 et 8/05</t>
  </si>
  <si>
    <t>Ascencion</t>
  </si>
  <si>
    <t>Jrs AML/AT</t>
  </si>
  <si>
    <t>effectives</t>
  </si>
  <si>
    <t>Nbre jours</t>
  </si>
  <si>
    <t>Heures nuit</t>
  </si>
  <si>
    <t>Nombre</t>
  </si>
  <si>
    <t>Jrs travaillés</t>
  </si>
  <si>
    <t>C.E.T.</t>
  </si>
  <si>
    <t>RECAPITULATIF PAR MOIS</t>
  </si>
  <si>
    <t>RECAPITULATIF PAR PERIODE</t>
  </si>
  <si>
    <t>Majoration :</t>
  </si>
  <si>
    <t>MUTUELLE GENERALE</t>
  </si>
  <si>
    <t>Forfait social</t>
  </si>
  <si>
    <t>Moyenne :</t>
  </si>
  <si>
    <t>JUIN</t>
  </si>
  <si>
    <t>JUILLET</t>
  </si>
  <si>
    <t>SEPTEMBRE</t>
  </si>
  <si>
    <t>OCTOBRE</t>
  </si>
  <si>
    <t>NOVEMBRE</t>
  </si>
  <si>
    <t>JANVIER</t>
  </si>
  <si>
    <t>FEVRIER</t>
  </si>
  <si>
    <t>MARS</t>
  </si>
  <si>
    <t>AVRIL</t>
  </si>
  <si>
    <t>MAI</t>
  </si>
  <si>
    <t>Pasto</t>
  </si>
  <si>
    <t>Poste</t>
  </si>
  <si>
    <t>Prépa</t>
  </si>
  <si>
    <t>Heures Pasto</t>
  </si>
  <si>
    <t>Heures Prépa</t>
  </si>
  <si>
    <t>Divers</t>
  </si>
  <si>
    <t>Heures Divers</t>
  </si>
  <si>
    <t>Heures divers</t>
  </si>
  <si>
    <t>A. Midi</t>
  </si>
  <si>
    <t>Jours</t>
  </si>
  <si>
    <t>moyenne/mois</t>
  </si>
  <si>
    <t>jour /  cycle</t>
  </si>
  <si>
    <t>heures / jour</t>
  </si>
  <si>
    <t>Rotation</t>
  </si>
  <si>
    <t>Mystère</t>
  </si>
  <si>
    <t>A - Midi</t>
  </si>
  <si>
    <t>numéros</t>
  </si>
  <si>
    <t>date fin</t>
  </si>
  <si>
    <t>AM</t>
  </si>
  <si>
    <t>N</t>
  </si>
  <si>
    <t>pasto</t>
  </si>
  <si>
    <t>M</t>
  </si>
  <si>
    <t>Dimanche matin</t>
  </si>
  <si>
    <t>Dimanche nuit</t>
  </si>
  <si>
    <t>J</t>
  </si>
  <si>
    <t>FÉVRIER</t>
  </si>
  <si>
    <t>AOÛT</t>
  </si>
  <si>
    <t>DÉCEMBRE</t>
  </si>
  <si>
    <t>juin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</si>
  <si>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</si>
  <si>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</si>
  <si>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</si>
  <si>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</si>
  <si>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</si>
  <si>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</si>
  <si>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</si>
  <si>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</si>
  <si>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</si>
  <si>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</si>
  <si>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</si>
  <si>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/>
  </si>
  <si>
    <t>Numéro</t>
  </si>
  <si>
    <t>de cycle</t>
  </si>
</sst>
</file>

<file path=xl/styles.xml><?xml version="1.0" encoding="utf-8"?>
<styleSheet xmlns="http://schemas.openxmlformats.org/spreadsheetml/2006/main">
  <numFmts count="16">
    <numFmt numFmtId="164" formatCode="#,##0.00\ &quot;F&quot;;[Red]\-#,##0.00\ &quot;F&quot;"/>
    <numFmt numFmtId="165" formatCode="_-* #,##0.00\ _F_-;\-* #,##0.00\ _F_-;_-* &quot;-&quot;??\ _F_-;_-@_-"/>
    <numFmt numFmtId="166" formatCode="0.00000"/>
    <numFmt numFmtId="167" formatCode="0.0000"/>
    <numFmt numFmtId="168" formatCode="0.000"/>
    <numFmt numFmtId="169" formatCode="_-* #,##0.00\ [$€-1]_-;\-* #,##0.00\ [$€-1]_-;_-* &quot;-&quot;??\ [$€-1]_-;_-@_-"/>
    <numFmt numFmtId="170" formatCode="#,##0.00\ [$F-40C]"/>
    <numFmt numFmtId="171" formatCode="mmmm\-yy"/>
    <numFmt numFmtId="172" formatCode="dddd\ dd"/>
    <numFmt numFmtId="173" formatCode="dd\ mmm\ yy"/>
    <numFmt numFmtId="174" formatCode="ddd\ dd\ mmm\ yy"/>
    <numFmt numFmtId="175" formatCode="yyyy"/>
    <numFmt numFmtId="176" formatCode="0.00_ ;[Red]\-0.00\ "/>
    <numFmt numFmtId="177" formatCode="[$-40C]mmmm\-yy;@"/>
    <numFmt numFmtId="178" formatCode="0.0%"/>
    <numFmt numFmtId="179" formatCode="mmmm"/>
  </numFmts>
  <fonts count="6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color indexed="16"/>
      <name val="Arial"/>
      <family val="2"/>
    </font>
    <font>
      <sz val="10"/>
      <color indexed="8"/>
      <name val="Times New Roman"/>
      <family val="1"/>
    </font>
    <font>
      <sz val="12"/>
      <name val="Arial"/>
      <family val="2"/>
    </font>
    <font>
      <b/>
      <i/>
      <sz val="12"/>
      <color indexed="61"/>
      <name val="Arial"/>
      <family val="2"/>
    </font>
    <font>
      <sz val="10"/>
      <name val="Arial"/>
      <family val="2"/>
    </font>
    <font>
      <b/>
      <i/>
      <sz val="16"/>
      <color indexed="61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10"/>
      <color indexed="18"/>
      <name val="Arial"/>
      <family val="2"/>
    </font>
    <font>
      <sz val="10"/>
      <color indexed="10"/>
      <name val="Arial"/>
      <family val="2"/>
    </font>
    <font>
      <b/>
      <i/>
      <sz val="12"/>
      <color indexed="10"/>
      <name val="Arial"/>
      <family val="2"/>
    </font>
    <font>
      <sz val="10"/>
      <color indexed="40"/>
      <name val="Arial"/>
      <family val="2"/>
    </font>
    <font>
      <sz val="10"/>
      <color indexed="17"/>
      <name val="Arial"/>
      <family val="2"/>
    </font>
    <font>
      <sz val="10"/>
      <color indexed="60"/>
      <name val="Arial"/>
      <family val="2"/>
    </font>
    <font>
      <b/>
      <sz val="16"/>
      <color indexed="10"/>
      <name val="Arial"/>
      <family val="2"/>
    </font>
    <font>
      <b/>
      <sz val="10"/>
      <color indexed="16"/>
      <name val="Arial"/>
      <family val="2"/>
    </font>
    <font>
      <sz val="10"/>
      <color indexed="49"/>
      <name val="Arial"/>
      <family val="2"/>
    </font>
    <font>
      <b/>
      <sz val="10"/>
      <color indexed="18"/>
      <name val="Arial"/>
      <family val="2"/>
    </font>
    <font>
      <b/>
      <sz val="14"/>
      <color indexed="16"/>
      <name val="Arial"/>
      <family val="2"/>
    </font>
    <font>
      <b/>
      <sz val="14"/>
      <color indexed="18"/>
      <name val="Arial"/>
      <family val="2"/>
    </font>
    <font>
      <b/>
      <sz val="10"/>
      <color indexed="14"/>
      <name val="Arial"/>
      <family val="2"/>
    </font>
    <font>
      <b/>
      <sz val="10"/>
      <color indexed="10"/>
      <name val="Arial"/>
      <family val="2"/>
    </font>
    <font>
      <b/>
      <u val="double"/>
      <sz val="14"/>
      <color indexed="10"/>
      <name val="Arial"/>
      <family val="2"/>
    </font>
    <font>
      <b/>
      <sz val="10"/>
      <color indexed="16"/>
      <name val="Times New Roman"/>
      <family val="1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16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b/>
      <sz val="10"/>
      <color indexed="17"/>
      <name val="Arial"/>
      <family val="2"/>
    </font>
    <font>
      <b/>
      <i/>
      <sz val="11"/>
      <name val="Arial"/>
      <family val="2"/>
    </font>
    <font>
      <b/>
      <i/>
      <u val="double"/>
      <sz val="14"/>
      <color indexed="10"/>
      <name val="Arial"/>
      <family val="2"/>
    </font>
    <font>
      <sz val="14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9"/>
      <color indexed="16"/>
      <name val="Arial"/>
      <family val="2"/>
    </font>
    <font>
      <sz val="10"/>
      <color theme="9" tint="0.39997558519241921"/>
      <name val="Arial"/>
      <family val="2"/>
    </font>
    <font>
      <sz val="10"/>
      <color rgb="FF00B050"/>
      <name val="Arial"/>
      <family val="2"/>
    </font>
    <font>
      <b/>
      <sz val="10"/>
      <color rgb="FFFF0000"/>
      <name val="Arial"/>
      <family val="2"/>
    </font>
    <font>
      <sz val="10"/>
      <color theme="7"/>
      <name val="Arial"/>
      <family val="2"/>
    </font>
    <font>
      <b/>
      <sz val="10"/>
      <color theme="5" tint="-0.499984740745262"/>
      <name val="Arial"/>
      <family val="2"/>
    </font>
    <font>
      <b/>
      <sz val="12"/>
      <color rgb="FFFF0000"/>
      <name val="Arial"/>
      <family val="2"/>
    </font>
    <font>
      <sz val="9"/>
      <color indexed="9"/>
      <name val="Arial"/>
      <family val="2"/>
    </font>
    <font>
      <b/>
      <sz val="10"/>
      <color rgb="FFFFFF00"/>
      <name val="Times New Roman"/>
      <family val="1"/>
    </font>
    <font>
      <i/>
      <sz val="12"/>
      <name val="Arial"/>
      <family val="2"/>
    </font>
    <font>
      <sz val="11"/>
      <name val="Times New Roman"/>
      <family val="1"/>
    </font>
    <font>
      <sz val="11"/>
      <color theme="0" tint="-0.14999847407452621"/>
      <name val="Times New Roman"/>
      <family val="1"/>
    </font>
    <font>
      <sz val="10"/>
      <color theme="0" tint="-0.14999847407452621"/>
      <name val="Arial"/>
      <family val="2"/>
    </font>
    <font>
      <b/>
      <sz val="22"/>
      <color rgb="FFFF0000"/>
      <name val="Arial"/>
      <family val="2"/>
    </font>
    <font>
      <b/>
      <sz val="10"/>
      <name val="Arial Unicode MS"/>
      <family val="2"/>
    </font>
    <font>
      <b/>
      <sz val="10"/>
      <color rgb="FFFF0000"/>
      <name val="Arial Unicode MS"/>
      <family val="2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Dot">
        <color indexed="64"/>
      </bottom>
      <diagonal/>
    </border>
    <border>
      <left/>
      <right/>
      <top style="medium">
        <color indexed="64"/>
      </top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/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/>
      <top style="dashDot">
        <color indexed="64"/>
      </top>
      <bottom style="medium">
        <color indexed="64"/>
      </bottom>
      <diagonal/>
    </border>
    <border>
      <left/>
      <right/>
      <top style="dash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FF0000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78">
    <xf numFmtId="0" fontId="0" fillId="0" borderId="0" xfId="0"/>
    <xf numFmtId="0" fontId="0" fillId="0" borderId="0" xfId="0" applyProtection="1"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5" fillId="2" borderId="2" xfId="0" applyFont="1" applyFill="1" applyBorder="1" applyAlignment="1" applyProtection="1">
      <alignment horizontal="center"/>
      <protection hidden="1"/>
    </xf>
    <xf numFmtId="0" fontId="5" fillId="2" borderId="1" xfId="0" applyNumberFormat="1" applyFont="1" applyFill="1" applyBorder="1" applyAlignment="1" applyProtection="1">
      <alignment horizontal="center"/>
      <protection hidden="1"/>
    </xf>
    <xf numFmtId="0" fontId="5" fillId="2" borderId="2" xfId="0" applyNumberFormat="1" applyFont="1" applyFill="1" applyBorder="1" applyAlignment="1" applyProtection="1">
      <alignment horizontal="center"/>
      <protection hidden="1"/>
    </xf>
    <xf numFmtId="0" fontId="5" fillId="2" borderId="3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2" fontId="0" fillId="3" borderId="4" xfId="0" applyNumberFormat="1" applyFill="1" applyBorder="1" applyAlignment="1" applyProtection="1">
      <alignment horizontal="center"/>
      <protection locked="0" hidden="1"/>
    </xf>
    <xf numFmtId="0" fontId="0" fillId="4" borderId="5" xfId="0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2" fontId="0" fillId="3" borderId="6" xfId="0" applyNumberFormat="1" applyFill="1" applyBorder="1" applyAlignment="1" applyProtection="1">
      <alignment horizontal="center"/>
      <protection locked="0" hidden="1"/>
    </xf>
    <xf numFmtId="2" fontId="2" fillId="3" borderId="6" xfId="0" applyNumberFormat="1" applyFont="1" applyFill="1" applyBorder="1" applyAlignment="1" applyProtection="1">
      <alignment horizontal="center"/>
      <protection hidden="1"/>
    </xf>
    <xf numFmtId="0" fontId="0" fillId="4" borderId="7" xfId="0" applyFill="1" applyBorder="1" applyAlignment="1" applyProtection="1">
      <alignment horizontal="center"/>
      <protection hidden="1"/>
    </xf>
    <xf numFmtId="2" fontId="0" fillId="3" borderId="8" xfId="0" applyNumberFormat="1" applyFill="1" applyBorder="1" applyAlignment="1" applyProtection="1">
      <alignment horizontal="center"/>
      <protection locked="0" hidden="1"/>
    </xf>
    <xf numFmtId="0" fontId="0" fillId="4" borderId="9" xfId="0" applyFill="1" applyBorder="1" applyAlignment="1" applyProtection="1">
      <alignment horizontal="center"/>
      <protection hidden="1"/>
    </xf>
    <xf numFmtId="0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0" fontId="2" fillId="5" borderId="10" xfId="0" applyNumberFormat="1" applyFont="1" applyFill="1" applyBorder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0" fontId="6" fillId="2" borderId="11" xfId="0" applyFont="1" applyFill="1" applyBorder="1" applyAlignment="1" applyProtection="1">
      <alignment horizontal="center"/>
      <protection hidden="1"/>
    </xf>
    <xf numFmtId="0" fontId="6" fillId="2" borderId="0" xfId="0" applyFont="1" applyFill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4" fillId="4" borderId="12" xfId="0" applyNumberFormat="1" applyFont="1" applyFill="1" applyBorder="1" applyAlignment="1" applyProtection="1">
      <alignment horizontal="center"/>
      <protection hidden="1"/>
    </xf>
    <xf numFmtId="0" fontId="7" fillId="6" borderId="0" xfId="0" applyFont="1" applyFill="1" applyProtection="1"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Protection="1">
      <protection hidden="1"/>
    </xf>
    <xf numFmtId="0" fontId="17" fillId="0" borderId="0" xfId="0" applyFont="1" applyAlignment="1" applyProtection="1">
      <alignment horizontal="center"/>
      <protection hidden="1"/>
    </xf>
    <xf numFmtId="0" fontId="17" fillId="0" borderId="0" xfId="0" applyFont="1" applyAlignment="1" applyProtection="1">
      <alignment horizontal="center"/>
      <protection locked="0"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3" xfId="0" applyFont="1" applyFill="1" applyBorder="1" applyAlignment="1" applyProtection="1">
      <alignment horizontal="center"/>
      <protection hidden="1"/>
    </xf>
    <xf numFmtId="0" fontId="10" fillId="2" borderId="2" xfId="0" applyFont="1" applyFill="1" applyBorder="1" applyAlignment="1" applyProtection="1">
      <alignment horizontal="center"/>
      <protection hidden="1"/>
    </xf>
    <xf numFmtId="0" fontId="18" fillId="5" borderId="5" xfId="0" applyFont="1" applyFill="1" applyBorder="1" applyAlignment="1" applyProtection="1">
      <alignment horizontal="center"/>
      <protection hidden="1"/>
    </xf>
    <xf numFmtId="2" fontId="18" fillId="3" borderId="15" xfId="0" applyNumberFormat="1" applyFont="1" applyFill="1" applyBorder="1" applyAlignment="1" applyProtection="1">
      <alignment horizontal="center"/>
      <protection hidden="1"/>
    </xf>
    <xf numFmtId="0" fontId="18" fillId="5" borderId="7" xfId="0" applyFont="1" applyFill="1" applyBorder="1" applyAlignment="1" applyProtection="1">
      <alignment horizontal="center"/>
      <protection hidden="1"/>
    </xf>
    <xf numFmtId="2" fontId="18" fillId="3" borderId="17" xfId="0" applyNumberFormat="1" applyFont="1" applyFill="1" applyBorder="1" applyAlignment="1" applyProtection="1">
      <alignment horizontal="center"/>
      <protection hidden="1"/>
    </xf>
    <xf numFmtId="0" fontId="18" fillId="5" borderId="9" xfId="0" applyFont="1" applyFill="1" applyBorder="1" applyAlignment="1" applyProtection="1">
      <alignment horizontal="center"/>
      <protection hidden="1"/>
    </xf>
    <xf numFmtId="0" fontId="13" fillId="0" borderId="0" xfId="0" applyFont="1" applyProtection="1">
      <protection hidden="1"/>
    </xf>
    <xf numFmtId="0" fontId="14" fillId="7" borderId="18" xfId="0" applyFont="1" applyFill="1" applyBorder="1" applyAlignment="1" applyProtection="1">
      <alignment horizontal="center"/>
      <protection hidden="1"/>
    </xf>
    <xf numFmtId="2" fontId="15" fillId="0" borderId="0" xfId="0" applyNumberFormat="1" applyFont="1" applyFill="1" applyBorder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/>
      <protection hidden="1"/>
    </xf>
    <xf numFmtId="0" fontId="18" fillId="0" borderId="0" xfId="0" applyFont="1" applyFill="1" applyBorder="1" applyAlignment="1" applyProtection="1">
      <alignment horizontal="center"/>
      <protection locked="0" hidden="1"/>
    </xf>
    <xf numFmtId="0" fontId="21" fillId="8" borderId="19" xfId="0" applyFont="1" applyFill="1" applyBorder="1" applyAlignment="1" applyProtection="1">
      <alignment horizontal="center"/>
      <protection hidden="1"/>
    </xf>
    <xf numFmtId="0" fontId="21" fillId="8" borderId="20" xfId="0" applyFont="1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0" fontId="0" fillId="2" borderId="22" xfId="0" applyFill="1" applyBorder="1" applyAlignment="1" applyProtection="1">
      <alignment horizontal="center"/>
      <protection hidden="1"/>
    </xf>
    <xf numFmtId="0" fontId="0" fillId="2" borderId="23" xfId="0" applyFill="1" applyBorder="1" applyAlignment="1" applyProtection="1">
      <alignment horizontal="center"/>
      <protection hidden="1"/>
    </xf>
    <xf numFmtId="0" fontId="0" fillId="2" borderId="24" xfId="0" applyFill="1" applyBorder="1" applyAlignment="1" applyProtection="1">
      <alignment horizontal="center"/>
      <protection hidden="1"/>
    </xf>
    <xf numFmtId="0" fontId="0" fillId="2" borderId="12" xfId="0" applyFill="1" applyBorder="1" applyAlignment="1" applyProtection="1">
      <alignment horizontal="center"/>
      <protection hidden="1"/>
    </xf>
    <xf numFmtId="2" fontId="0" fillId="9" borderId="19" xfId="0" applyNumberFormat="1" applyFill="1" applyBorder="1" applyProtection="1">
      <protection hidden="1"/>
    </xf>
    <xf numFmtId="2" fontId="0" fillId="0" borderId="19" xfId="0" applyNumberFormat="1" applyFill="1" applyBorder="1" applyProtection="1">
      <protection hidden="1"/>
    </xf>
    <xf numFmtId="2" fontId="0" fillId="9" borderId="25" xfId="0" applyNumberFormat="1" applyFill="1" applyBorder="1" applyProtection="1">
      <protection hidden="1"/>
    </xf>
    <xf numFmtId="2" fontId="22" fillId="10" borderId="25" xfId="0" applyNumberFormat="1" applyFont="1" applyFill="1" applyBorder="1" applyAlignment="1" applyProtection="1">
      <alignment horizontal="center"/>
      <protection hidden="1"/>
    </xf>
    <xf numFmtId="2" fontId="22" fillId="0" borderId="25" xfId="0" applyNumberFormat="1" applyFont="1" applyBorder="1" applyAlignment="1" applyProtection="1">
      <alignment horizontal="center"/>
      <protection hidden="1"/>
    </xf>
    <xf numFmtId="2" fontId="0" fillId="9" borderId="25" xfId="0" applyNumberFormat="1" applyFill="1" applyBorder="1" applyProtection="1">
      <protection locked="0" hidden="1"/>
    </xf>
    <xf numFmtId="0" fontId="22" fillId="10" borderId="0" xfId="0" applyFont="1" applyFill="1" applyBorder="1" applyAlignment="1" applyProtection="1">
      <alignment horizontal="center"/>
      <protection hidden="1"/>
    </xf>
    <xf numFmtId="2" fontId="22" fillId="0" borderId="25" xfId="0" applyNumberFormat="1" applyFont="1" applyBorder="1" applyAlignment="1" applyProtection="1">
      <alignment horizontal="center"/>
      <protection locked="0" hidden="1"/>
    </xf>
    <xf numFmtId="2" fontId="22" fillId="10" borderId="25" xfId="0" applyNumberFormat="1" applyFont="1" applyFill="1" applyBorder="1" applyProtection="1">
      <protection hidden="1"/>
    </xf>
    <xf numFmtId="2" fontId="22" fillId="0" borderId="25" xfId="0" applyNumberFormat="1" applyFont="1" applyBorder="1" applyProtection="1">
      <protection hidden="1"/>
    </xf>
    <xf numFmtId="0" fontId="19" fillId="5" borderId="26" xfId="0" applyFont="1" applyFill="1" applyBorder="1" applyProtection="1">
      <protection hidden="1"/>
    </xf>
    <xf numFmtId="0" fontId="19" fillId="5" borderId="0" xfId="0" applyFont="1" applyFill="1" applyBorder="1" applyProtection="1">
      <protection hidden="1"/>
    </xf>
    <xf numFmtId="0" fontId="19" fillId="5" borderId="27" xfId="0" applyFont="1" applyFill="1" applyBorder="1" applyProtection="1">
      <protection hidden="1"/>
    </xf>
    <xf numFmtId="0" fontId="19" fillId="5" borderId="22" xfId="0" applyFont="1" applyFill="1" applyBorder="1" applyProtection="1">
      <protection hidden="1"/>
    </xf>
    <xf numFmtId="0" fontId="19" fillId="5" borderId="28" xfId="0" applyFont="1" applyFill="1" applyBorder="1" applyProtection="1">
      <protection hidden="1"/>
    </xf>
    <xf numFmtId="0" fontId="19" fillId="5" borderId="29" xfId="0" applyFont="1" applyFill="1" applyBorder="1" applyProtection="1">
      <protection hidden="1"/>
    </xf>
    <xf numFmtId="2" fontId="0" fillId="9" borderId="30" xfId="0" applyNumberFormat="1" applyFill="1" applyBorder="1" applyProtection="1">
      <protection hidden="1"/>
    </xf>
    <xf numFmtId="2" fontId="0" fillId="11" borderId="30" xfId="0" applyNumberFormat="1" applyFill="1" applyBorder="1" applyProtection="1">
      <protection hidden="1"/>
    </xf>
    <xf numFmtId="2" fontId="22" fillId="10" borderId="30" xfId="0" applyNumberFormat="1" applyFont="1" applyFill="1" applyBorder="1" applyProtection="1">
      <protection hidden="1"/>
    </xf>
    <xf numFmtId="2" fontId="22" fillId="0" borderId="30" xfId="0" applyNumberFormat="1" applyFont="1" applyBorder="1" applyProtection="1">
      <protection hidden="1"/>
    </xf>
    <xf numFmtId="2" fontId="0" fillId="3" borderId="6" xfId="0" applyNumberFormat="1" applyFill="1" applyBorder="1" applyAlignment="1" applyProtection="1">
      <alignment horizontal="center"/>
      <protection hidden="1"/>
    </xf>
    <xf numFmtId="0" fontId="19" fillId="0" borderId="0" xfId="0" applyFont="1" applyBorder="1" applyAlignment="1" applyProtection="1">
      <protection hidden="1"/>
    </xf>
    <xf numFmtId="0" fontId="2" fillId="0" borderId="0" xfId="0" applyFont="1" applyBorder="1" applyAlignment="1" applyProtection="1">
      <protection hidden="1"/>
    </xf>
    <xf numFmtId="2" fontId="7" fillId="6" borderId="0" xfId="0" applyNumberFormat="1" applyFont="1" applyFill="1" applyProtection="1">
      <protection hidden="1"/>
    </xf>
    <xf numFmtId="0" fontId="0" fillId="0" borderId="0" xfId="0" applyNumberFormat="1" applyProtection="1">
      <protection locked="0" hidden="1"/>
    </xf>
    <xf numFmtId="0" fontId="0" fillId="0" borderId="0" xfId="0" applyProtection="1">
      <protection locked="0" hidden="1"/>
    </xf>
    <xf numFmtId="2" fontId="7" fillId="6" borderId="0" xfId="0" applyNumberFormat="1" applyFont="1" applyFill="1" applyProtection="1">
      <protection locked="0" hidden="1"/>
    </xf>
    <xf numFmtId="0" fontId="2" fillId="2" borderId="11" xfId="0" applyFont="1" applyFill="1" applyBorder="1" applyAlignment="1" applyProtection="1">
      <alignment horizontal="center"/>
      <protection hidden="1"/>
    </xf>
    <xf numFmtId="2" fontId="2" fillId="10" borderId="11" xfId="0" applyNumberFormat="1" applyFont="1" applyFill="1" applyBorder="1" applyAlignment="1" applyProtection="1">
      <alignment horizontal="center"/>
      <protection hidden="1"/>
    </xf>
    <xf numFmtId="2" fontId="2" fillId="10" borderId="10" xfId="0" applyNumberFormat="1" applyFont="1" applyFill="1" applyBorder="1" applyAlignment="1" applyProtection="1">
      <alignment horizontal="center"/>
      <protection hidden="1"/>
    </xf>
    <xf numFmtId="2" fontId="18" fillId="10" borderId="9" xfId="0" applyNumberFormat="1" applyFont="1" applyFill="1" applyBorder="1" applyAlignment="1" applyProtection="1">
      <alignment horizontal="center"/>
      <protection hidden="1"/>
    </xf>
    <xf numFmtId="2" fontId="2" fillId="10" borderId="31" xfId="0" applyNumberFormat="1" applyFont="1" applyFill="1" applyBorder="1" applyAlignment="1" applyProtection="1">
      <alignment horizontal="center"/>
      <protection locked="0" hidden="1"/>
    </xf>
    <xf numFmtId="2" fontId="0" fillId="3" borderId="32" xfId="0" applyNumberFormat="1" applyFill="1" applyBorder="1" applyAlignment="1" applyProtection="1">
      <alignment horizontal="center"/>
      <protection locked="0" hidden="1"/>
    </xf>
    <xf numFmtId="2" fontId="0" fillId="3" borderId="15" xfId="0" applyNumberFormat="1" applyFill="1" applyBorder="1" applyAlignment="1" applyProtection="1">
      <alignment horizontal="center"/>
      <protection locked="0" hidden="1"/>
    </xf>
    <xf numFmtId="2" fontId="0" fillId="3" borderId="17" xfId="0" applyNumberFormat="1" applyFill="1" applyBorder="1" applyAlignment="1" applyProtection="1">
      <alignment horizontal="center"/>
      <protection locked="0" hidden="1"/>
    </xf>
    <xf numFmtId="169" fontId="8" fillId="12" borderId="0" xfId="0" applyNumberFormat="1" applyFont="1" applyFill="1" applyBorder="1" applyAlignment="1" applyProtection="1">
      <alignment horizontal="center"/>
      <protection hidden="1"/>
    </xf>
    <xf numFmtId="2" fontId="18" fillId="10" borderId="5" xfId="0" applyNumberFormat="1" applyFont="1" applyFill="1" applyBorder="1" applyAlignment="1" applyProtection="1">
      <alignment horizontal="center"/>
      <protection hidden="1"/>
    </xf>
    <xf numFmtId="2" fontId="18" fillId="10" borderId="7" xfId="0" applyNumberFormat="1" applyFont="1" applyFill="1" applyBorder="1" applyAlignment="1" applyProtection="1">
      <alignment horizontal="center"/>
      <protection hidden="1"/>
    </xf>
    <xf numFmtId="0" fontId="22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2" fontId="2" fillId="10" borderId="11" xfId="0" applyNumberFormat="1" applyFont="1" applyFill="1" applyBorder="1" applyAlignment="1" applyProtection="1">
      <alignment horizontal="center"/>
      <protection locked="0" hidden="1"/>
    </xf>
    <xf numFmtId="2" fontId="22" fillId="10" borderId="25" xfId="0" applyNumberFormat="1" applyFont="1" applyFill="1" applyBorder="1" applyAlignment="1" applyProtection="1">
      <alignment horizontal="center"/>
      <protection locked="0"/>
    </xf>
    <xf numFmtId="0" fontId="16" fillId="0" borderId="0" xfId="0" applyFont="1" applyFill="1" applyBorder="1" applyAlignment="1" applyProtection="1">
      <alignment horizontal="center"/>
      <protection hidden="1"/>
    </xf>
    <xf numFmtId="0" fontId="19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/>
      <protection locked="0" hidden="1"/>
    </xf>
    <xf numFmtId="0" fontId="3" fillId="3" borderId="33" xfId="0" applyFont="1" applyFill="1" applyBorder="1" applyAlignment="1" applyProtection="1">
      <alignment horizontal="center"/>
      <protection hidden="1"/>
    </xf>
    <xf numFmtId="0" fontId="5" fillId="2" borderId="34" xfId="0" applyFont="1" applyFill="1" applyBorder="1" applyAlignment="1" applyProtection="1">
      <alignment horizontal="center"/>
      <protection hidden="1"/>
    </xf>
    <xf numFmtId="0" fontId="5" fillId="2" borderId="33" xfId="0" applyFont="1" applyFill="1" applyBorder="1" applyAlignment="1" applyProtection="1">
      <alignment horizontal="center"/>
      <protection hidden="1"/>
    </xf>
    <xf numFmtId="0" fontId="3" fillId="13" borderId="33" xfId="0" applyFont="1" applyFill="1" applyBorder="1" applyAlignment="1" applyProtection="1">
      <alignment horizontal="center"/>
      <protection hidden="1"/>
    </xf>
    <xf numFmtId="0" fontId="3" fillId="13" borderId="35" xfId="0" applyFont="1" applyFill="1" applyBorder="1" applyAlignment="1" applyProtection="1">
      <alignment horizontal="center"/>
      <protection hidden="1"/>
    </xf>
    <xf numFmtId="0" fontId="3" fillId="13" borderId="1" xfId="0" applyFont="1" applyFill="1" applyBorder="1" applyAlignment="1" applyProtection="1">
      <alignment horizontal="center"/>
      <protection hidden="1"/>
    </xf>
    <xf numFmtId="0" fontId="3" fillId="13" borderId="3" xfId="0" applyFont="1" applyFill="1" applyBorder="1" applyAlignment="1" applyProtection="1">
      <alignment horizontal="center"/>
      <protection hidden="1"/>
    </xf>
    <xf numFmtId="0" fontId="3" fillId="13" borderId="2" xfId="0" applyFont="1" applyFill="1" applyBorder="1" applyAlignment="1" applyProtection="1">
      <alignment horizontal="center"/>
      <protection hidden="1"/>
    </xf>
    <xf numFmtId="2" fontId="2" fillId="0" borderId="0" xfId="0" applyNumberFormat="1" applyFont="1" applyFill="1" applyBorder="1" applyAlignment="1" applyProtection="1">
      <alignment horizontal="center"/>
      <protection hidden="1"/>
    </xf>
    <xf numFmtId="2" fontId="2" fillId="0" borderId="0" xfId="0" applyNumberFormat="1" applyFont="1" applyFill="1" applyBorder="1" applyAlignment="1" applyProtection="1">
      <alignment horizontal="center"/>
      <protection locked="0" hidden="1"/>
    </xf>
    <xf numFmtId="17" fontId="0" fillId="0" borderId="0" xfId="0" applyNumberFormat="1" applyAlignment="1" applyProtection="1">
      <alignment horizontal="center"/>
      <protection hidden="1"/>
    </xf>
    <xf numFmtId="172" fontId="0" fillId="0" borderId="0" xfId="0" applyNumberFormat="1" applyProtection="1">
      <protection hidden="1"/>
    </xf>
    <xf numFmtId="172" fontId="9" fillId="14" borderId="36" xfId="0" applyNumberFormat="1" applyFont="1" applyFill="1" applyBorder="1" applyAlignment="1" applyProtection="1">
      <alignment horizontal="right"/>
      <protection hidden="1"/>
    </xf>
    <xf numFmtId="2" fontId="28" fillId="9" borderId="32" xfId="0" applyNumberFormat="1" applyFont="1" applyFill="1" applyBorder="1" applyAlignment="1" applyProtection="1">
      <alignment horizontal="center"/>
      <protection hidden="1"/>
    </xf>
    <xf numFmtId="2" fontId="28" fillId="9" borderId="15" xfId="0" applyNumberFormat="1" applyFont="1" applyFill="1" applyBorder="1" applyAlignment="1" applyProtection="1">
      <alignment horizontal="center"/>
      <protection hidden="1"/>
    </xf>
    <xf numFmtId="2" fontId="28" fillId="9" borderId="17" xfId="0" applyNumberFormat="1" applyFont="1" applyFill="1" applyBorder="1" applyAlignment="1" applyProtection="1">
      <alignment horizontal="center"/>
      <protection hidden="1"/>
    </xf>
    <xf numFmtId="2" fontId="31" fillId="9" borderId="23" xfId="0" applyNumberFormat="1" applyFont="1" applyFill="1" applyBorder="1" applyAlignment="1" applyProtection="1">
      <alignment horizontal="center"/>
      <protection hidden="1"/>
    </xf>
    <xf numFmtId="2" fontId="31" fillId="9" borderId="11" xfId="0" applyNumberFormat="1" applyFont="1" applyFill="1" applyBorder="1" applyAlignment="1" applyProtection="1">
      <alignment horizontal="center"/>
      <protection hidden="1"/>
    </xf>
    <xf numFmtId="2" fontId="30" fillId="5" borderId="6" xfId="0" applyNumberFormat="1" applyFont="1" applyFill="1" applyBorder="1" applyAlignment="1" applyProtection="1">
      <alignment horizontal="center"/>
      <protection hidden="1"/>
    </xf>
    <xf numFmtId="2" fontId="30" fillId="5" borderId="7" xfId="0" applyNumberFormat="1" applyFont="1" applyFill="1" applyBorder="1" applyAlignment="1" applyProtection="1">
      <alignment horizontal="center"/>
      <protection locked="0" hidden="1"/>
    </xf>
    <xf numFmtId="2" fontId="30" fillId="5" borderId="8" xfId="0" applyNumberFormat="1" applyFont="1" applyFill="1" applyBorder="1" applyAlignment="1" applyProtection="1">
      <alignment horizontal="center"/>
      <protection hidden="1"/>
    </xf>
    <xf numFmtId="2" fontId="32" fillId="5" borderId="23" xfId="0" applyNumberFormat="1" applyFont="1" applyFill="1" applyBorder="1" applyAlignment="1" applyProtection="1">
      <alignment horizontal="center"/>
      <protection hidden="1"/>
    </xf>
    <xf numFmtId="2" fontId="32" fillId="5" borderId="24" xfId="0" applyNumberFormat="1" applyFont="1" applyFill="1" applyBorder="1" applyAlignment="1" applyProtection="1">
      <alignment horizontal="center"/>
      <protection hidden="1"/>
    </xf>
    <xf numFmtId="2" fontId="32" fillId="5" borderId="12" xfId="0" applyNumberFormat="1" applyFont="1" applyFill="1" applyBorder="1" applyAlignment="1" applyProtection="1">
      <alignment horizontal="center"/>
      <protection hidden="1"/>
    </xf>
    <xf numFmtId="2" fontId="0" fillId="3" borderId="37" xfId="0" applyNumberFormat="1" applyFill="1" applyBorder="1" applyAlignment="1" applyProtection="1">
      <alignment horizontal="center"/>
      <protection hidden="1"/>
    </xf>
    <xf numFmtId="2" fontId="0" fillId="3" borderId="7" xfId="0" applyNumberFormat="1" applyFill="1" applyBorder="1" applyAlignment="1" applyProtection="1">
      <alignment horizontal="center"/>
      <protection locked="0" hidden="1"/>
    </xf>
    <xf numFmtId="2" fontId="0" fillId="3" borderId="9" xfId="0" applyNumberFormat="1" applyFill="1" applyBorder="1" applyAlignment="1" applyProtection="1">
      <alignment horizontal="center"/>
      <protection locked="0" hidden="1"/>
    </xf>
    <xf numFmtId="0" fontId="0" fillId="7" borderId="38" xfId="0" applyNumberFormat="1" applyFill="1" applyBorder="1" applyAlignment="1" applyProtection="1">
      <alignment horizontal="center"/>
      <protection hidden="1"/>
    </xf>
    <xf numFmtId="0" fontId="0" fillId="7" borderId="37" xfId="0" applyNumberFormat="1" applyFill="1" applyBorder="1" applyAlignment="1" applyProtection="1">
      <alignment horizontal="center"/>
      <protection hidden="1"/>
    </xf>
    <xf numFmtId="0" fontId="5" fillId="2" borderId="35" xfId="0" applyNumberFormat="1" applyFont="1" applyFill="1" applyBorder="1" applyAlignment="1" applyProtection="1">
      <alignment horizontal="center"/>
      <protection hidden="1"/>
    </xf>
    <xf numFmtId="2" fontId="30" fillId="5" borderId="4" xfId="0" applyNumberFormat="1" applyFont="1" applyFill="1" applyBorder="1" applyAlignment="1" applyProtection="1">
      <alignment horizontal="center"/>
      <protection hidden="1"/>
    </xf>
    <xf numFmtId="2" fontId="30" fillId="5" borderId="9" xfId="0" applyNumberFormat="1" applyFont="1" applyFill="1" applyBorder="1" applyAlignment="1" applyProtection="1">
      <alignment horizontal="center"/>
      <protection locked="0" hidden="1"/>
    </xf>
    <xf numFmtId="0" fontId="0" fillId="0" borderId="0" xfId="0" applyNumberFormat="1" applyFill="1" applyBorder="1" applyAlignment="1" applyProtection="1">
      <alignment horizontal="center"/>
      <protection locked="0" hidden="1"/>
    </xf>
    <xf numFmtId="0" fontId="0" fillId="0" borderId="0" xfId="0" applyNumberFormat="1" applyFill="1" applyBorder="1" applyAlignment="1" applyProtection="1">
      <alignment horizontal="center"/>
      <protection hidden="1"/>
    </xf>
    <xf numFmtId="2" fontId="0" fillId="0" borderId="0" xfId="0" applyNumberFormat="1" applyFill="1" applyBorder="1" applyAlignment="1" applyProtection="1">
      <alignment horizontal="center"/>
      <protection locked="0" hidden="1"/>
    </xf>
    <xf numFmtId="2" fontId="0" fillId="0" borderId="0" xfId="0" applyNumberFormat="1" applyFill="1" applyBorder="1" applyAlignment="1" applyProtection="1">
      <alignment horizontal="center"/>
      <protection hidden="1"/>
    </xf>
    <xf numFmtId="2" fontId="28" fillId="0" borderId="0" xfId="0" applyNumberFormat="1" applyFont="1" applyFill="1" applyBorder="1" applyAlignment="1" applyProtection="1">
      <alignment horizontal="center"/>
      <protection hidden="1"/>
    </xf>
    <xf numFmtId="2" fontId="30" fillId="0" borderId="0" xfId="0" applyNumberFormat="1" applyFont="1" applyFill="1" applyBorder="1" applyAlignment="1" applyProtection="1">
      <alignment horizontal="center"/>
      <protection hidden="1"/>
    </xf>
    <xf numFmtId="2" fontId="30" fillId="0" borderId="0" xfId="0" applyNumberFormat="1" applyFon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hidden="1"/>
    </xf>
    <xf numFmtId="0" fontId="5" fillId="15" borderId="19" xfId="0" applyFont="1" applyFill="1" applyBorder="1" applyAlignment="1" applyProtection="1">
      <alignment horizontal="center"/>
      <protection hidden="1"/>
    </xf>
    <xf numFmtId="172" fontId="9" fillId="14" borderId="39" xfId="0" applyNumberFormat="1" applyFont="1" applyFill="1" applyBorder="1" applyAlignment="1" applyProtection="1">
      <alignment horizontal="right"/>
      <protection hidden="1"/>
    </xf>
    <xf numFmtId="172" fontId="9" fillId="14" borderId="40" xfId="0" applyNumberFormat="1" applyFont="1" applyFill="1" applyBorder="1" applyAlignment="1" applyProtection="1">
      <alignment horizontal="right"/>
      <protection hidden="1"/>
    </xf>
    <xf numFmtId="0" fontId="3" fillId="3" borderId="35" xfId="0" applyFont="1" applyFill="1" applyBorder="1" applyAlignment="1" applyProtection="1">
      <alignment horizontal="center"/>
      <protection hidden="1"/>
    </xf>
    <xf numFmtId="2" fontId="28" fillId="16" borderId="6" xfId="0" applyNumberFormat="1" applyFont="1" applyFill="1" applyBorder="1" applyAlignment="1" applyProtection="1">
      <alignment horizontal="center"/>
      <protection hidden="1"/>
    </xf>
    <xf numFmtId="2" fontId="28" fillId="16" borderId="15" xfId="0" applyNumberFormat="1" applyFont="1" applyFill="1" applyBorder="1" applyAlignment="1" applyProtection="1">
      <alignment horizontal="center"/>
      <protection hidden="1"/>
    </xf>
    <xf numFmtId="2" fontId="28" fillId="16" borderId="42" xfId="0" applyNumberFormat="1" applyFont="1" applyFill="1" applyBorder="1" applyAlignment="1" applyProtection="1">
      <alignment horizontal="center"/>
      <protection hidden="1"/>
    </xf>
    <xf numFmtId="0" fontId="3" fillId="13" borderId="0" xfId="0" applyFont="1" applyFill="1" applyBorder="1" applyAlignment="1" applyProtection="1">
      <alignment horizontal="center"/>
      <protection hidden="1"/>
    </xf>
    <xf numFmtId="0" fontId="3" fillId="13" borderId="34" xfId="0" applyFont="1" applyFill="1" applyBorder="1" applyAlignment="1" applyProtection="1">
      <alignment horizontal="center"/>
      <protection hidden="1"/>
    </xf>
    <xf numFmtId="0" fontId="3" fillId="17" borderId="19" xfId="0" applyFont="1" applyFill="1" applyBorder="1" applyAlignment="1" applyProtection="1">
      <alignment horizontal="center"/>
      <protection hidden="1"/>
    </xf>
    <xf numFmtId="0" fontId="3" fillId="17" borderId="30" xfId="0" applyFont="1" applyFill="1" applyBorder="1" applyAlignment="1" applyProtection="1">
      <alignment horizontal="center"/>
      <protection hidden="1"/>
    </xf>
    <xf numFmtId="2" fontId="31" fillId="9" borderId="18" xfId="0" applyNumberFormat="1" applyFont="1" applyFill="1" applyBorder="1" applyAlignment="1" applyProtection="1">
      <alignment horizontal="center"/>
      <protection hidden="1"/>
    </xf>
    <xf numFmtId="2" fontId="13" fillId="0" borderId="0" xfId="0" applyNumberFormat="1" applyFont="1" applyProtection="1">
      <protection hidden="1"/>
    </xf>
    <xf numFmtId="0" fontId="3" fillId="13" borderId="27" xfId="0" applyFont="1" applyFill="1" applyBorder="1" applyAlignment="1" applyProtection="1">
      <alignment horizontal="center"/>
      <protection hidden="1"/>
    </xf>
    <xf numFmtId="2" fontId="28" fillId="9" borderId="46" xfId="0" applyNumberFormat="1" applyFont="1" applyFill="1" applyBorder="1" applyAlignment="1" applyProtection="1">
      <alignment horizontal="center"/>
      <protection hidden="1"/>
    </xf>
    <xf numFmtId="2" fontId="31" fillId="9" borderId="10" xfId="0" applyNumberFormat="1" applyFont="1" applyFill="1" applyBorder="1" applyAlignment="1" applyProtection="1">
      <alignment horizontal="center"/>
      <protection hidden="1"/>
    </xf>
    <xf numFmtId="167" fontId="2" fillId="17" borderId="40" xfId="0" applyNumberFormat="1" applyFont="1" applyFill="1" applyBorder="1" applyAlignment="1" applyProtection="1">
      <alignment horizontal="center"/>
      <protection locked="0" hidden="1"/>
    </xf>
    <xf numFmtId="167" fontId="0" fillId="11" borderId="25" xfId="0" applyNumberFormat="1" applyFill="1" applyBorder="1" applyProtection="1">
      <protection hidden="1"/>
    </xf>
    <xf numFmtId="0" fontId="0" fillId="5" borderId="18" xfId="0" applyFill="1" applyBorder="1" applyAlignment="1" applyProtection="1">
      <alignment horizontal="center"/>
      <protection hidden="1"/>
    </xf>
    <xf numFmtId="0" fontId="2" fillId="2" borderId="10" xfId="0" applyFont="1" applyFill="1" applyBorder="1" applyAlignment="1" applyProtection="1">
      <alignment horizontal="center"/>
      <protection hidden="1"/>
    </xf>
    <xf numFmtId="16" fontId="0" fillId="0" borderId="0" xfId="0" applyNumberFormat="1" applyAlignment="1" applyProtection="1">
      <alignment horizontal="center"/>
      <protection hidden="1"/>
    </xf>
    <xf numFmtId="2" fontId="28" fillId="9" borderId="6" xfId="0" applyNumberFormat="1" applyFont="1" applyFill="1" applyBorder="1" applyAlignment="1" applyProtection="1">
      <alignment horizontal="center"/>
      <protection hidden="1"/>
    </xf>
    <xf numFmtId="2" fontId="28" fillId="9" borderId="5" xfId="0" applyNumberFormat="1" applyFont="1" applyFill="1" applyBorder="1" applyAlignment="1" applyProtection="1">
      <alignment horizontal="center"/>
      <protection hidden="1"/>
    </xf>
    <xf numFmtId="2" fontId="28" fillId="9" borderId="7" xfId="0" applyNumberFormat="1" applyFont="1" applyFill="1" applyBorder="1" applyAlignment="1" applyProtection="1">
      <alignment horizontal="center"/>
      <protection hidden="1"/>
    </xf>
    <xf numFmtId="2" fontId="28" fillId="9" borderId="9" xfId="0" applyNumberFormat="1" applyFont="1" applyFill="1" applyBorder="1" applyAlignment="1" applyProtection="1">
      <alignment horizontal="center"/>
      <protection hidden="1"/>
    </xf>
    <xf numFmtId="2" fontId="28" fillId="9" borderId="47" xfId="0" applyNumberFormat="1" applyFont="1" applyFill="1" applyBorder="1" applyAlignment="1" applyProtection="1">
      <alignment horizontal="center"/>
      <protection hidden="1"/>
    </xf>
    <xf numFmtId="2" fontId="28" fillId="16" borderId="7" xfId="0" applyNumberFormat="1" applyFont="1" applyFill="1" applyBorder="1" applyAlignment="1" applyProtection="1">
      <alignment horizontal="center"/>
      <protection hidden="1"/>
    </xf>
    <xf numFmtId="2" fontId="0" fillId="3" borderId="47" xfId="0" applyNumberFormat="1" applyFill="1" applyBorder="1" applyAlignment="1" applyProtection="1">
      <alignment horizontal="center"/>
      <protection locked="0" hidden="1"/>
    </xf>
    <xf numFmtId="2" fontId="0" fillId="3" borderId="50" xfId="0" applyNumberFormat="1" applyFill="1" applyBorder="1" applyAlignment="1" applyProtection="1">
      <alignment horizontal="center"/>
      <protection locked="0" hidden="1"/>
    </xf>
    <xf numFmtId="2" fontId="0" fillId="3" borderId="51" xfId="0" applyNumberFormat="1" applyFill="1" applyBorder="1" applyAlignment="1" applyProtection="1">
      <alignment horizontal="center"/>
      <protection locked="0" hidden="1"/>
    </xf>
    <xf numFmtId="2" fontId="0" fillId="3" borderId="48" xfId="0" applyNumberFormat="1" applyFill="1" applyBorder="1" applyAlignment="1" applyProtection="1">
      <alignment horizontal="center"/>
      <protection hidden="1"/>
    </xf>
    <xf numFmtId="2" fontId="0" fillId="3" borderId="50" xfId="0" applyNumberFormat="1" applyFill="1" applyBorder="1" applyAlignment="1" applyProtection="1">
      <alignment horizontal="center"/>
      <protection hidden="1"/>
    </xf>
    <xf numFmtId="2" fontId="2" fillId="3" borderId="50" xfId="0" applyNumberFormat="1" applyFont="1" applyFill="1" applyBorder="1" applyAlignment="1" applyProtection="1">
      <alignment horizontal="center"/>
      <protection hidden="1"/>
    </xf>
    <xf numFmtId="2" fontId="2" fillId="3" borderId="49" xfId="0" applyNumberFormat="1" applyFont="1" applyFill="1" applyBorder="1" applyAlignment="1" applyProtection="1">
      <alignment horizontal="center"/>
      <protection hidden="1"/>
    </xf>
    <xf numFmtId="2" fontId="30" fillId="5" borderId="51" xfId="0" applyNumberFormat="1" applyFont="1" applyFill="1" applyBorder="1" applyAlignment="1" applyProtection="1">
      <alignment horizontal="center"/>
      <protection locked="0" hidden="1"/>
    </xf>
    <xf numFmtId="0" fontId="0" fillId="4" borderId="51" xfId="0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2" fontId="2" fillId="17" borderId="6" xfId="0" applyNumberFormat="1" applyFont="1" applyFill="1" applyBorder="1" applyAlignment="1" applyProtection="1">
      <alignment horizontal="center"/>
      <protection hidden="1"/>
    </xf>
    <xf numFmtId="2" fontId="33" fillId="17" borderId="6" xfId="0" applyNumberFormat="1" applyFont="1" applyFill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locked="0"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0" fontId="6" fillId="18" borderId="3" xfId="0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/>
      <protection hidden="1"/>
    </xf>
    <xf numFmtId="15" fontId="0" fillId="0" borderId="0" xfId="0" applyNumberFormat="1" applyProtection="1">
      <protection hidden="1"/>
    </xf>
    <xf numFmtId="0" fontId="0" fillId="0" borderId="0" xfId="0" applyAlignment="1" applyProtection="1">
      <protection hidden="1"/>
    </xf>
    <xf numFmtId="0" fontId="16" fillId="0" borderId="0" xfId="0" applyFont="1" applyAlignment="1" applyProtection="1">
      <protection hidden="1"/>
    </xf>
    <xf numFmtId="172" fontId="9" fillId="14" borderId="0" xfId="0" applyNumberFormat="1" applyFont="1" applyFill="1" applyBorder="1" applyAlignment="1" applyProtection="1">
      <alignment horizontal="right"/>
      <protection hidden="1"/>
    </xf>
    <xf numFmtId="0" fontId="0" fillId="7" borderId="0" xfId="0" applyNumberFormat="1" applyFill="1" applyBorder="1" applyAlignment="1" applyProtection="1">
      <alignment horizontal="center"/>
      <protection locked="0" hidden="1"/>
    </xf>
    <xf numFmtId="0" fontId="0" fillId="7" borderId="0" xfId="0" applyNumberFormat="1" applyFill="1" applyBorder="1" applyAlignment="1" applyProtection="1">
      <alignment horizontal="center"/>
      <protection hidden="1"/>
    </xf>
    <xf numFmtId="2" fontId="0" fillId="3" borderId="0" xfId="0" applyNumberFormat="1" applyFill="1" applyBorder="1" applyAlignment="1" applyProtection="1">
      <alignment horizontal="center"/>
      <protection locked="0" hidden="1"/>
    </xf>
    <xf numFmtId="2" fontId="0" fillId="3" borderId="0" xfId="0" applyNumberFormat="1" applyFill="1" applyBorder="1" applyAlignment="1" applyProtection="1">
      <alignment horizontal="center"/>
      <protection hidden="1"/>
    </xf>
    <xf numFmtId="2" fontId="2" fillId="3" borderId="0" xfId="0" applyNumberFormat="1" applyFont="1" applyFill="1" applyBorder="1" applyAlignment="1" applyProtection="1">
      <alignment horizontal="center"/>
      <protection hidden="1"/>
    </xf>
    <xf numFmtId="2" fontId="28" fillId="9" borderId="0" xfId="0" applyNumberFormat="1" applyFont="1" applyFill="1" applyBorder="1" applyAlignment="1" applyProtection="1">
      <alignment horizontal="center"/>
      <protection hidden="1"/>
    </xf>
    <xf numFmtId="2" fontId="28" fillId="16" borderId="0" xfId="0" applyNumberFormat="1" applyFont="1" applyFill="1" applyBorder="1" applyAlignment="1" applyProtection="1">
      <alignment horizontal="center"/>
      <protection hidden="1"/>
    </xf>
    <xf numFmtId="2" fontId="30" fillId="5" borderId="0" xfId="0" applyNumberFormat="1" applyFont="1" applyFill="1" applyBorder="1" applyAlignment="1" applyProtection="1">
      <alignment horizontal="center"/>
      <protection hidden="1"/>
    </xf>
    <xf numFmtId="0" fontId="0" fillId="4" borderId="0" xfId="0" applyFill="1" applyBorder="1" applyAlignment="1" applyProtection="1">
      <alignment horizontal="center"/>
      <protection hidden="1"/>
    </xf>
    <xf numFmtId="2" fontId="0" fillId="3" borderId="55" xfId="0" applyNumberFormat="1" applyFill="1" applyBorder="1" applyAlignment="1" applyProtection="1">
      <alignment horizontal="center"/>
      <protection hidden="1"/>
    </xf>
    <xf numFmtId="2" fontId="0" fillId="3" borderId="8" xfId="0" applyNumberFormat="1" applyFill="1" applyBorder="1" applyAlignment="1" applyProtection="1">
      <alignment horizontal="center"/>
      <protection hidden="1"/>
    </xf>
    <xf numFmtId="2" fontId="2" fillId="3" borderId="8" xfId="0" applyNumberFormat="1" applyFont="1" applyFill="1" applyBorder="1" applyAlignment="1" applyProtection="1">
      <alignment horizontal="center"/>
      <protection hidden="1"/>
    </xf>
    <xf numFmtId="2" fontId="28" fillId="9" borderId="8" xfId="0" applyNumberFormat="1" applyFont="1" applyFill="1" applyBorder="1" applyAlignment="1" applyProtection="1">
      <alignment horizontal="center"/>
      <protection hidden="1"/>
    </xf>
    <xf numFmtId="172" fontId="9" fillId="14" borderId="26" xfId="0" applyNumberFormat="1" applyFont="1" applyFill="1" applyBorder="1" applyAlignment="1" applyProtection="1">
      <alignment horizontal="right"/>
      <protection hidden="1"/>
    </xf>
    <xf numFmtId="0" fontId="3" fillId="2" borderId="19" xfId="0" applyFont="1" applyFill="1" applyBorder="1" applyAlignment="1" applyProtection="1">
      <alignment horizontal="center"/>
      <protection hidden="1"/>
    </xf>
    <xf numFmtId="2" fontId="2" fillId="17" borderId="11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2" fontId="0" fillId="0" borderId="0" xfId="0" applyNumberFormat="1" applyFill="1" applyBorder="1" applyAlignment="1" applyProtection="1">
      <alignment horizontal="center" vertical="center"/>
      <protection hidden="1"/>
    </xf>
    <xf numFmtId="2" fontId="0" fillId="0" borderId="28" xfId="0" applyNumberFormat="1" applyFill="1" applyBorder="1" applyAlignment="1" applyProtection="1">
      <alignment horizontal="center" vertical="center"/>
      <protection hidden="1"/>
    </xf>
    <xf numFmtId="2" fontId="28" fillId="16" borderId="50" xfId="0" applyNumberFormat="1" applyFont="1" applyFill="1" applyBorder="1" applyAlignment="1" applyProtection="1">
      <alignment horizontal="center"/>
      <protection hidden="1"/>
    </xf>
    <xf numFmtId="2" fontId="28" fillId="16" borderId="47" xfId="0" applyNumberFormat="1" applyFont="1" applyFill="1" applyBorder="1" applyAlignment="1" applyProtection="1">
      <alignment horizontal="center"/>
      <protection hidden="1"/>
    </xf>
    <xf numFmtId="2" fontId="28" fillId="16" borderId="51" xfId="0" applyNumberFormat="1" applyFont="1" applyFill="1" applyBorder="1" applyAlignment="1" applyProtection="1">
      <alignment horizontal="center"/>
      <protection hidden="1"/>
    </xf>
    <xf numFmtId="2" fontId="28" fillId="16" borderId="51" xfId="0" applyNumberFormat="1" applyFont="1" applyFill="1" applyBorder="1" applyAlignment="1" applyProtection="1">
      <alignment horizontal="center"/>
      <protection locked="0" hidden="1"/>
    </xf>
    <xf numFmtId="172" fontId="9" fillId="14" borderId="14" xfId="0" applyNumberFormat="1" applyFont="1" applyFill="1" applyBorder="1" applyAlignment="1" applyProtection="1">
      <alignment horizontal="right"/>
      <protection hidden="1"/>
    </xf>
    <xf numFmtId="172" fontId="9" fillId="14" borderId="16" xfId="0" applyNumberFormat="1" applyFont="1" applyFill="1" applyBorder="1" applyAlignment="1" applyProtection="1">
      <alignment horizontal="right"/>
      <protection hidden="1"/>
    </xf>
    <xf numFmtId="0" fontId="0" fillId="4" borderId="48" xfId="0" applyFill="1" applyBorder="1" applyAlignment="1" applyProtection="1">
      <alignment horizontal="center"/>
      <protection hidden="1"/>
    </xf>
    <xf numFmtId="0" fontId="0" fillId="4" borderId="37" xfId="0" applyFill="1" applyBorder="1" applyAlignment="1" applyProtection="1">
      <alignment horizontal="center"/>
      <protection hidden="1"/>
    </xf>
    <xf numFmtId="0" fontId="0" fillId="4" borderId="55" xfId="0" applyFill="1" applyBorder="1" applyAlignment="1" applyProtection="1">
      <alignment horizontal="center"/>
      <protection hidden="1"/>
    </xf>
    <xf numFmtId="2" fontId="30" fillId="5" borderId="15" xfId="0" applyNumberFormat="1" applyFont="1" applyFill="1" applyBorder="1" applyAlignment="1" applyProtection="1">
      <alignment horizontal="center"/>
      <protection hidden="1"/>
    </xf>
    <xf numFmtId="2" fontId="30" fillId="5" borderId="17" xfId="0" applyNumberFormat="1" applyFont="1" applyFill="1" applyBorder="1" applyAlignment="1" applyProtection="1">
      <alignment horizontal="center"/>
      <protection hidden="1"/>
    </xf>
    <xf numFmtId="173" fontId="0" fillId="0" borderId="0" xfId="0" applyNumberFormat="1" applyProtection="1">
      <protection hidden="1"/>
    </xf>
    <xf numFmtId="2" fontId="0" fillId="0" borderId="18" xfId="0" applyNumberFormat="1" applyFill="1" applyBorder="1" applyAlignment="1" applyProtection="1">
      <alignment horizontal="center" vertical="center"/>
      <protection hidden="1"/>
    </xf>
    <xf numFmtId="0" fontId="19" fillId="5" borderId="26" xfId="0" applyFont="1" applyFill="1" applyBorder="1" applyAlignment="1" applyProtection="1">
      <alignment horizontal="center"/>
      <protection hidden="1"/>
    </xf>
    <xf numFmtId="0" fontId="19" fillId="5" borderId="0" xfId="0" applyFont="1" applyFill="1" applyBorder="1" applyAlignment="1" applyProtection="1">
      <alignment horizontal="center"/>
      <protection hidden="1"/>
    </xf>
    <xf numFmtId="0" fontId="19" fillId="5" borderId="27" xfId="0" applyFont="1" applyFill="1" applyBorder="1" applyAlignment="1" applyProtection="1">
      <alignment horizontal="center"/>
      <protection hidden="1"/>
    </xf>
    <xf numFmtId="0" fontId="21" fillId="0" borderId="0" xfId="0" applyFont="1" applyFill="1" applyBorder="1" applyAlignment="1" applyProtection="1">
      <alignment horizontal="center"/>
      <protection hidden="1"/>
    </xf>
    <xf numFmtId="2" fontId="2" fillId="17" borderId="40" xfId="0" applyNumberFormat="1" applyFont="1" applyFill="1" applyBorder="1" applyAlignment="1" applyProtection="1">
      <alignment horizontal="center"/>
    </xf>
    <xf numFmtId="167" fontId="2" fillId="17" borderId="40" xfId="0" applyNumberFormat="1" applyFont="1" applyFill="1" applyBorder="1" applyAlignment="1" applyProtection="1">
      <alignment horizontal="center"/>
    </xf>
    <xf numFmtId="0" fontId="2" fillId="17" borderId="40" xfId="0" applyFont="1" applyFill="1" applyBorder="1" applyAlignment="1" applyProtection="1">
      <alignment horizontal="center"/>
    </xf>
    <xf numFmtId="2" fontId="22" fillId="10" borderId="19" xfId="0" applyNumberFormat="1" applyFont="1" applyFill="1" applyBorder="1" applyAlignment="1" applyProtection="1">
      <alignment horizontal="center"/>
    </xf>
    <xf numFmtId="2" fontId="0" fillId="2" borderId="11" xfId="0" applyNumberFormat="1" applyFill="1" applyBorder="1" applyProtection="1">
      <protection locked="0" hidden="1"/>
    </xf>
    <xf numFmtId="2" fontId="22" fillId="2" borderId="11" xfId="0" applyNumberFormat="1" applyFont="1" applyFill="1" applyBorder="1" applyAlignment="1" applyProtection="1">
      <alignment horizontal="center"/>
      <protection hidden="1"/>
    </xf>
    <xf numFmtId="2" fontId="22" fillId="10" borderId="11" xfId="0" applyNumberFormat="1" applyFont="1" applyFill="1" applyBorder="1" applyAlignment="1" applyProtection="1">
      <alignment horizontal="center"/>
      <protection locked="0"/>
    </xf>
    <xf numFmtId="2" fontId="22" fillId="0" borderId="11" xfId="0" applyNumberFormat="1" applyFont="1" applyBorder="1" applyAlignment="1" applyProtection="1">
      <alignment horizontal="center"/>
      <protection locked="0"/>
    </xf>
    <xf numFmtId="167" fontId="0" fillId="11" borderId="25" xfId="0" applyNumberFormat="1" applyFill="1" applyBorder="1" applyProtection="1">
      <protection locked="0"/>
    </xf>
    <xf numFmtId="0" fontId="0" fillId="0" borderId="0" xfId="0" applyAlignment="1" applyProtection="1">
      <alignment horizontal="right"/>
      <protection hidden="1"/>
    </xf>
    <xf numFmtId="2" fontId="0" fillId="0" borderId="19" xfId="0" applyNumberFormat="1" applyFill="1" applyBorder="1" applyAlignment="1" applyProtection="1">
      <alignment horizontal="center"/>
      <protection hidden="1"/>
    </xf>
    <xf numFmtId="2" fontId="0" fillId="0" borderId="25" xfId="0" applyNumberFormat="1" applyFill="1" applyBorder="1" applyAlignment="1" applyProtection="1">
      <alignment horizontal="center"/>
      <protection hidden="1"/>
    </xf>
    <xf numFmtId="2" fontId="0" fillId="0" borderId="11" xfId="0" applyNumberFormat="1" applyFill="1" applyBorder="1" applyAlignment="1" applyProtection="1">
      <alignment horizontal="center"/>
      <protection hidden="1"/>
    </xf>
    <xf numFmtId="2" fontId="0" fillId="0" borderId="30" xfId="0" applyNumberFormat="1" applyFill="1" applyBorder="1" applyAlignment="1" applyProtection="1">
      <alignment horizontal="center"/>
      <protection hidden="1"/>
    </xf>
    <xf numFmtId="2" fontId="22" fillId="0" borderId="0" xfId="0" applyNumberFormat="1" applyFont="1" applyBorder="1" applyAlignment="1" applyProtection="1">
      <alignment horizontal="center"/>
      <protection hidden="1"/>
    </xf>
    <xf numFmtId="2" fontId="22" fillId="0" borderId="0" xfId="0" applyNumberFormat="1" applyFont="1" applyBorder="1" applyAlignment="1" applyProtection="1">
      <alignment horizontal="center"/>
      <protection locked="0"/>
    </xf>
    <xf numFmtId="2" fontId="22" fillId="0" borderId="0" xfId="0" applyNumberFormat="1" applyFont="1" applyBorder="1" applyAlignment="1" applyProtection="1">
      <alignment horizontal="center"/>
      <protection locked="0" hidden="1"/>
    </xf>
    <xf numFmtId="2" fontId="22" fillId="0" borderId="0" xfId="0" applyNumberFormat="1" applyFont="1" applyBorder="1" applyProtection="1">
      <protection hidden="1"/>
    </xf>
    <xf numFmtId="169" fontId="35" fillId="15" borderId="28" xfId="0" applyNumberFormat="1" applyFont="1" applyFill="1" applyBorder="1" applyAlignment="1" applyProtection="1">
      <alignment horizontal="center"/>
      <protection hidden="1"/>
    </xf>
    <xf numFmtId="2" fontId="0" fillId="0" borderId="0" xfId="0" applyNumberFormat="1" applyFill="1" applyBorder="1" applyProtection="1">
      <protection hidden="1"/>
    </xf>
    <xf numFmtId="2" fontId="22" fillId="0" borderId="0" xfId="0" applyNumberFormat="1" applyFont="1" applyFill="1" applyBorder="1" applyAlignment="1" applyProtection="1">
      <alignment horizontal="center"/>
      <protection hidden="1"/>
    </xf>
    <xf numFmtId="2" fontId="28" fillId="9" borderId="4" xfId="0" applyNumberFormat="1" applyFont="1" applyFill="1" applyBorder="1" applyAlignment="1" applyProtection="1">
      <alignment horizontal="center"/>
      <protection hidden="1"/>
    </xf>
    <xf numFmtId="2" fontId="28" fillId="16" borderId="8" xfId="0" applyNumberFormat="1" applyFont="1" applyFill="1" applyBorder="1" applyAlignment="1" applyProtection="1">
      <alignment horizontal="center"/>
      <protection hidden="1"/>
    </xf>
    <xf numFmtId="2" fontId="28" fillId="9" borderId="38" xfId="0" applyNumberFormat="1" applyFont="1" applyFill="1" applyBorder="1" applyAlignment="1" applyProtection="1">
      <alignment horizontal="center"/>
      <protection hidden="1"/>
    </xf>
    <xf numFmtId="2" fontId="28" fillId="16" borderId="17" xfId="0" applyNumberFormat="1" applyFont="1" applyFill="1" applyBorder="1" applyAlignment="1" applyProtection="1">
      <alignment horizontal="center"/>
      <protection hidden="1"/>
    </xf>
    <xf numFmtId="2" fontId="28" fillId="16" borderId="9" xfId="0" applyNumberFormat="1" applyFont="1" applyFill="1" applyBorder="1" applyAlignment="1" applyProtection="1">
      <alignment horizontal="center"/>
      <protection hidden="1"/>
    </xf>
    <xf numFmtId="2" fontId="28" fillId="9" borderId="49" xfId="0" applyNumberFormat="1" applyFont="1" applyFill="1" applyBorder="1" applyAlignment="1" applyProtection="1">
      <alignment horizontal="center"/>
      <protection hidden="1"/>
    </xf>
    <xf numFmtId="0" fontId="3" fillId="3" borderId="19" xfId="0" applyFont="1" applyFill="1" applyBorder="1" applyAlignment="1" applyProtection="1">
      <alignment horizontal="center"/>
      <protection hidden="1"/>
    </xf>
    <xf numFmtId="0" fontId="3" fillId="13" borderId="25" xfId="0" applyFont="1" applyFill="1" applyBorder="1" applyAlignment="1" applyProtection="1">
      <alignment horizontal="center"/>
      <protection hidden="1"/>
    </xf>
    <xf numFmtId="2" fontId="2" fillId="17" borderId="13" xfId="0" applyNumberFormat="1" applyFont="1" applyFill="1" applyBorder="1" applyAlignment="1" applyProtection="1">
      <alignment horizontal="center"/>
      <protection hidden="1"/>
    </xf>
    <xf numFmtId="2" fontId="2" fillId="17" borderId="14" xfId="0" applyNumberFormat="1" applyFont="1" applyFill="1" applyBorder="1" applyAlignment="1" applyProtection="1">
      <alignment horizontal="center"/>
      <protection hidden="1"/>
    </xf>
    <xf numFmtId="2" fontId="2" fillId="17" borderId="16" xfId="0" applyNumberFormat="1" applyFont="1" applyFill="1" applyBorder="1" applyAlignment="1" applyProtection="1">
      <alignment horizontal="center"/>
      <protection hidden="1"/>
    </xf>
    <xf numFmtId="2" fontId="30" fillId="5" borderId="32" xfId="0" applyNumberFormat="1" applyFont="1" applyFill="1" applyBorder="1" applyAlignment="1" applyProtection="1">
      <alignment horizontal="center"/>
      <protection hidden="1"/>
    </xf>
    <xf numFmtId="2" fontId="30" fillId="5" borderId="7" xfId="0" applyNumberFormat="1" applyFont="1" applyFill="1" applyBorder="1" applyAlignment="1" applyProtection="1">
      <alignment horizontal="center"/>
      <protection hidden="1"/>
    </xf>
    <xf numFmtId="2" fontId="30" fillId="5" borderId="9" xfId="0" applyNumberFormat="1" applyFont="1" applyFill="1" applyBorder="1" applyAlignment="1" applyProtection="1">
      <alignment horizontal="center"/>
      <protection hidden="1"/>
    </xf>
    <xf numFmtId="172" fontId="9" fillId="14" borderId="13" xfId="0" applyNumberFormat="1" applyFont="1" applyFill="1" applyBorder="1" applyAlignment="1" applyProtection="1">
      <alignment horizontal="right"/>
      <protection hidden="1"/>
    </xf>
    <xf numFmtId="2" fontId="28" fillId="5" borderId="51" xfId="0" applyNumberFormat="1" applyFont="1" applyFill="1" applyBorder="1" applyAlignment="1" applyProtection="1">
      <alignment horizontal="center"/>
      <protection locked="0" hidden="1"/>
    </xf>
    <xf numFmtId="175" fontId="0" fillId="0" borderId="0" xfId="0" applyNumberFormat="1" applyProtection="1">
      <protection hidden="1"/>
    </xf>
    <xf numFmtId="0" fontId="3" fillId="5" borderId="33" xfId="0" applyFont="1" applyFill="1" applyBorder="1" applyAlignment="1" applyProtection="1">
      <alignment horizontal="center"/>
      <protection hidden="1"/>
    </xf>
    <xf numFmtId="0" fontId="4" fillId="4" borderId="57" xfId="0" applyNumberFormat="1" applyFont="1" applyFill="1" applyBorder="1" applyAlignment="1" applyProtection="1">
      <alignment horizontal="center"/>
      <protection hidden="1"/>
    </xf>
    <xf numFmtId="2" fontId="28" fillId="16" borderId="47" xfId="0" applyNumberFormat="1" applyFont="1" applyFill="1" applyBorder="1" applyAlignment="1" applyProtection="1">
      <alignment horizontal="center"/>
      <protection locked="0" hidden="1"/>
    </xf>
    <xf numFmtId="2" fontId="30" fillId="5" borderId="0" xfId="0" applyNumberFormat="1" applyFont="1" applyFill="1" applyBorder="1" applyAlignment="1" applyProtection="1">
      <alignment horizontal="center"/>
      <protection locked="0" hidden="1"/>
    </xf>
    <xf numFmtId="2" fontId="30" fillId="5" borderId="51" xfId="0" applyNumberFormat="1" applyFont="1" applyFill="1" applyBorder="1" applyAlignment="1" applyProtection="1">
      <alignment horizontal="center"/>
      <protection hidden="1"/>
    </xf>
    <xf numFmtId="0" fontId="10" fillId="2" borderId="23" xfId="0" applyFont="1" applyFill="1" applyBorder="1" applyAlignment="1" applyProtection="1">
      <alignment horizontal="center"/>
      <protection hidden="1"/>
    </xf>
    <xf numFmtId="0" fontId="10" fillId="2" borderId="12" xfId="0" applyFont="1" applyFill="1" applyBorder="1" applyAlignment="1" applyProtection="1">
      <alignment horizontal="center"/>
      <protection hidden="1"/>
    </xf>
    <xf numFmtId="0" fontId="7" fillId="0" borderId="0" xfId="0" applyFont="1" applyFill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2" fontId="0" fillId="0" borderId="58" xfId="0" applyNumberFormat="1" applyBorder="1" applyProtection="1">
      <protection hidden="1"/>
    </xf>
    <xf numFmtId="2" fontId="0" fillId="0" borderId="58" xfId="0" applyNumberFormat="1" applyFill="1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2" fontId="2" fillId="17" borderId="37" xfId="0" applyNumberFormat="1" applyFont="1" applyFill="1" applyBorder="1" applyAlignment="1" applyProtection="1">
      <alignment horizontal="center"/>
      <protection hidden="1"/>
    </xf>
    <xf numFmtId="14" fontId="0" fillId="0" borderId="3" xfId="0" applyNumberFormat="1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3" xfId="0" applyFill="1" applyBorder="1" applyAlignment="1" applyProtection="1">
      <alignment horizontal="center"/>
      <protection hidden="1"/>
    </xf>
    <xf numFmtId="14" fontId="0" fillId="0" borderId="59" xfId="0" applyNumberFormat="1" applyBorder="1" applyAlignment="1" applyProtection="1">
      <alignment horizontal="center"/>
      <protection hidden="1"/>
    </xf>
    <xf numFmtId="0" fontId="0" fillId="0" borderId="59" xfId="0" applyBorder="1" applyAlignment="1" applyProtection="1">
      <alignment horizontal="center"/>
      <protection hidden="1"/>
    </xf>
    <xf numFmtId="0" fontId="0" fillId="0" borderId="59" xfId="0" applyFill="1" applyBorder="1" applyAlignment="1" applyProtection="1">
      <alignment horizontal="center"/>
      <protection hidden="1"/>
    </xf>
    <xf numFmtId="174" fontId="0" fillId="0" borderId="60" xfId="0" applyNumberFormat="1" applyBorder="1" applyProtection="1">
      <protection hidden="1"/>
    </xf>
    <xf numFmtId="0" fontId="0" fillId="0" borderId="60" xfId="0" applyBorder="1" applyAlignment="1" applyProtection="1">
      <alignment horizontal="center"/>
      <protection hidden="1"/>
    </xf>
    <xf numFmtId="2" fontId="0" fillId="0" borderId="60" xfId="0" applyNumberFormat="1" applyFill="1" applyBorder="1" applyAlignment="1" applyProtection="1">
      <alignment horizontal="center"/>
      <protection hidden="1"/>
    </xf>
    <xf numFmtId="2" fontId="0" fillId="0" borderId="60" xfId="0" applyNumberFormat="1" applyBorder="1" applyAlignment="1" applyProtection="1">
      <alignment horizontal="center"/>
      <protection hidden="1"/>
    </xf>
    <xf numFmtId="174" fontId="19" fillId="6" borderId="60" xfId="0" applyNumberFormat="1" applyFont="1" applyFill="1" applyBorder="1" applyAlignment="1" applyProtection="1">
      <alignment horizontal="right"/>
      <protection hidden="1"/>
    </xf>
    <xf numFmtId="174" fontId="0" fillId="0" borderId="0" xfId="0" applyNumberFormat="1" applyBorder="1" applyProtection="1">
      <protection hidden="1"/>
    </xf>
    <xf numFmtId="2" fontId="30" fillId="5" borderId="48" xfId="0" applyNumberFormat="1" applyFont="1" applyFill="1" applyBorder="1" applyAlignment="1" applyProtection="1">
      <alignment horizontal="center"/>
      <protection locked="0" hidden="1"/>
    </xf>
    <xf numFmtId="2" fontId="30" fillId="5" borderId="48" xfId="0" applyNumberFormat="1" applyFont="1" applyFill="1" applyBorder="1" applyAlignment="1" applyProtection="1">
      <alignment horizontal="center"/>
      <protection hidden="1"/>
    </xf>
    <xf numFmtId="2" fontId="30" fillId="5" borderId="5" xfId="0" applyNumberFormat="1" applyFont="1" applyFill="1" applyBorder="1" applyAlignment="1" applyProtection="1">
      <alignment horizontal="center"/>
      <protection locked="0" hidden="1"/>
    </xf>
    <xf numFmtId="2" fontId="30" fillId="5" borderId="5" xfId="0" applyNumberFormat="1" applyFont="1" applyFill="1" applyBorder="1" applyAlignment="1" applyProtection="1">
      <alignment horizontal="center"/>
      <protection hidden="1"/>
    </xf>
    <xf numFmtId="2" fontId="30" fillId="5" borderId="61" xfId="0" applyNumberFormat="1" applyFont="1" applyFill="1" applyBorder="1" applyAlignment="1" applyProtection="1">
      <alignment horizontal="center"/>
      <protection locked="0" hidden="1"/>
    </xf>
    <xf numFmtId="0" fontId="5" fillId="2" borderId="33" xfId="0" applyNumberFormat="1" applyFont="1" applyFill="1" applyBorder="1" applyAlignment="1" applyProtection="1">
      <alignment horizontal="center"/>
      <protection hidden="1"/>
    </xf>
    <xf numFmtId="0" fontId="0" fillId="7" borderId="39" xfId="0" applyNumberFormat="1" applyFill="1" applyBorder="1" applyAlignment="1" applyProtection="1">
      <alignment horizontal="center"/>
      <protection locked="0" hidden="1"/>
    </xf>
    <xf numFmtId="0" fontId="0" fillId="7" borderId="36" xfId="0" applyNumberFormat="1" applyFill="1" applyBorder="1" applyAlignment="1" applyProtection="1">
      <alignment horizontal="center"/>
      <protection locked="0" hidden="1"/>
    </xf>
    <xf numFmtId="0" fontId="0" fillId="7" borderId="40" xfId="0" applyNumberFormat="1" applyFill="1" applyBorder="1" applyAlignment="1" applyProtection="1">
      <alignment horizontal="center"/>
      <protection locked="0" hidden="1"/>
    </xf>
    <xf numFmtId="2" fontId="32" fillId="5" borderId="57" xfId="0" applyNumberFormat="1" applyFont="1" applyFill="1" applyBorder="1" applyAlignment="1" applyProtection="1">
      <alignment horizontal="center"/>
      <protection hidden="1"/>
    </xf>
    <xf numFmtId="166" fontId="0" fillId="0" borderId="0" xfId="0" applyNumberFormat="1" applyProtection="1">
      <protection hidden="1"/>
    </xf>
    <xf numFmtId="0" fontId="0" fillId="0" borderId="12" xfId="0" applyBorder="1" applyProtection="1">
      <protection hidden="1"/>
    </xf>
    <xf numFmtId="0" fontId="0" fillId="0" borderId="39" xfId="0" applyBorder="1" applyAlignment="1" applyProtection="1">
      <alignment horizontal="center"/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9" fontId="0" fillId="0" borderId="50" xfId="2" applyFont="1" applyBorder="1" applyAlignment="1" applyProtection="1">
      <alignment horizontal="center"/>
      <protection hidden="1"/>
    </xf>
    <xf numFmtId="0" fontId="7" fillId="6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ill="1" applyBorder="1" applyProtection="1">
      <protection hidden="1"/>
    </xf>
    <xf numFmtId="0" fontId="23" fillId="10" borderId="11" xfId="0" applyNumberFormat="1" applyFont="1" applyFill="1" applyBorder="1" applyAlignment="1" applyProtection="1">
      <alignment horizontal="center"/>
      <protection locked="0" hidden="1"/>
    </xf>
    <xf numFmtId="2" fontId="4" fillId="0" borderId="0" xfId="0" applyNumberFormat="1" applyFont="1" applyFill="1" applyBorder="1" applyAlignment="1" applyProtection="1">
      <alignment horizontal="center"/>
      <protection hidden="1"/>
    </xf>
    <xf numFmtId="0" fontId="4" fillId="4" borderId="23" xfId="0" applyNumberFormat="1" applyFont="1" applyFill="1" applyBorder="1" applyAlignment="1" applyProtection="1">
      <alignment horizontal="center"/>
      <protection hidden="1"/>
    </xf>
    <xf numFmtId="2" fontId="28" fillId="5" borderId="6" xfId="0" applyNumberFormat="1" applyFont="1" applyFill="1" applyBorder="1" applyAlignment="1" applyProtection="1">
      <alignment horizontal="center"/>
      <protection hidden="1"/>
    </xf>
    <xf numFmtId="2" fontId="28" fillId="5" borderId="15" xfId="0" applyNumberFormat="1" applyFont="1" applyFill="1" applyBorder="1" applyAlignment="1" applyProtection="1">
      <alignment horizontal="center"/>
      <protection hidden="1"/>
    </xf>
    <xf numFmtId="2" fontId="28" fillId="5" borderId="17" xfId="0" applyNumberFormat="1" applyFont="1" applyFill="1" applyBorder="1" applyAlignment="1" applyProtection="1">
      <alignment horizontal="center"/>
      <protection hidden="1"/>
    </xf>
    <xf numFmtId="2" fontId="28" fillId="5" borderId="8" xfId="0" applyNumberFormat="1" applyFont="1" applyFill="1" applyBorder="1" applyAlignment="1" applyProtection="1">
      <alignment horizontal="center"/>
      <protection hidden="1"/>
    </xf>
    <xf numFmtId="2" fontId="28" fillId="5" borderId="47" xfId="0" applyNumberFormat="1" applyFont="1" applyFill="1" applyBorder="1" applyAlignment="1" applyProtection="1">
      <alignment horizontal="center"/>
      <protection hidden="1"/>
    </xf>
    <xf numFmtId="2" fontId="28" fillId="5" borderId="50" xfId="0" applyNumberFormat="1" applyFont="1" applyFill="1" applyBorder="1" applyAlignment="1" applyProtection="1">
      <alignment horizontal="center"/>
      <protection hidden="1"/>
    </xf>
    <xf numFmtId="0" fontId="9" fillId="16" borderId="42" xfId="0" applyNumberFormat="1" applyFont="1" applyFill="1" applyBorder="1" applyAlignment="1" applyProtection="1">
      <alignment horizontal="center"/>
      <protection hidden="1"/>
    </xf>
    <xf numFmtId="0" fontId="0" fillId="7" borderId="20" xfId="0" applyNumberFormat="1" applyFill="1" applyBorder="1" applyAlignment="1" applyProtection="1">
      <alignment horizontal="center"/>
      <protection locked="0" hidden="1"/>
    </xf>
    <xf numFmtId="2" fontId="30" fillId="5" borderId="41" xfId="0" applyNumberFormat="1" applyFont="1" applyFill="1" applyBorder="1" applyAlignment="1" applyProtection="1">
      <alignment horizontal="center"/>
      <protection locked="0" hidden="1"/>
    </xf>
    <xf numFmtId="2" fontId="30" fillId="5" borderId="63" xfId="0" applyNumberFormat="1" applyFont="1" applyFill="1" applyBorder="1" applyAlignment="1" applyProtection="1">
      <alignment horizontal="center"/>
      <protection locked="0" hidden="1"/>
    </xf>
    <xf numFmtId="2" fontId="30" fillId="5" borderId="37" xfId="0" applyNumberFormat="1" applyFont="1" applyFill="1" applyBorder="1" applyAlignment="1" applyProtection="1">
      <alignment horizontal="center"/>
      <protection locked="0" hidden="1"/>
    </xf>
    <xf numFmtId="2" fontId="30" fillId="5" borderId="55" xfId="0" applyNumberFormat="1" applyFont="1" applyFill="1" applyBorder="1" applyAlignment="1" applyProtection="1">
      <alignment horizontal="center"/>
      <protection locked="0" hidden="1"/>
    </xf>
    <xf numFmtId="0" fontId="0" fillId="4" borderId="32" xfId="0" applyFill="1" applyBorder="1" applyAlignment="1" applyProtection="1">
      <alignment horizontal="center"/>
      <protection hidden="1"/>
    </xf>
    <xf numFmtId="0" fontId="0" fillId="4" borderId="15" xfId="0" applyFill="1" applyBorder="1" applyAlignment="1" applyProtection="1">
      <alignment horizontal="center"/>
      <protection hidden="1"/>
    </xf>
    <xf numFmtId="0" fontId="0" fillId="4" borderId="17" xfId="0" applyFill="1" applyBorder="1" applyAlignment="1" applyProtection="1">
      <alignment horizontal="center"/>
      <protection hidden="1"/>
    </xf>
    <xf numFmtId="0" fontId="3" fillId="5" borderId="10" xfId="0" applyFont="1" applyFill="1" applyBorder="1" applyAlignment="1" applyProtection="1">
      <alignment horizontal="center"/>
      <protection hidden="1"/>
    </xf>
    <xf numFmtId="2" fontId="30" fillId="5" borderId="49" xfId="0" applyNumberFormat="1" applyFont="1" applyFill="1" applyBorder="1" applyAlignment="1" applyProtection="1">
      <alignment horizontal="center"/>
      <protection hidden="1"/>
    </xf>
    <xf numFmtId="0" fontId="36" fillId="18" borderId="3" xfId="0" applyFont="1" applyFill="1" applyBorder="1" applyAlignment="1" applyProtection="1">
      <alignment horizontal="center" vertical="center"/>
      <protection hidden="1"/>
    </xf>
    <xf numFmtId="2" fontId="9" fillId="18" borderId="6" xfId="0" applyNumberFormat="1" applyFont="1" applyFill="1" applyBorder="1" applyAlignment="1" applyProtection="1">
      <alignment horizontal="center"/>
      <protection hidden="1"/>
    </xf>
    <xf numFmtId="2" fontId="19" fillId="18" borderId="6" xfId="0" applyNumberFormat="1" applyFont="1" applyFill="1" applyBorder="1" applyAlignment="1" applyProtection="1">
      <alignment horizontal="center"/>
      <protection hidden="1"/>
    </xf>
    <xf numFmtId="2" fontId="19" fillId="4" borderId="6" xfId="0" applyNumberFormat="1" applyFont="1" applyFill="1" applyBorder="1" applyAlignment="1" applyProtection="1">
      <alignment horizontal="center"/>
      <protection hidden="1"/>
    </xf>
    <xf numFmtId="2" fontId="9" fillId="18" borderId="8" xfId="0" applyNumberFormat="1" applyFont="1" applyFill="1" applyBorder="1" applyAlignment="1" applyProtection="1">
      <alignment horizontal="center"/>
      <protection hidden="1"/>
    </xf>
    <xf numFmtId="2" fontId="19" fillId="18" borderId="8" xfId="0" applyNumberFormat="1" applyFont="1" applyFill="1" applyBorder="1" applyAlignment="1" applyProtection="1">
      <alignment horizontal="center"/>
      <protection hidden="1"/>
    </xf>
    <xf numFmtId="2" fontId="19" fillId="4" borderId="8" xfId="0" applyNumberFormat="1" applyFont="1" applyFill="1" applyBorder="1" applyAlignment="1" applyProtection="1">
      <alignment horizontal="center"/>
      <protection hidden="1"/>
    </xf>
    <xf numFmtId="2" fontId="19" fillId="7" borderId="15" xfId="0" applyNumberFormat="1" applyFont="1" applyFill="1" applyBorder="1" applyAlignment="1" applyProtection="1">
      <alignment horizontal="center"/>
      <protection hidden="1"/>
    </xf>
    <xf numFmtId="2" fontId="19" fillId="4" borderId="6" xfId="0" applyNumberFormat="1" applyFont="1" applyFill="1" applyBorder="1" applyAlignment="1" applyProtection="1">
      <alignment horizontal="center"/>
      <protection locked="0" hidden="1"/>
    </xf>
    <xf numFmtId="2" fontId="19" fillId="7" borderId="17" xfId="0" applyNumberFormat="1" applyFont="1" applyFill="1" applyBorder="1" applyAlignment="1" applyProtection="1">
      <alignment horizontal="center"/>
      <protection hidden="1"/>
    </xf>
    <xf numFmtId="2" fontId="19" fillId="4" borderId="8" xfId="0" applyNumberFormat="1" applyFont="1" applyFill="1" applyBorder="1" applyAlignment="1" applyProtection="1">
      <alignment horizontal="center"/>
      <protection locked="0" hidden="1"/>
    </xf>
    <xf numFmtId="0" fontId="9" fillId="2" borderId="14" xfId="0" applyFont="1" applyFill="1" applyBorder="1" applyAlignment="1" applyProtection="1">
      <alignment horizontal="center"/>
      <protection hidden="1"/>
    </xf>
    <xf numFmtId="0" fontId="9" fillId="2" borderId="16" xfId="0" applyFont="1" applyFill="1" applyBorder="1" applyAlignment="1" applyProtection="1">
      <alignment horizontal="center"/>
      <protection hidden="1"/>
    </xf>
    <xf numFmtId="2" fontId="19" fillId="7" borderId="47" xfId="0" applyNumberFormat="1" applyFont="1" applyFill="1" applyBorder="1" applyAlignment="1" applyProtection="1">
      <alignment horizontal="center"/>
      <protection hidden="1"/>
    </xf>
    <xf numFmtId="2" fontId="9" fillId="18" borderId="50" xfId="0" applyNumberFormat="1" applyFont="1" applyFill="1" applyBorder="1" applyAlignment="1" applyProtection="1">
      <alignment horizontal="center"/>
      <protection hidden="1"/>
    </xf>
    <xf numFmtId="2" fontId="19" fillId="18" borderId="50" xfId="0" applyNumberFormat="1" applyFont="1" applyFill="1" applyBorder="1" applyAlignment="1" applyProtection="1">
      <alignment horizontal="center"/>
      <protection hidden="1"/>
    </xf>
    <xf numFmtId="2" fontId="19" fillId="4" borderId="50" xfId="0" applyNumberFormat="1" applyFont="1" applyFill="1" applyBorder="1" applyAlignment="1" applyProtection="1">
      <alignment horizontal="center"/>
      <protection hidden="1"/>
    </xf>
    <xf numFmtId="0" fontId="9" fillId="2" borderId="54" xfId="0" applyFont="1" applyFill="1" applyBorder="1" applyAlignment="1" applyProtection="1">
      <alignment horizontal="center"/>
      <protection hidden="1"/>
    </xf>
    <xf numFmtId="0" fontId="28" fillId="2" borderId="19" xfId="0" applyFont="1" applyFill="1" applyBorder="1" applyAlignment="1" applyProtection="1">
      <alignment horizontal="center"/>
      <protection hidden="1"/>
    </xf>
    <xf numFmtId="0" fontId="6" fillId="7" borderId="65" xfId="0" applyFont="1" applyFill="1" applyBorder="1" applyAlignment="1" applyProtection="1">
      <alignment horizontal="center" vertical="center"/>
      <protection hidden="1"/>
    </xf>
    <xf numFmtId="0" fontId="6" fillId="4" borderId="59" xfId="0" applyFont="1" applyFill="1" applyBorder="1" applyAlignment="1" applyProtection="1">
      <alignment horizontal="center" vertical="center"/>
      <protection hidden="1"/>
    </xf>
    <xf numFmtId="0" fontId="36" fillId="18" borderId="59" xfId="0" applyFont="1" applyFill="1" applyBorder="1" applyAlignment="1" applyProtection="1">
      <alignment horizontal="center" vertical="center"/>
      <protection hidden="1"/>
    </xf>
    <xf numFmtId="0" fontId="6" fillId="18" borderId="59" xfId="0" applyFont="1" applyFill="1" applyBorder="1" applyAlignment="1" applyProtection="1">
      <alignment horizontal="center" vertical="center"/>
      <protection hidden="1"/>
    </xf>
    <xf numFmtId="0" fontId="6" fillId="2" borderId="59" xfId="0" applyFont="1" applyFill="1" applyBorder="1" applyAlignment="1" applyProtection="1">
      <alignment horizontal="center" vertical="center"/>
      <protection hidden="1"/>
    </xf>
    <xf numFmtId="0" fontId="28" fillId="2" borderId="30" xfId="0" applyFont="1" applyFill="1" applyBorder="1" applyAlignment="1" applyProtection="1">
      <alignment horizontal="center"/>
      <protection hidden="1"/>
    </xf>
    <xf numFmtId="2" fontId="38" fillId="17" borderId="11" xfId="0" applyNumberFormat="1" applyFont="1" applyFill="1" applyBorder="1" applyAlignment="1" applyProtection="1">
      <alignment horizontal="center"/>
      <protection hidden="1"/>
    </xf>
    <xf numFmtId="2" fontId="39" fillId="0" borderId="0" xfId="0" applyNumberFormat="1" applyFont="1" applyFill="1" applyBorder="1" applyAlignment="1" applyProtection="1">
      <alignment horizontal="center"/>
      <protection hidden="1"/>
    </xf>
    <xf numFmtId="0" fontId="37" fillId="4" borderId="23" xfId="0" applyFont="1" applyFill="1" applyBorder="1" applyAlignment="1" applyProtection="1">
      <alignment horizontal="center"/>
      <protection hidden="1"/>
    </xf>
    <xf numFmtId="0" fontId="37" fillId="4" borderId="12" xfId="0" applyFont="1" applyFill="1" applyBorder="1" applyAlignment="1" applyProtection="1">
      <alignment horizontal="center"/>
      <protection hidden="1"/>
    </xf>
    <xf numFmtId="2" fontId="18" fillId="0" borderId="0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176" fontId="19" fillId="2" borderId="50" xfId="0" applyNumberFormat="1" applyFont="1" applyFill="1" applyBorder="1" applyAlignment="1" applyProtection="1">
      <alignment horizontal="center"/>
      <protection hidden="1"/>
    </xf>
    <xf numFmtId="176" fontId="19" fillId="2" borderId="6" xfId="0" applyNumberFormat="1" applyFont="1" applyFill="1" applyBorder="1" applyAlignment="1" applyProtection="1">
      <alignment horizontal="center"/>
      <protection hidden="1"/>
    </xf>
    <xf numFmtId="176" fontId="19" fillId="2" borderId="8" xfId="0" applyNumberFormat="1" applyFont="1" applyFill="1" applyBorder="1" applyAlignment="1" applyProtection="1">
      <alignment horizontal="center"/>
      <protection hidden="1"/>
    </xf>
    <xf numFmtId="0" fontId="0" fillId="0" borderId="11" xfId="0" applyNumberFormat="1" applyBorder="1" applyAlignment="1" applyProtection="1">
      <alignment horizontal="center"/>
      <protection hidden="1"/>
    </xf>
    <xf numFmtId="0" fontId="0" fillId="0" borderId="11" xfId="0" applyNumberFormat="1" applyBorder="1" applyAlignment="1" applyProtection="1">
      <alignment horizontal="center"/>
      <protection locked="0"/>
    </xf>
    <xf numFmtId="2" fontId="0" fillId="3" borderId="42" xfId="0" applyNumberFormat="1" applyFill="1" applyBorder="1" applyAlignment="1" applyProtection="1">
      <alignment horizontal="center"/>
      <protection locked="0" hidden="1"/>
    </xf>
    <xf numFmtId="2" fontId="0" fillId="3" borderId="38" xfId="0" applyNumberFormat="1" applyFill="1" applyBorder="1" applyAlignment="1" applyProtection="1">
      <alignment horizontal="center"/>
      <protection locked="0" hidden="1"/>
    </xf>
    <xf numFmtId="2" fontId="0" fillId="3" borderId="56" xfId="0" applyNumberFormat="1" applyFill="1" applyBorder="1" applyAlignment="1" applyProtection="1">
      <alignment horizontal="center"/>
      <protection locked="0" hidden="1"/>
    </xf>
    <xf numFmtId="2" fontId="0" fillId="3" borderId="15" xfId="0" applyNumberFormat="1" applyFill="1" applyBorder="1" applyAlignment="1" applyProtection="1">
      <alignment horizontal="center"/>
      <protection hidden="1"/>
    </xf>
    <xf numFmtId="2" fontId="2" fillId="3" borderId="7" xfId="0" applyNumberFormat="1" applyFont="1" applyFill="1" applyBorder="1" applyAlignment="1" applyProtection="1">
      <alignment horizontal="center"/>
      <protection hidden="1"/>
    </xf>
    <xf numFmtId="2" fontId="0" fillId="3" borderId="17" xfId="0" applyNumberFormat="1" applyFill="1" applyBorder="1" applyAlignment="1" applyProtection="1">
      <alignment horizontal="center"/>
      <protection hidden="1"/>
    </xf>
    <xf numFmtId="2" fontId="2" fillId="3" borderId="9" xfId="0" applyNumberFormat="1" applyFont="1" applyFill="1" applyBorder="1" applyAlignment="1" applyProtection="1">
      <alignment horizontal="center"/>
      <protection hidden="1"/>
    </xf>
    <xf numFmtId="2" fontId="0" fillId="3" borderId="5" xfId="0" applyNumberFormat="1" applyFill="1" applyBorder="1" applyAlignment="1" applyProtection="1">
      <alignment horizontal="center"/>
      <protection locked="0" hidden="1"/>
    </xf>
    <xf numFmtId="0" fontId="20" fillId="10" borderId="18" xfId="0" applyFont="1" applyFill="1" applyBorder="1" applyAlignment="1" applyProtection="1">
      <alignment horizontal="center"/>
      <protection hidden="1"/>
    </xf>
    <xf numFmtId="9" fontId="0" fillId="0" borderId="0" xfId="0" applyNumberFormat="1" applyProtection="1"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14" fontId="10" fillId="2" borderId="23" xfId="0" applyNumberFormat="1" applyFont="1" applyFill="1" applyBorder="1" applyAlignment="1" applyProtection="1">
      <alignment horizontal="center"/>
      <protection hidden="1"/>
    </xf>
    <xf numFmtId="0" fontId="0" fillId="4" borderId="41" xfId="0" applyFill="1" applyBorder="1" applyAlignment="1" applyProtection="1">
      <alignment horizontal="center"/>
      <protection hidden="1"/>
    </xf>
    <xf numFmtId="2" fontId="30" fillId="5" borderId="32" xfId="0" applyNumberFormat="1" applyFont="1" applyFill="1" applyBorder="1" applyAlignment="1" applyProtection="1">
      <alignment horizontal="center"/>
      <protection locked="0" hidden="1"/>
    </xf>
    <xf numFmtId="2" fontId="30" fillId="5" borderId="15" xfId="0" applyNumberFormat="1" applyFont="1" applyFill="1" applyBorder="1" applyAlignment="1" applyProtection="1">
      <alignment horizontal="center"/>
      <protection locked="0" hidden="1"/>
    </xf>
    <xf numFmtId="2" fontId="30" fillId="5" borderId="17" xfId="0" applyNumberFormat="1" applyFont="1" applyFill="1" applyBorder="1" applyAlignment="1" applyProtection="1">
      <alignment horizontal="center"/>
      <protection locked="0" hidden="1"/>
    </xf>
    <xf numFmtId="2" fontId="30" fillId="5" borderId="49" xfId="0" applyNumberFormat="1" applyFont="1" applyFill="1" applyBorder="1" applyAlignment="1" applyProtection="1">
      <alignment horizontal="center"/>
      <protection locked="0" hidden="1"/>
    </xf>
    <xf numFmtId="2" fontId="2" fillId="17" borderId="0" xfId="0" applyNumberFormat="1" applyFont="1" applyFill="1" applyBorder="1" applyAlignment="1" applyProtection="1">
      <alignment horizontal="center"/>
      <protection hidden="1"/>
    </xf>
    <xf numFmtId="2" fontId="33" fillId="17" borderId="0" xfId="0" applyNumberFormat="1" applyFont="1" applyFill="1" applyBorder="1" applyAlignment="1" applyProtection="1">
      <alignment horizontal="center"/>
      <protection hidden="1"/>
    </xf>
    <xf numFmtId="9" fontId="0" fillId="0" borderId="0" xfId="2" applyFont="1" applyBorder="1" applyAlignment="1" applyProtection="1">
      <alignment horizontal="center"/>
      <protection hidden="1"/>
    </xf>
    <xf numFmtId="2" fontId="18" fillId="3" borderId="47" xfId="0" applyNumberFormat="1" applyFont="1" applyFill="1" applyBorder="1" applyAlignment="1" applyProtection="1">
      <alignment horizontal="center"/>
      <protection hidden="1"/>
    </xf>
    <xf numFmtId="0" fontId="5" fillId="2" borderId="23" xfId="0" applyFont="1" applyFill="1" applyBorder="1" applyAlignment="1" applyProtection="1">
      <alignment horizontal="center"/>
      <protection hidden="1"/>
    </xf>
    <xf numFmtId="0" fontId="5" fillId="2" borderId="24" xfId="0" applyFont="1" applyFill="1" applyBorder="1" applyAlignment="1" applyProtection="1">
      <alignment horizontal="center"/>
      <protection hidden="1"/>
    </xf>
    <xf numFmtId="0" fontId="5" fillId="2" borderId="12" xfId="0" applyFont="1" applyFill="1" applyBorder="1" applyAlignment="1" applyProtection="1">
      <alignment horizontal="center"/>
      <protection hidden="1"/>
    </xf>
    <xf numFmtId="0" fontId="6" fillId="10" borderId="35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2" fontId="37" fillId="0" borderId="0" xfId="0" applyNumberFormat="1" applyFont="1" applyFill="1" applyBorder="1" applyAlignment="1" applyProtection="1">
      <alignment horizontal="center"/>
      <protection hidden="1"/>
    </xf>
    <xf numFmtId="2" fontId="11" fillId="3" borderId="50" xfId="0" applyNumberFormat="1" applyFont="1" applyFill="1" applyBorder="1" applyAlignment="1" applyProtection="1">
      <alignment horizontal="center"/>
      <protection hidden="1"/>
    </xf>
    <xf numFmtId="2" fontId="11" fillId="3" borderId="51" xfId="0" applyNumberFormat="1" applyFont="1" applyFill="1" applyBorder="1" applyAlignment="1" applyProtection="1">
      <alignment horizontal="center"/>
      <protection hidden="1"/>
    </xf>
    <xf numFmtId="2" fontId="11" fillId="3" borderId="6" xfId="0" applyNumberFormat="1" applyFont="1" applyFill="1" applyBorder="1" applyAlignment="1" applyProtection="1">
      <alignment horizontal="center"/>
      <protection hidden="1"/>
    </xf>
    <xf numFmtId="2" fontId="11" fillId="3" borderId="7" xfId="0" applyNumberFormat="1" applyFont="1" applyFill="1" applyBorder="1" applyAlignment="1" applyProtection="1">
      <alignment horizontal="center"/>
      <protection hidden="1"/>
    </xf>
    <xf numFmtId="2" fontId="11" fillId="3" borderId="8" xfId="0" applyNumberFormat="1" applyFont="1" applyFill="1" applyBorder="1" applyAlignment="1" applyProtection="1">
      <alignment horizontal="center"/>
      <protection hidden="1"/>
    </xf>
    <xf numFmtId="2" fontId="11" fillId="3" borderId="9" xfId="0" applyNumberFormat="1" applyFont="1" applyFill="1" applyBorder="1" applyAlignment="1" applyProtection="1">
      <alignment horizontal="center"/>
      <protection hidden="1"/>
    </xf>
    <xf numFmtId="2" fontId="11" fillId="17" borderId="32" xfId="0" applyNumberFormat="1" applyFont="1" applyFill="1" applyBorder="1" applyAlignment="1" applyProtection="1">
      <alignment horizontal="center"/>
      <protection hidden="1"/>
    </xf>
    <xf numFmtId="2" fontId="11" fillId="17" borderId="4" xfId="0" applyNumberFormat="1" applyFont="1" applyFill="1" applyBorder="1" applyAlignment="1" applyProtection="1">
      <alignment horizontal="center"/>
      <protection hidden="1"/>
    </xf>
    <xf numFmtId="2" fontId="11" fillId="17" borderId="5" xfId="0" applyNumberFormat="1" applyFont="1" applyFill="1" applyBorder="1" applyAlignment="1" applyProtection="1">
      <alignment horizontal="center"/>
      <protection hidden="1"/>
    </xf>
    <xf numFmtId="2" fontId="11" fillId="0" borderId="0" xfId="0" applyNumberFormat="1" applyFont="1" applyFill="1" applyBorder="1" applyAlignment="1" applyProtection="1">
      <alignment horizontal="center"/>
      <protection hidden="1"/>
    </xf>
    <xf numFmtId="0" fontId="11" fillId="4" borderId="32" xfId="0" applyFont="1" applyFill="1" applyBorder="1" applyAlignment="1" applyProtection="1">
      <alignment horizontal="center"/>
      <protection hidden="1"/>
    </xf>
    <xf numFmtId="0" fontId="11" fillId="4" borderId="5" xfId="0" applyFont="1" applyFill="1" applyBorder="1" applyAlignment="1" applyProtection="1">
      <alignment horizontal="center"/>
      <protection hidden="1"/>
    </xf>
    <xf numFmtId="2" fontId="11" fillId="0" borderId="0" xfId="0" applyNumberFormat="1" applyFont="1" applyFill="1" applyBorder="1" applyProtection="1">
      <protection hidden="1"/>
    </xf>
    <xf numFmtId="0" fontId="11" fillId="5" borderId="32" xfId="0" applyFont="1" applyFill="1" applyBorder="1" applyAlignment="1" applyProtection="1">
      <alignment horizontal="center"/>
      <protection hidden="1"/>
    </xf>
    <xf numFmtId="2" fontId="11" fillId="17" borderId="15" xfId="0" applyNumberFormat="1" applyFont="1" applyFill="1" applyBorder="1" applyAlignment="1" applyProtection="1">
      <alignment horizontal="center"/>
      <protection hidden="1"/>
    </xf>
    <xf numFmtId="2" fontId="11" fillId="17" borderId="6" xfId="0" applyNumberFormat="1" applyFont="1" applyFill="1" applyBorder="1" applyAlignment="1" applyProtection="1">
      <alignment horizontal="center"/>
      <protection hidden="1"/>
    </xf>
    <xf numFmtId="2" fontId="11" fillId="17" borderId="7" xfId="0" applyNumberFormat="1" applyFont="1" applyFill="1" applyBorder="1" applyAlignment="1" applyProtection="1">
      <alignment horizontal="center"/>
      <protection hidden="1"/>
    </xf>
    <xf numFmtId="0" fontId="11" fillId="4" borderId="15" xfId="0" applyFont="1" applyFill="1" applyBorder="1" applyAlignment="1" applyProtection="1">
      <alignment horizontal="center"/>
      <protection hidden="1"/>
    </xf>
    <xf numFmtId="0" fontId="11" fillId="4" borderId="7" xfId="0" applyFont="1" applyFill="1" applyBorder="1" applyAlignment="1" applyProtection="1">
      <alignment horizontal="center"/>
      <protection hidden="1"/>
    </xf>
    <xf numFmtId="0" fontId="11" fillId="5" borderId="15" xfId="0" applyFont="1" applyFill="1" applyBorder="1" applyAlignment="1" applyProtection="1">
      <alignment horizontal="center"/>
      <protection hidden="1"/>
    </xf>
    <xf numFmtId="2" fontId="11" fillId="17" borderId="17" xfId="0" applyNumberFormat="1" applyFont="1" applyFill="1" applyBorder="1" applyAlignment="1" applyProtection="1">
      <alignment horizontal="center"/>
      <protection hidden="1"/>
    </xf>
    <xf numFmtId="2" fontId="11" fillId="17" borderId="8" xfId="0" applyNumberFormat="1" applyFont="1" applyFill="1" applyBorder="1" applyAlignment="1" applyProtection="1">
      <alignment horizontal="center"/>
      <protection hidden="1"/>
    </xf>
    <xf numFmtId="2" fontId="11" fillId="17" borderId="9" xfId="0" applyNumberFormat="1" applyFont="1" applyFill="1" applyBorder="1" applyAlignment="1" applyProtection="1">
      <alignment horizontal="center"/>
      <protection hidden="1"/>
    </xf>
    <xf numFmtId="0" fontId="11" fillId="4" borderId="17" xfId="0" applyFont="1" applyFill="1" applyBorder="1" applyAlignment="1" applyProtection="1">
      <alignment horizontal="center"/>
      <protection hidden="1"/>
    </xf>
    <xf numFmtId="0" fontId="11" fillId="4" borderId="9" xfId="0" applyFont="1" applyFill="1" applyBorder="1" applyAlignment="1" applyProtection="1">
      <alignment horizontal="center"/>
      <protection hidden="1"/>
    </xf>
    <xf numFmtId="0" fontId="11" fillId="5" borderId="17" xfId="0" applyFont="1" applyFill="1" applyBorder="1" applyAlignment="1" applyProtection="1">
      <alignment horizontal="center"/>
      <protection hidden="1"/>
    </xf>
    <xf numFmtId="2" fontId="11" fillId="10" borderId="32" xfId="0" applyNumberFormat="1" applyFont="1" applyFill="1" applyBorder="1" applyAlignment="1" applyProtection="1">
      <alignment horizontal="center"/>
      <protection hidden="1"/>
    </xf>
    <xf numFmtId="2" fontId="11" fillId="10" borderId="4" xfId="0" applyNumberFormat="1" applyFont="1" applyFill="1" applyBorder="1" applyAlignment="1" applyProtection="1">
      <alignment horizontal="center"/>
      <protection hidden="1"/>
    </xf>
    <xf numFmtId="2" fontId="11" fillId="10" borderId="15" xfId="0" applyNumberFormat="1" applyFont="1" applyFill="1" applyBorder="1" applyAlignment="1" applyProtection="1">
      <alignment horizontal="center"/>
      <protection hidden="1"/>
    </xf>
    <xf numFmtId="2" fontId="11" fillId="10" borderId="6" xfId="0" applyNumberFormat="1" applyFont="1" applyFill="1" applyBorder="1" applyAlignment="1" applyProtection="1">
      <alignment horizontal="center"/>
      <protection hidden="1"/>
    </xf>
    <xf numFmtId="2" fontId="11" fillId="10" borderId="17" xfId="0" applyNumberFormat="1" applyFont="1" applyFill="1" applyBorder="1" applyAlignment="1" applyProtection="1">
      <alignment horizontal="center"/>
      <protection hidden="1"/>
    </xf>
    <xf numFmtId="2" fontId="11" fillId="10" borderId="8" xfId="0" applyNumberFormat="1" applyFont="1" applyFill="1" applyBorder="1" applyAlignment="1" applyProtection="1">
      <alignment horizontal="center"/>
      <protection hidden="1"/>
    </xf>
    <xf numFmtId="0" fontId="41" fillId="15" borderId="30" xfId="0" applyFont="1" applyFill="1" applyBorder="1" applyAlignment="1" applyProtection="1">
      <alignment horizontal="center"/>
      <protection hidden="1"/>
    </xf>
    <xf numFmtId="0" fontId="40" fillId="15" borderId="54" xfId="0" applyFont="1" applyFill="1" applyBorder="1" applyAlignment="1" applyProtection="1">
      <alignment horizontal="center"/>
      <protection hidden="1"/>
    </xf>
    <xf numFmtId="0" fontId="40" fillId="15" borderId="14" xfId="0" applyFont="1" applyFill="1" applyBorder="1" applyAlignment="1" applyProtection="1">
      <alignment horizontal="center"/>
      <protection hidden="1"/>
    </xf>
    <xf numFmtId="0" fontId="19" fillId="19" borderId="26" xfId="0" applyFont="1" applyFill="1" applyBorder="1" applyAlignment="1" applyProtection="1">
      <alignment horizontal="center"/>
      <protection hidden="1"/>
    </xf>
    <xf numFmtId="0" fontId="19" fillId="19" borderId="0" xfId="0" applyFont="1" applyFill="1" applyBorder="1" applyAlignment="1" applyProtection="1">
      <alignment horizontal="center"/>
      <protection hidden="1"/>
    </xf>
    <xf numFmtId="0" fontId="19" fillId="19" borderId="27" xfId="0" applyFont="1" applyFill="1" applyBorder="1" applyAlignment="1" applyProtection="1">
      <alignment horizontal="center"/>
      <protection hidden="1"/>
    </xf>
    <xf numFmtId="2" fontId="0" fillId="19" borderId="11" xfId="0" applyNumberFormat="1" applyFill="1" applyBorder="1" applyAlignment="1" applyProtection="1">
      <alignment horizontal="center"/>
      <protection locked="0"/>
    </xf>
    <xf numFmtId="167" fontId="0" fillId="19" borderId="11" xfId="0" applyNumberFormat="1" applyFill="1" applyBorder="1" applyAlignment="1" applyProtection="1">
      <alignment horizontal="center"/>
      <protection locked="0"/>
    </xf>
    <xf numFmtId="0" fontId="11" fillId="5" borderId="6" xfId="0" applyFont="1" applyFill="1" applyBorder="1" applyAlignment="1" applyProtection="1">
      <alignment horizontal="center"/>
      <protection hidden="1"/>
    </xf>
    <xf numFmtId="0" fontId="11" fillId="5" borderId="4" xfId="0" applyFont="1" applyFill="1" applyBorder="1" applyAlignment="1" applyProtection="1">
      <alignment horizontal="center"/>
      <protection hidden="1"/>
    </xf>
    <xf numFmtId="0" fontId="11" fillId="5" borderId="8" xfId="0" applyFont="1" applyFill="1" applyBorder="1" applyAlignment="1" applyProtection="1">
      <alignment horizontal="center"/>
      <protection hidden="1"/>
    </xf>
    <xf numFmtId="0" fontId="9" fillId="2" borderId="11" xfId="0" applyFont="1" applyFill="1" applyBorder="1" applyAlignment="1" applyProtection="1">
      <alignment horizontal="center"/>
      <protection hidden="1"/>
    </xf>
    <xf numFmtId="2" fontId="0" fillId="0" borderId="11" xfId="0" applyNumberFormat="1" applyBorder="1" applyAlignment="1" applyProtection="1">
      <alignment horizont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0" fillId="0" borderId="0" xfId="0" applyNumberFormat="1" applyBorder="1" applyAlignment="1" applyProtection="1">
      <alignment horizontal="center"/>
      <protection locked="0"/>
    </xf>
    <xf numFmtId="0" fontId="0" fillId="0" borderId="0" xfId="0" applyNumberFormat="1" applyFill="1" applyProtection="1">
      <protection hidden="1"/>
    </xf>
    <xf numFmtId="171" fontId="28" fillId="0" borderId="0" xfId="0" applyNumberFormat="1" applyFont="1" applyFill="1" applyBorder="1" applyAlignment="1" applyProtection="1">
      <alignment horizontal="center"/>
      <protection hidden="1"/>
    </xf>
    <xf numFmtId="171" fontId="28" fillId="0" borderId="0" xfId="0" applyNumberFormat="1" applyFont="1" applyFill="1" applyBorder="1" applyAlignment="1" applyProtection="1">
      <alignment horizontal="center"/>
      <protection locked="0" hidden="1"/>
    </xf>
    <xf numFmtId="164" fontId="42" fillId="2" borderId="36" xfId="0" applyNumberFormat="1" applyFont="1" applyFill="1" applyBorder="1" applyAlignment="1" applyProtection="1">
      <alignment horizontal="center"/>
      <protection locked="0" hidden="1"/>
    </xf>
    <xf numFmtId="164" fontId="42" fillId="2" borderId="20" xfId="0" applyNumberFormat="1" applyFont="1" applyFill="1" applyBorder="1" applyAlignment="1" applyProtection="1">
      <alignment horizontal="center"/>
      <protection locked="0" hidden="1"/>
    </xf>
    <xf numFmtId="164" fontId="42" fillId="2" borderId="40" xfId="0" applyNumberFormat="1" applyFont="1" applyFill="1" applyBorder="1" applyAlignment="1" applyProtection="1">
      <alignment horizontal="center"/>
      <protection locked="0" hidden="1"/>
    </xf>
    <xf numFmtId="0" fontId="5" fillId="2" borderId="11" xfId="0" applyNumberFormat="1" applyFont="1" applyFill="1" applyBorder="1" applyAlignment="1" applyProtection="1">
      <alignment horizontal="center"/>
      <protection hidden="1"/>
    </xf>
    <xf numFmtId="0" fontId="0" fillId="20" borderId="32" xfId="0" applyFill="1" applyBorder="1" applyProtection="1">
      <protection hidden="1"/>
    </xf>
    <xf numFmtId="2" fontId="0" fillId="20" borderId="5" xfId="0" applyNumberFormat="1" applyFill="1" applyBorder="1" applyAlignment="1" applyProtection="1">
      <alignment horizontal="center"/>
      <protection hidden="1"/>
    </xf>
    <xf numFmtId="0" fontId="0" fillId="20" borderId="17" xfId="0" applyFill="1" applyBorder="1" applyProtection="1">
      <protection hidden="1"/>
    </xf>
    <xf numFmtId="2" fontId="0" fillId="20" borderId="9" xfId="0" applyNumberFormat="1" applyFill="1" applyBorder="1" applyAlignment="1" applyProtection="1">
      <alignment horizontal="center"/>
      <protection hidden="1"/>
    </xf>
    <xf numFmtId="0" fontId="28" fillId="0" borderId="0" xfId="0" applyFont="1" applyFill="1" applyBorder="1" applyAlignment="1" applyProtection="1">
      <alignment horizontal="center"/>
      <protection hidden="1"/>
    </xf>
    <xf numFmtId="0" fontId="0" fillId="20" borderId="9" xfId="0" applyNumberFormat="1" applyFill="1" applyBorder="1" applyAlignment="1" applyProtection="1">
      <alignment horizontal="center"/>
      <protection hidden="1"/>
    </xf>
    <xf numFmtId="0" fontId="0" fillId="20" borderId="32" xfId="0" applyFill="1" applyBorder="1" applyAlignment="1" applyProtection="1">
      <alignment horizontal="left"/>
      <protection hidden="1"/>
    </xf>
    <xf numFmtId="2" fontId="19" fillId="20" borderId="5" xfId="0" applyNumberFormat="1" applyFont="1" applyFill="1" applyBorder="1" applyAlignment="1" applyProtection="1">
      <alignment horizontal="center"/>
      <protection hidden="1"/>
    </xf>
    <xf numFmtId="0" fontId="19" fillId="20" borderId="15" xfId="0" applyFont="1" applyFill="1" applyBorder="1" applyAlignment="1" applyProtection="1">
      <alignment horizontal="left"/>
      <protection hidden="1"/>
    </xf>
    <xf numFmtId="2" fontId="19" fillId="20" borderId="7" xfId="0" applyNumberFormat="1" applyFont="1" applyFill="1" applyBorder="1" applyAlignment="1" applyProtection="1">
      <alignment horizontal="center"/>
      <protection hidden="1"/>
    </xf>
    <xf numFmtId="0" fontId="0" fillId="20" borderId="15" xfId="0" applyFill="1" applyBorder="1" applyAlignment="1" applyProtection="1">
      <alignment horizontal="left"/>
      <protection hidden="1"/>
    </xf>
    <xf numFmtId="0" fontId="0" fillId="20" borderId="15" xfId="0" applyFill="1" applyBorder="1" applyProtection="1">
      <protection hidden="1"/>
    </xf>
    <xf numFmtId="2" fontId="0" fillId="20" borderId="7" xfId="0" applyNumberFormat="1" applyFill="1" applyBorder="1" applyAlignment="1" applyProtection="1">
      <alignment horizontal="center"/>
      <protection hidden="1"/>
    </xf>
    <xf numFmtId="9" fontId="4" fillId="2" borderId="11" xfId="0" applyNumberFormat="1" applyFont="1" applyFill="1" applyBorder="1" applyAlignment="1" applyProtection="1">
      <alignment horizontal="center"/>
      <protection locked="0"/>
    </xf>
    <xf numFmtId="2" fontId="0" fillId="20" borderId="15" xfId="0" applyNumberFormat="1" applyFill="1" applyBorder="1" applyAlignment="1" applyProtection="1">
      <alignment horizontal="center"/>
      <protection hidden="1"/>
    </xf>
    <xf numFmtId="2" fontId="0" fillId="20" borderId="17" xfId="0" applyNumberFormat="1" applyFill="1" applyBorder="1" applyAlignment="1" applyProtection="1">
      <alignment horizontal="center"/>
      <protection hidden="1"/>
    </xf>
    <xf numFmtId="2" fontId="0" fillId="20" borderId="6" xfId="0" applyNumberFormat="1" applyFill="1" applyBorder="1" applyAlignment="1" applyProtection="1">
      <alignment horizontal="center"/>
      <protection hidden="1"/>
    </xf>
    <xf numFmtId="2" fontId="0" fillId="20" borderId="8" xfId="0" applyNumberFormat="1" applyFill="1" applyBorder="1" applyAlignment="1" applyProtection="1">
      <alignment horizontal="center"/>
      <protection hidden="1"/>
    </xf>
    <xf numFmtId="0" fontId="0" fillId="20" borderId="1" xfId="0" applyFill="1" applyBorder="1" applyAlignment="1" applyProtection="1">
      <alignment horizontal="center"/>
      <protection hidden="1"/>
    </xf>
    <xf numFmtId="0" fontId="0" fillId="20" borderId="3" xfId="0" applyFill="1" applyBorder="1" applyAlignment="1" applyProtection="1">
      <alignment horizontal="center"/>
      <protection hidden="1"/>
    </xf>
    <xf numFmtId="0" fontId="0" fillId="20" borderId="2" xfId="0" applyFill="1" applyBorder="1" applyAlignment="1" applyProtection="1">
      <alignment horizontal="center"/>
      <protection hidden="1"/>
    </xf>
    <xf numFmtId="2" fontId="0" fillId="20" borderId="32" xfId="0" applyNumberFormat="1" applyFill="1" applyBorder="1" applyAlignment="1" applyProtection="1">
      <alignment horizontal="center"/>
      <protection hidden="1"/>
    </xf>
    <xf numFmtId="2" fontId="0" fillId="20" borderId="4" xfId="0" applyNumberFormat="1" applyFill="1" applyBorder="1" applyAlignment="1" applyProtection="1">
      <alignment horizontal="center"/>
      <protection hidden="1"/>
    </xf>
    <xf numFmtId="0" fontId="6" fillId="17" borderId="2" xfId="0" applyFont="1" applyFill="1" applyBorder="1" applyAlignment="1" applyProtection="1">
      <alignment horizontal="center" vertical="center"/>
      <protection hidden="1"/>
    </xf>
    <xf numFmtId="0" fontId="6" fillId="17" borderId="61" xfId="0" applyFont="1" applyFill="1" applyBorder="1" applyAlignment="1" applyProtection="1">
      <alignment horizontal="center" vertical="center"/>
      <protection hidden="1"/>
    </xf>
    <xf numFmtId="2" fontId="30" fillId="5" borderId="41" xfId="0" applyNumberFormat="1" applyFont="1" applyFill="1" applyBorder="1" applyAlignment="1" applyProtection="1">
      <alignment horizontal="center"/>
      <protection hidden="1"/>
    </xf>
    <xf numFmtId="2" fontId="30" fillId="5" borderId="37" xfId="0" applyNumberFormat="1" applyFont="1" applyFill="1" applyBorder="1" applyAlignment="1" applyProtection="1">
      <alignment horizontal="center"/>
      <protection hidden="1"/>
    </xf>
    <xf numFmtId="2" fontId="30" fillId="5" borderId="55" xfId="0" applyNumberFormat="1" applyFont="1" applyFill="1" applyBorder="1" applyAlignment="1" applyProtection="1">
      <alignment horizontal="center"/>
      <protection hidden="1"/>
    </xf>
    <xf numFmtId="2" fontId="2" fillId="17" borderId="30" xfId="0" applyNumberFormat="1" applyFont="1" applyFill="1" applyBorder="1" applyAlignment="1" applyProtection="1">
      <alignment horizontal="center"/>
      <protection hidden="1"/>
    </xf>
    <xf numFmtId="2" fontId="2" fillId="17" borderId="39" xfId="0" applyNumberFormat="1" applyFont="1" applyFill="1" applyBorder="1" applyAlignment="1" applyProtection="1">
      <alignment horizontal="center"/>
      <protection hidden="1"/>
    </xf>
    <xf numFmtId="2" fontId="2" fillId="17" borderId="36" xfId="0" applyNumberFormat="1" applyFont="1" applyFill="1" applyBorder="1" applyAlignment="1" applyProtection="1">
      <alignment horizontal="center"/>
      <protection hidden="1"/>
    </xf>
    <xf numFmtId="2" fontId="2" fillId="17" borderId="40" xfId="0" applyNumberFormat="1" applyFont="1" applyFill="1" applyBorder="1" applyAlignment="1" applyProtection="1">
      <alignment horizontal="center"/>
      <protection hidden="1"/>
    </xf>
    <xf numFmtId="0" fontId="0" fillId="10" borderId="0" xfId="0" applyFill="1" applyAlignment="1">
      <alignment horizontal="center"/>
    </xf>
    <xf numFmtId="0" fontId="41" fillId="15" borderId="0" xfId="0" applyFont="1" applyFill="1" applyAlignment="1">
      <alignment horizontal="center"/>
    </xf>
    <xf numFmtId="164" fontId="19" fillId="8" borderId="46" xfId="0" applyNumberFormat="1" applyFont="1" applyFill="1" applyBorder="1" applyAlignment="1" applyProtection="1">
      <alignment horizontal="center"/>
      <protection locked="0" hidden="1"/>
    </xf>
    <xf numFmtId="164" fontId="19" fillId="8" borderId="67" xfId="0" applyNumberFormat="1" applyFont="1" applyFill="1" applyBorder="1" applyAlignment="1" applyProtection="1">
      <alignment horizontal="center"/>
      <protection locked="0" hidden="1"/>
    </xf>
    <xf numFmtId="0" fontId="19" fillId="8" borderId="67" xfId="0" applyNumberFormat="1" applyFont="1" applyFill="1" applyBorder="1" applyAlignment="1" applyProtection="1">
      <alignment horizontal="center"/>
      <protection locked="0" hidden="1"/>
    </xf>
    <xf numFmtId="0" fontId="5" fillId="15" borderId="5" xfId="0" applyFont="1" applyFill="1" applyBorder="1" applyAlignment="1" applyProtection="1">
      <alignment horizontal="center"/>
      <protection hidden="1"/>
    </xf>
    <xf numFmtId="172" fontId="9" fillId="14" borderId="7" xfId="0" applyNumberFormat="1" applyFont="1" applyFill="1" applyBorder="1" applyAlignment="1" applyProtection="1">
      <alignment horizontal="right"/>
      <protection hidden="1"/>
    </xf>
    <xf numFmtId="172" fontId="9" fillId="14" borderId="9" xfId="0" applyNumberFormat="1" applyFont="1" applyFill="1" applyBorder="1" applyAlignment="1" applyProtection="1">
      <alignment horizontal="right"/>
      <protection hidden="1"/>
    </xf>
    <xf numFmtId="0" fontId="5" fillId="2" borderId="70" xfId="0" applyFont="1" applyFill="1" applyBorder="1" applyAlignment="1" applyProtection="1">
      <alignment horizontal="center"/>
      <protection hidden="1"/>
    </xf>
    <xf numFmtId="0" fontId="5" fillId="2" borderId="60" xfId="0" applyFont="1" applyFill="1" applyBorder="1" applyAlignment="1" applyProtection="1">
      <alignment horizontal="center"/>
      <protection hidden="1"/>
    </xf>
    <xf numFmtId="0" fontId="5" fillId="2" borderId="71" xfId="0" applyFont="1" applyFill="1" applyBorder="1" applyAlignment="1" applyProtection="1">
      <alignment horizontal="center"/>
      <protection hidden="1"/>
    </xf>
    <xf numFmtId="172" fontId="9" fillId="14" borderId="51" xfId="0" applyNumberFormat="1" applyFont="1" applyFill="1" applyBorder="1" applyAlignment="1" applyProtection="1">
      <alignment horizontal="right"/>
      <protection hidden="1"/>
    </xf>
    <xf numFmtId="172" fontId="9" fillId="0" borderId="0" xfId="0" applyNumberFormat="1" applyFont="1" applyFill="1" applyBorder="1" applyAlignment="1" applyProtection="1">
      <alignment horizontal="right"/>
      <protection hidden="1"/>
    </xf>
    <xf numFmtId="0" fontId="19" fillId="5" borderId="18" xfId="0" applyNumberFormat="1" applyFont="1" applyFill="1" applyBorder="1" applyAlignment="1" applyProtection="1">
      <alignment horizontal="center"/>
      <protection hidden="1"/>
    </xf>
    <xf numFmtId="0" fontId="5" fillId="2" borderId="19" xfId="0" applyNumberFormat="1" applyFont="1" applyFill="1" applyBorder="1" applyAlignment="1" applyProtection="1">
      <alignment horizontal="center"/>
      <protection hidden="1"/>
    </xf>
    <xf numFmtId="0" fontId="0" fillId="7" borderId="41" xfId="0" applyNumberFormat="1" applyFill="1" applyBorder="1" applyAlignment="1" applyProtection="1">
      <alignment horizontal="center"/>
      <protection hidden="1"/>
    </xf>
    <xf numFmtId="0" fontId="0" fillId="7" borderId="42" xfId="0" applyNumberFormat="1" applyFill="1" applyBorder="1" applyAlignment="1" applyProtection="1">
      <alignment horizontal="center"/>
      <protection hidden="1"/>
    </xf>
    <xf numFmtId="0" fontId="0" fillId="7" borderId="32" xfId="0" applyFill="1" applyBorder="1" applyAlignment="1" applyProtection="1">
      <alignment horizontal="center"/>
      <protection hidden="1"/>
    </xf>
    <xf numFmtId="0" fontId="0" fillId="7" borderId="4" xfId="0" applyFill="1" applyBorder="1" applyAlignment="1" applyProtection="1">
      <alignment horizontal="center"/>
      <protection hidden="1"/>
    </xf>
    <xf numFmtId="0" fontId="0" fillId="7" borderId="5" xfId="0" applyFill="1" applyBorder="1" applyAlignment="1" applyProtection="1">
      <alignment horizontal="center"/>
      <protection hidden="1"/>
    </xf>
    <xf numFmtId="0" fontId="0" fillId="7" borderId="6" xfId="0" applyFill="1" applyBorder="1" applyAlignment="1" applyProtection="1">
      <alignment horizontal="center"/>
      <protection hidden="1"/>
    </xf>
    <xf numFmtId="2" fontId="0" fillId="10" borderId="6" xfId="0" applyNumberFormat="1" applyFill="1" applyBorder="1" applyAlignment="1" applyProtection="1">
      <alignment horizontal="center"/>
      <protection hidden="1"/>
    </xf>
    <xf numFmtId="0" fontId="23" fillId="7" borderId="16" xfId="0" applyFont="1" applyFill="1" applyBorder="1" applyAlignment="1" applyProtection="1">
      <alignment horizontal="center"/>
      <protection hidden="1"/>
    </xf>
    <xf numFmtId="0" fontId="0" fillId="10" borderId="6" xfId="0" applyFill="1" applyBorder="1" applyAlignment="1" applyProtection="1">
      <alignment horizontal="center"/>
      <protection hidden="1"/>
    </xf>
    <xf numFmtId="0" fontId="0" fillId="21" borderId="6" xfId="0" applyFill="1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2" fontId="0" fillId="4" borderId="6" xfId="0" applyNumberFormat="1" applyFill="1" applyBorder="1" applyAlignment="1" applyProtection="1">
      <alignment horizontal="center"/>
      <protection hidden="1"/>
    </xf>
    <xf numFmtId="2" fontId="0" fillId="21" borderId="6" xfId="0" applyNumberFormat="1" applyFill="1" applyBorder="1" applyAlignment="1" applyProtection="1">
      <alignment horizontal="center"/>
      <protection hidden="1"/>
    </xf>
    <xf numFmtId="0" fontId="0" fillId="7" borderId="15" xfId="0" applyFill="1" applyBorder="1" applyAlignment="1" applyProtection="1">
      <alignment horizontal="center"/>
      <protection hidden="1"/>
    </xf>
    <xf numFmtId="0" fontId="0" fillId="7" borderId="7" xfId="0" applyFill="1" applyBorder="1" applyAlignment="1" applyProtection="1">
      <alignment horizontal="center"/>
      <protection hidden="1"/>
    </xf>
    <xf numFmtId="0" fontId="0" fillId="7" borderId="1" xfId="0" applyFill="1" applyBorder="1" applyAlignment="1" applyProtection="1">
      <alignment horizontal="center"/>
      <protection hidden="1"/>
    </xf>
    <xf numFmtId="0" fontId="0" fillId="7" borderId="3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hidden="1"/>
    </xf>
    <xf numFmtId="0" fontId="0" fillId="7" borderId="17" xfId="0" applyFill="1" applyBorder="1" applyAlignment="1" applyProtection="1">
      <alignment horizontal="center"/>
      <protection hidden="1"/>
    </xf>
    <xf numFmtId="0" fontId="0" fillId="7" borderId="8" xfId="0" applyFill="1" applyBorder="1" applyAlignment="1" applyProtection="1">
      <alignment horizontal="center"/>
      <protection hidden="1"/>
    </xf>
    <xf numFmtId="0" fontId="0" fillId="7" borderId="9" xfId="0" applyFill="1" applyBorder="1" applyAlignment="1" applyProtection="1">
      <alignment horizontal="center"/>
      <protection hidden="1"/>
    </xf>
    <xf numFmtId="2" fontId="34" fillId="20" borderId="72" xfId="0" applyNumberFormat="1" applyFont="1" applyFill="1" applyBorder="1" applyAlignment="1" applyProtection="1">
      <alignment horizontal="center"/>
      <protection hidden="1"/>
    </xf>
    <xf numFmtId="2" fontId="34" fillId="20" borderId="73" xfId="0" applyNumberFormat="1" applyFont="1" applyFill="1" applyBorder="1" applyAlignment="1" applyProtection="1">
      <alignment horizontal="center"/>
      <protection hidden="1"/>
    </xf>
    <xf numFmtId="2" fontId="34" fillId="20" borderId="74" xfId="0" applyNumberFormat="1" applyFont="1" applyFill="1" applyBorder="1" applyAlignment="1" applyProtection="1">
      <alignment horizontal="center"/>
      <protection hidden="1"/>
    </xf>
    <xf numFmtId="2" fontId="34" fillId="0" borderId="0" xfId="0" applyNumberFormat="1" applyFont="1" applyProtection="1">
      <protection hidden="1"/>
    </xf>
    <xf numFmtId="0" fontId="34" fillId="7" borderId="65" xfId="0" applyFont="1" applyFill="1" applyBorder="1" applyAlignment="1" applyProtection="1">
      <alignment horizontal="center"/>
      <protection hidden="1"/>
    </xf>
    <xf numFmtId="0" fontId="34" fillId="7" borderId="59" xfId="0" applyFont="1" applyFill="1" applyBorder="1" applyAlignment="1" applyProtection="1">
      <alignment horizontal="center"/>
      <protection hidden="1"/>
    </xf>
    <xf numFmtId="0" fontId="34" fillId="7" borderId="61" xfId="0" applyFont="1" applyFill="1" applyBorder="1" applyAlignment="1" applyProtection="1">
      <alignment horizontal="center"/>
      <protection hidden="1"/>
    </xf>
    <xf numFmtId="10" fontId="0" fillId="10" borderId="23" xfId="2" applyNumberFormat="1" applyFont="1" applyFill="1" applyBorder="1" applyAlignment="1" applyProtection="1">
      <alignment horizontal="center"/>
      <protection hidden="1"/>
    </xf>
    <xf numFmtId="0" fontId="5" fillId="2" borderId="18" xfId="0" applyFont="1" applyFill="1" applyBorder="1" applyAlignment="1" applyProtection="1">
      <alignment horizontal="center"/>
      <protection hidden="1"/>
    </xf>
    <xf numFmtId="0" fontId="5" fillId="2" borderId="10" xfId="0" applyFont="1" applyFill="1" applyBorder="1" applyAlignment="1" applyProtection="1">
      <alignment horizontal="center"/>
      <protection hidden="1"/>
    </xf>
    <xf numFmtId="0" fontId="10" fillId="2" borderId="24" xfId="0" applyFont="1" applyFill="1" applyBorder="1" applyAlignment="1" applyProtection="1">
      <alignment horizontal="center"/>
      <protection hidden="1"/>
    </xf>
    <xf numFmtId="2" fontId="30" fillId="5" borderId="47" xfId="0" applyNumberFormat="1" applyFont="1" applyFill="1" applyBorder="1" applyAlignment="1" applyProtection="1">
      <alignment horizontal="center"/>
      <protection locked="0" hidden="1"/>
    </xf>
    <xf numFmtId="167" fontId="0" fillId="11" borderId="19" xfId="0" applyNumberFormat="1" applyFill="1" applyBorder="1" applyProtection="1">
      <protection locked="0" hidden="1"/>
    </xf>
    <xf numFmtId="167" fontId="0" fillId="11" borderId="25" xfId="0" applyNumberFormat="1" applyFill="1" applyBorder="1" applyProtection="1">
      <protection locked="0" hidden="1"/>
    </xf>
    <xf numFmtId="167" fontId="0" fillId="2" borderId="11" xfId="0" applyNumberFormat="1" applyFill="1" applyBorder="1" applyProtection="1">
      <protection locked="0" hidden="1"/>
    </xf>
    <xf numFmtId="2" fontId="0" fillId="11" borderId="25" xfId="0" applyNumberFormat="1" applyFill="1" applyBorder="1" applyProtection="1">
      <protection locked="0" hidden="1"/>
    </xf>
    <xf numFmtId="2" fontId="0" fillId="0" borderId="19" xfId="0" applyNumberFormat="1" applyFill="1" applyBorder="1" applyAlignment="1" applyProtection="1">
      <alignment horizontal="center"/>
      <protection locked="0" hidden="1"/>
    </xf>
    <xf numFmtId="2" fontId="0" fillId="0" borderId="25" xfId="0" applyNumberFormat="1" applyFill="1" applyBorder="1" applyAlignment="1" applyProtection="1">
      <alignment horizontal="center"/>
      <protection locked="0" hidden="1"/>
    </xf>
    <xf numFmtId="168" fontId="0" fillId="0" borderId="25" xfId="0" applyNumberFormat="1" applyFill="1" applyBorder="1" applyAlignment="1" applyProtection="1">
      <alignment horizontal="center"/>
      <protection locked="0" hidden="1"/>
    </xf>
    <xf numFmtId="168" fontId="0" fillId="0" borderId="11" xfId="0" applyNumberFormat="1" applyFill="1" applyBorder="1" applyAlignment="1" applyProtection="1">
      <alignment horizontal="center"/>
      <protection locked="0" hidden="1"/>
    </xf>
    <xf numFmtId="2" fontId="0" fillId="0" borderId="30" xfId="0" applyNumberFormat="1" applyFill="1" applyBorder="1" applyAlignment="1" applyProtection="1">
      <alignment horizontal="center"/>
      <protection locked="0" hidden="1"/>
    </xf>
    <xf numFmtId="174" fontId="51" fillId="0" borderId="60" xfId="0" applyNumberFormat="1" applyFont="1" applyBorder="1" applyProtection="1">
      <protection hidden="1"/>
    </xf>
    <xf numFmtId="0" fontId="51" fillId="0" borderId="60" xfId="0" applyFont="1" applyBorder="1" applyAlignment="1" applyProtection="1">
      <alignment horizontal="center"/>
      <protection hidden="1"/>
    </xf>
    <xf numFmtId="2" fontId="51" fillId="0" borderId="60" xfId="0" applyNumberFormat="1" applyFont="1" applyFill="1" applyBorder="1" applyAlignment="1" applyProtection="1">
      <alignment horizontal="center"/>
      <protection hidden="1"/>
    </xf>
    <xf numFmtId="2" fontId="51" fillId="0" borderId="60" xfId="0" applyNumberFormat="1" applyFont="1" applyBorder="1" applyAlignment="1" applyProtection="1">
      <alignment horizontal="center"/>
      <protection hidden="1"/>
    </xf>
    <xf numFmtId="174" fontId="52" fillId="0" borderId="60" xfId="0" applyNumberFormat="1" applyFont="1" applyBorder="1" applyProtection="1">
      <protection hidden="1"/>
    </xf>
    <xf numFmtId="2" fontId="28" fillId="5" borderId="7" xfId="0" applyNumberFormat="1" applyFont="1" applyFill="1" applyBorder="1" applyAlignment="1" applyProtection="1">
      <alignment horizontal="center"/>
      <protection hidden="1"/>
    </xf>
    <xf numFmtId="2" fontId="28" fillId="5" borderId="9" xfId="0" applyNumberFormat="1" applyFont="1" applyFill="1" applyBorder="1" applyAlignment="1" applyProtection="1">
      <alignment horizontal="center"/>
      <protection hidden="1"/>
    </xf>
    <xf numFmtId="2" fontId="48" fillId="8" borderId="4" xfId="0" applyNumberFormat="1" applyFont="1" applyFill="1" applyBorder="1" applyAlignment="1" applyProtection="1">
      <alignment horizontal="center"/>
      <protection locked="0"/>
    </xf>
    <xf numFmtId="2" fontId="48" fillId="8" borderId="5" xfId="0" applyNumberFormat="1" applyFont="1" applyFill="1" applyBorder="1" applyAlignment="1" applyProtection="1">
      <alignment horizontal="center"/>
      <protection hidden="1"/>
    </xf>
    <xf numFmtId="2" fontId="48" fillId="8" borderId="6" xfId="0" applyNumberFormat="1" applyFont="1" applyFill="1" applyBorder="1" applyAlignment="1" applyProtection="1">
      <alignment horizontal="center"/>
      <protection locked="0"/>
    </xf>
    <xf numFmtId="2" fontId="48" fillId="8" borderId="7" xfId="0" applyNumberFormat="1" applyFont="1" applyFill="1" applyBorder="1" applyAlignment="1" applyProtection="1">
      <alignment horizontal="center"/>
      <protection hidden="1"/>
    </xf>
    <xf numFmtId="2" fontId="48" fillId="8" borderId="8" xfId="0" applyNumberFormat="1" applyFont="1" applyFill="1" applyBorder="1" applyAlignment="1" applyProtection="1">
      <alignment horizontal="center"/>
      <protection locked="0"/>
    </xf>
    <xf numFmtId="2" fontId="48" fillId="8" borderId="9" xfId="0" applyNumberFormat="1" applyFont="1" applyFill="1" applyBorder="1" applyAlignment="1" applyProtection="1">
      <alignment horizontal="center"/>
      <protection hidden="1"/>
    </xf>
    <xf numFmtId="176" fontId="44" fillId="17" borderId="49" xfId="0" applyNumberFormat="1" applyFont="1" applyFill="1" applyBorder="1" applyAlignment="1" applyProtection="1">
      <alignment horizontal="center"/>
      <protection hidden="1"/>
    </xf>
    <xf numFmtId="176" fontId="44" fillId="17" borderId="38" xfId="0" applyNumberFormat="1" applyFont="1" applyFill="1" applyBorder="1" applyAlignment="1" applyProtection="1">
      <alignment horizontal="center"/>
      <protection hidden="1"/>
    </xf>
    <xf numFmtId="176" fontId="44" fillId="17" borderId="56" xfId="0" applyNumberFormat="1" applyFont="1" applyFill="1" applyBorder="1" applyAlignment="1" applyProtection="1">
      <alignment horizontal="center"/>
      <protection hidden="1"/>
    </xf>
    <xf numFmtId="0" fontId="6" fillId="10" borderId="27" xfId="0" applyFont="1" applyFill="1" applyBorder="1" applyAlignment="1" applyProtection="1">
      <alignment horizontal="center" vertical="center"/>
      <protection hidden="1"/>
    </xf>
    <xf numFmtId="2" fontId="22" fillId="10" borderId="36" xfId="0" applyNumberFormat="1" applyFont="1" applyFill="1" applyBorder="1" applyAlignment="1" applyProtection="1">
      <alignment horizontal="center"/>
      <protection hidden="1"/>
    </xf>
    <xf numFmtId="2" fontId="22" fillId="10" borderId="40" xfId="0" applyNumberFormat="1" applyFont="1" applyFill="1" applyBorder="1" applyAlignment="1" applyProtection="1">
      <alignment horizontal="center"/>
      <protection hidden="1"/>
    </xf>
    <xf numFmtId="0" fontId="19" fillId="8" borderId="54" xfId="0" applyNumberFormat="1" applyFont="1" applyFill="1" applyBorder="1" applyAlignment="1" applyProtection="1">
      <alignment horizontal="center"/>
      <protection locked="0" hidden="1"/>
    </xf>
    <xf numFmtId="0" fontId="54" fillId="24" borderId="0" xfId="0" applyFont="1" applyFill="1" applyBorder="1" applyProtection="1">
      <protection hidden="1"/>
    </xf>
    <xf numFmtId="175" fontId="54" fillId="24" borderId="0" xfId="0" applyNumberFormat="1" applyFont="1" applyFill="1" applyBorder="1" applyProtection="1">
      <protection hidden="1"/>
    </xf>
    <xf numFmtId="177" fontId="12" fillId="7" borderId="14" xfId="0" applyNumberFormat="1" applyFont="1" applyFill="1" applyBorder="1" applyAlignment="1" applyProtection="1">
      <alignment horizontal="center"/>
      <protection hidden="1"/>
    </xf>
    <xf numFmtId="177" fontId="12" fillId="7" borderId="13" xfId="0" applyNumberFormat="1" applyFont="1" applyFill="1" applyBorder="1" applyAlignment="1" applyProtection="1">
      <alignment horizontal="center"/>
      <protection hidden="1"/>
    </xf>
    <xf numFmtId="177" fontId="12" fillId="7" borderId="16" xfId="0" applyNumberFormat="1" applyFont="1" applyFill="1" applyBorder="1" applyAlignment="1" applyProtection="1">
      <alignment horizontal="center"/>
      <protection hidden="1"/>
    </xf>
    <xf numFmtId="0" fontId="0" fillId="7" borderId="13" xfId="0" applyNumberFormat="1" applyFill="1" applyBorder="1" applyAlignment="1" applyProtection="1">
      <alignment horizontal="center"/>
      <protection locked="0" hidden="1"/>
    </xf>
    <xf numFmtId="0" fontId="0" fillId="7" borderId="14" xfId="0" applyNumberFormat="1" applyFill="1" applyBorder="1" applyAlignment="1" applyProtection="1">
      <alignment horizontal="center"/>
      <protection locked="0" hidden="1"/>
    </xf>
    <xf numFmtId="0" fontId="0" fillId="7" borderId="16" xfId="0" applyNumberFormat="1" applyFill="1" applyBorder="1" applyAlignment="1" applyProtection="1">
      <alignment horizontal="center"/>
      <protection locked="0" hidden="1"/>
    </xf>
    <xf numFmtId="10" fontId="0" fillId="10" borderId="24" xfId="2" applyNumberFormat="1" applyFont="1" applyFill="1" applyBorder="1" applyAlignment="1" applyProtection="1">
      <alignment horizontal="center"/>
      <protection hidden="1"/>
    </xf>
    <xf numFmtId="10" fontId="0" fillId="10" borderId="12" xfId="2" applyNumberFormat="1" applyFont="1" applyFill="1" applyBorder="1" applyAlignment="1" applyProtection="1">
      <alignment horizontal="center"/>
      <protection hidden="1"/>
    </xf>
    <xf numFmtId="1" fontId="55" fillId="25" borderId="23" xfId="0" applyNumberFormat="1" applyFont="1" applyFill="1" applyBorder="1" applyAlignment="1" applyProtection="1">
      <alignment horizontal="center"/>
      <protection hidden="1"/>
    </xf>
    <xf numFmtId="1" fontId="55" fillId="25" borderId="24" xfId="0" applyNumberFormat="1" applyFont="1" applyFill="1" applyBorder="1" applyAlignment="1" applyProtection="1">
      <alignment horizontal="center"/>
      <protection hidden="1"/>
    </xf>
    <xf numFmtId="1" fontId="55" fillId="25" borderId="12" xfId="0" applyNumberFormat="1" applyFont="1" applyFill="1" applyBorder="1" applyAlignment="1" applyProtection="1">
      <alignment horizontal="center"/>
      <protection hidden="1"/>
    </xf>
    <xf numFmtId="0" fontId="0" fillId="7" borderId="19" xfId="0" applyFill="1" applyBorder="1" applyAlignment="1" applyProtection="1">
      <alignment horizontal="center"/>
      <protection hidden="1"/>
    </xf>
    <xf numFmtId="0" fontId="0" fillId="7" borderId="39" xfId="0" applyFill="1" applyBorder="1" applyAlignment="1" applyProtection="1">
      <alignment horizontal="center"/>
      <protection hidden="1"/>
    </xf>
    <xf numFmtId="0" fontId="0" fillId="7" borderId="36" xfId="0" applyFill="1" applyBorder="1" applyAlignment="1" applyProtection="1">
      <alignment horizontal="center"/>
      <protection hidden="1"/>
    </xf>
    <xf numFmtId="0" fontId="0" fillId="7" borderId="40" xfId="0" applyFill="1" applyBorder="1" applyAlignment="1" applyProtection="1">
      <alignment horizontal="center"/>
      <protection hidden="1"/>
    </xf>
    <xf numFmtId="164" fontId="1" fillId="8" borderId="67" xfId="0" applyNumberFormat="1" applyFont="1" applyFill="1" applyBorder="1" applyAlignment="1" applyProtection="1">
      <alignment horizontal="center"/>
      <protection locked="0" hidden="1"/>
    </xf>
    <xf numFmtId="0" fontId="1" fillId="8" borderId="67" xfId="0" applyNumberFormat="1" applyFont="1" applyFill="1" applyBorder="1" applyAlignment="1" applyProtection="1">
      <alignment horizontal="center"/>
      <protection locked="0" hidden="1"/>
    </xf>
    <xf numFmtId="0" fontId="1" fillId="8" borderId="69" xfId="0" applyNumberFormat="1" applyFont="1" applyFill="1" applyBorder="1" applyAlignment="1" applyProtection="1">
      <alignment horizontal="center"/>
      <protection locked="0" hidden="1"/>
    </xf>
    <xf numFmtId="167" fontId="2" fillId="17" borderId="4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26" borderId="11" xfId="0" applyFill="1" applyBorder="1" applyProtection="1">
      <protection hidden="1"/>
    </xf>
    <xf numFmtId="2" fontId="1" fillId="0" borderId="7" xfId="0" applyNumberFormat="1" applyFont="1" applyBorder="1" applyAlignment="1" applyProtection="1">
      <alignment horizontal="center"/>
      <protection hidden="1"/>
    </xf>
    <xf numFmtId="2" fontId="1" fillId="3" borderId="32" xfId="0" applyNumberFormat="1" applyFont="1" applyFill="1" applyBorder="1" applyAlignment="1" applyProtection="1">
      <alignment horizontal="center"/>
      <protection locked="0" hidden="1"/>
    </xf>
    <xf numFmtId="2" fontId="56" fillId="26" borderId="76" xfId="0" applyNumberFormat="1" applyFont="1" applyFill="1" applyBorder="1" applyAlignment="1" applyProtection="1">
      <alignment horizontal="center"/>
      <protection locked="0" hidden="1"/>
    </xf>
    <xf numFmtId="2" fontId="56" fillId="26" borderId="75" xfId="0" applyNumberFormat="1" applyFont="1" applyFill="1" applyBorder="1" applyAlignment="1" applyProtection="1">
      <alignment horizontal="center"/>
      <protection locked="0" hidden="1"/>
    </xf>
    <xf numFmtId="0" fontId="56" fillId="26" borderId="75" xfId="0" applyFont="1" applyFill="1" applyBorder="1" applyAlignment="1" applyProtection="1">
      <alignment horizontal="center"/>
      <protection locked="0" hidden="1"/>
    </xf>
    <xf numFmtId="2" fontId="2" fillId="10" borderId="31" xfId="0" applyNumberFormat="1" applyFont="1" applyFill="1" applyBorder="1" applyAlignment="1" applyProtection="1">
      <alignment horizontal="center"/>
      <protection hidden="1"/>
    </xf>
    <xf numFmtId="0" fontId="41" fillId="15" borderId="14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2" fontId="22" fillId="10" borderId="13" xfId="0" applyNumberFormat="1" applyFont="1" applyFill="1" applyBorder="1" applyAlignment="1" applyProtection="1">
      <alignment horizontal="center"/>
      <protection hidden="1"/>
    </xf>
    <xf numFmtId="2" fontId="0" fillId="0" borderId="0" xfId="0" applyNumberFormat="1" applyBorder="1" applyProtection="1">
      <protection hidden="1"/>
    </xf>
    <xf numFmtId="2" fontId="1" fillId="4" borderId="50" xfId="0" applyNumberFormat="1" applyFont="1" applyFill="1" applyBorder="1" applyAlignment="1" applyProtection="1">
      <alignment horizontal="center"/>
      <protection locked="0" hidden="1"/>
    </xf>
    <xf numFmtId="0" fontId="0" fillId="26" borderId="24" xfId="0" applyFill="1" applyBorder="1" applyAlignment="1" applyProtection="1">
      <alignment horizontal="center"/>
      <protection hidden="1"/>
    </xf>
    <xf numFmtId="2" fontId="0" fillId="26" borderId="24" xfId="0" applyNumberFormat="1" applyFill="1" applyBorder="1" applyAlignment="1" applyProtection="1">
      <alignment horizontal="center"/>
      <protection hidden="1"/>
    </xf>
    <xf numFmtId="0" fontId="0" fillId="26" borderId="12" xfId="0" applyFill="1" applyBorder="1" applyAlignment="1" applyProtection="1">
      <alignment horizontal="center"/>
      <protection hidden="1"/>
    </xf>
    <xf numFmtId="0" fontId="0" fillId="26" borderId="0" xfId="0" applyFill="1" applyBorder="1" applyProtection="1">
      <protection hidden="1"/>
    </xf>
    <xf numFmtId="0" fontId="0" fillId="26" borderId="0" xfId="0" applyFill="1" applyBorder="1" applyAlignment="1" applyProtection="1">
      <alignment horizontal="center"/>
      <protection hidden="1"/>
    </xf>
    <xf numFmtId="174" fontId="53" fillId="26" borderId="23" xfId="0" applyNumberFormat="1" applyFont="1" applyFill="1" applyBorder="1" applyProtection="1">
      <protection hidden="1"/>
    </xf>
    <xf numFmtId="0" fontId="0" fillId="21" borderId="6" xfId="0" applyNumberFormat="1" applyFill="1" applyBorder="1" applyAlignment="1" applyProtection="1">
      <alignment horizontal="center"/>
      <protection hidden="1"/>
    </xf>
    <xf numFmtId="0" fontId="0" fillId="10" borderId="6" xfId="0" applyNumberFormat="1" applyFill="1" applyBorder="1" applyAlignment="1" applyProtection="1">
      <alignment horizontal="center"/>
      <protection hidden="1"/>
    </xf>
    <xf numFmtId="0" fontId="0" fillId="4" borderId="6" xfId="0" applyNumberFormat="1" applyFill="1" applyBorder="1" applyAlignment="1" applyProtection="1">
      <alignment horizontal="center"/>
      <protection hidden="1"/>
    </xf>
    <xf numFmtId="2" fontId="38" fillId="3" borderId="11" xfId="0" applyNumberFormat="1" applyFont="1" applyFill="1" applyBorder="1" applyAlignment="1" applyProtection="1">
      <alignment horizontal="center"/>
      <protection hidden="1"/>
    </xf>
    <xf numFmtId="15" fontId="57" fillId="15" borderId="54" xfId="0" applyNumberFormat="1" applyFont="1" applyFill="1" applyBorder="1" applyAlignment="1" applyProtection="1">
      <alignment horizontal="center"/>
      <protection hidden="1"/>
    </xf>
    <xf numFmtId="2" fontId="48" fillId="8" borderId="32" xfId="0" applyNumberFormat="1" applyFont="1" applyFill="1" applyBorder="1" applyAlignment="1" applyProtection="1">
      <alignment horizontal="center"/>
      <protection hidden="1"/>
    </xf>
    <xf numFmtId="2" fontId="48" fillId="8" borderId="15" xfId="0" applyNumberFormat="1" applyFont="1" applyFill="1" applyBorder="1" applyAlignment="1" applyProtection="1">
      <alignment horizontal="center"/>
      <protection hidden="1"/>
    </xf>
    <xf numFmtId="2" fontId="48" fillId="8" borderId="17" xfId="0" applyNumberFormat="1" applyFont="1" applyFill="1" applyBorder="1" applyAlignment="1" applyProtection="1">
      <alignment horizontal="center"/>
      <protection hidden="1"/>
    </xf>
    <xf numFmtId="171" fontId="28" fillId="20" borderId="0" xfId="0" applyNumberFormat="1" applyFont="1" applyFill="1" applyBorder="1" applyAlignment="1" applyProtection="1">
      <alignment horizontal="center"/>
      <protection hidden="1"/>
    </xf>
    <xf numFmtId="0" fontId="28" fillId="20" borderId="0" xfId="0" applyFont="1" applyFill="1" applyBorder="1" applyAlignment="1" applyProtection="1">
      <alignment horizontal="center"/>
      <protection hidden="1"/>
    </xf>
    <xf numFmtId="17" fontId="28" fillId="20" borderId="0" xfId="0" applyNumberFormat="1" applyFont="1" applyFill="1" applyBorder="1" applyAlignment="1" applyProtection="1">
      <alignment horizontal="center"/>
      <protection hidden="1"/>
    </xf>
    <xf numFmtId="0" fontId="2" fillId="5" borderId="0" xfId="0" applyNumberFormat="1" applyFont="1" applyFill="1" applyBorder="1" applyAlignment="1" applyProtection="1">
      <alignment horizontal="center"/>
      <protection hidden="1"/>
    </xf>
    <xf numFmtId="0" fontId="0" fillId="20" borderId="0" xfId="0" applyNumberFormat="1" applyFill="1" applyBorder="1" applyAlignment="1" applyProtection="1">
      <alignment horizontal="center"/>
      <protection hidden="1"/>
    </xf>
    <xf numFmtId="0" fontId="28" fillId="20" borderId="0" xfId="0" applyNumberFormat="1" applyFont="1" applyFill="1" applyBorder="1" applyAlignment="1" applyProtection="1">
      <alignment horizontal="center"/>
      <protection hidden="1"/>
    </xf>
    <xf numFmtId="0" fontId="53" fillId="26" borderId="0" xfId="0" applyNumberFormat="1" applyFont="1" applyFill="1" applyBorder="1" applyAlignment="1" applyProtection="1">
      <alignment horizontal="center"/>
      <protection locked="0" hidden="1"/>
    </xf>
    <xf numFmtId="0" fontId="9" fillId="8" borderId="66" xfId="0" applyNumberFormat="1" applyFont="1" applyFill="1" applyBorder="1" applyAlignment="1" applyProtection="1">
      <alignment horizontal="center"/>
      <protection locked="0" hidden="1"/>
    </xf>
    <xf numFmtId="0" fontId="2" fillId="0" borderId="0" xfId="0" applyNumberFormat="1" applyFont="1" applyBorder="1" applyAlignment="1" applyProtection="1">
      <protection hidden="1"/>
    </xf>
    <xf numFmtId="0" fontId="9" fillId="8" borderId="0" xfId="0" applyNumberFormat="1" applyFont="1" applyFill="1" applyBorder="1" applyAlignment="1" applyProtection="1">
      <alignment horizontal="center"/>
      <protection locked="0" hidden="1"/>
    </xf>
    <xf numFmtId="0" fontId="2" fillId="27" borderId="10" xfId="0" applyFont="1" applyFill="1" applyBorder="1" applyAlignment="1" applyProtection="1">
      <alignment horizontal="center"/>
      <protection hidden="1"/>
    </xf>
    <xf numFmtId="0" fontId="1" fillId="0" borderId="0" xfId="0" applyFont="1" applyBorder="1" applyProtection="1">
      <protection hidden="1"/>
    </xf>
    <xf numFmtId="0" fontId="1" fillId="0" borderId="0" xfId="0" applyFont="1" applyBorder="1" applyAlignment="1" applyProtection="1">
      <protection hidden="1"/>
    </xf>
    <xf numFmtId="2" fontId="19" fillId="20" borderId="0" xfId="0" applyNumberFormat="1" applyFont="1" applyFill="1" applyBorder="1" applyAlignment="1" applyProtection="1">
      <alignment horizontal="center"/>
      <protection hidden="1"/>
    </xf>
    <xf numFmtId="2" fontId="0" fillId="20" borderId="0" xfId="0" applyNumberFormat="1" applyFill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8" borderId="54" xfId="0" applyNumberFormat="1" applyFont="1" applyFill="1" applyBorder="1" applyAlignment="1" applyProtection="1">
      <alignment horizontal="center"/>
      <protection locked="0" hidden="1"/>
    </xf>
    <xf numFmtId="0" fontId="19" fillId="8" borderId="46" xfId="0" applyNumberFormat="1" applyFont="1" applyFill="1" applyBorder="1" applyAlignment="1" applyProtection="1">
      <alignment horizontal="center"/>
      <protection locked="0" hidden="1"/>
    </xf>
    <xf numFmtId="0" fontId="5" fillId="2" borderId="10" xfId="0" applyNumberFormat="1" applyFont="1" applyFill="1" applyBorder="1" applyAlignment="1" applyProtection="1">
      <alignment horizontal="center"/>
      <protection hidden="1"/>
    </xf>
    <xf numFmtId="164" fontId="19" fillId="2" borderId="77" xfId="0" applyNumberFormat="1" applyFont="1" applyFill="1" applyBorder="1" applyAlignment="1" applyProtection="1">
      <alignment horizontal="center"/>
      <protection locked="0" hidden="1"/>
    </xf>
    <xf numFmtId="164" fontId="19" fillId="2" borderId="52" xfId="0" applyNumberFormat="1" applyFont="1" applyFill="1" applyBorder="1" applyAlignment="1" applyProtection="1">
      <alignment horizontal="center"/>
      <protection locked="0" hidden="1"/>
    </xf>
    <xf numFmtId="164" fontId="19" fillId="2" borderId="53" xfId="0" applyNumberFormat="1" applyFont="1" applyFill="1" applyBorder="1" applyAlignment="1" applyProtection="1">
      <alignment horizontal="center"/>
      <protection locked="0" hidden="1"/>
    </xf>
    <xf numFmtId="164" fontId="1" fillId="2" borderId="52" xfId="0" applyNumberFormat="1" applyFont="1" applyFill="1" applyBorder="1" applyAlignment="1" applyProtection="1">
      <alignment horizontal="center"/>
      <protection locked="0" hidden="1"/>
    </xf>
    <xf numFmtId="164" fontId="1" fillId="2" borderId="53" xfId="0" applyNumberFormat="1" applyFont="1" applyFill="1" applyBorder="1" applyAlignment="1" applyProtection="1">
      <alignment horizontal="center"/>
      <protection locked="0" hidden="1"/>
    </xf>
    <xf numFmtId="164" fontId="1" fillId="2" borderId="77" xfId="0" applyNumberFormat="1" applyFont="1" applyFill="1" applyBorder="1" applyAlignment="1" applyProtection="1">
      <alignment horizontal="center"/>
      <protection locked="0" hidden="1"/>
    </xf>
    <xf numFmtId="0" fontId="5" fillId="2" borderId="32" xfId="0" applyNumberFormat="1" applyFont="1" applyFill="1" applyBorder="1" applyAlignment="1" applyProtection="1">
      <alignment horizontal="center"/>
      <protection hidden="1"/>
    </xf>
    <xf numFmtId="0" fontId="5" fillId="2" borderId="5" xfId="0" applyNumberFormat="1" applyFont="1" applyFill="1" applyBorder="1" applyAlignment="1" applyProtection="1">
      <alignment horizontal="center"/>
      <protection hidden="1"/>
    </xf>
    <xf numFmtId="0" fontId="1" fillId="8" borderId="15" xfId="0" applyNumberFormat="1" applyFont="1" applyFill="1" applyBorder="1" applyAlignment="1" applyProtection="1">
      <alignment horizontal="center"/>
      <protection locked="0" hidden="1"/>
    </xf>
    <xf numFmtId="0" fontId="1" fillId="8" borderId="7" xfId="0" applyNumberFormat="1" applyFont="1" applyFill="1" applyBorder="1" applyAlignment="1" applyProtection="1">
      <alignment horizontal="center"/>
      <protection locked="0" hidden="1"/>
    </xf>
    <xf numFmtId="0" fontId="1" fillId="8" borderId="17" xfId="0" applyNumberFormat="1" applyFont="1" applyFill="1" applyBorder="1" applyAlignment="1" applyProtection="1">
      <alignment horizontal="center"/>
      <protection locked="0" hidden="1"/>
    </xf>
    <xf numFmtId="0" fontId="1" fillId="8" borderId="9" xfId="0" applyNumberFormat="1" applyFont="1" applyFill="1" applyBorder="1" applyAlignment="1" applyProtection="1">
      <alignment horizontal="center"/>
      <protection locked="0" hidden="1"/>
    </xf>
    <xf numFmtId="0" fontId="19" fillId="8" borderId="15" xfId="0" applyNumberFormat="1" applyFont="1" applyFill="1" applyBorder="1" applyAlignment="1" applyProtection="1">
      <alignment horizontal="center"/>
      <protection locked="0" hidden="1"/>
    </xf>
    <xf numFmtId="0" fontId="19" fillId="8" borderId="7" xfId="0" applyNumberFormat="1" applyFont="1" applyFill="1" applyBorder="1" applyAlignment="1" applyProtection="1">
      <alignment horizontal="center"/>
      <protection locked="0" hidden="1"/>
    </xf>
    <xf numFmtId="0" fontId="19" fillId="8" borderId="17" xfId="0" applyNumberFormat="1" applyFont="1" applyFill="1" applyBorder="1" applyAlignment="1" applyProtection="1">
      <alignment horizontal="center"/>
      <protection locked="0" hidden="1"/>
    </xf>
    <xf numFmtId="0" fontId="19" fillId="8" borderId="9" xfId="0" applyNumberFormat="1" applyFont="1" applyFill="1" applyBorder="1" applyAlignment="1" applyProtection="1">
      <alignment horizontal="center"/>
      <protection locked="0" hidden="1"/>
    </xf>
    <xf numFmtId="164" fontId="1" fillId="8" borderId="39" xfId="0" applyNumberFormat="1" applyFont="1" applyFill="1" applyBorder="1" applyAlignment="1" applyProtection="1">
      <alignment horizontal="center"/>
      <protection locked="0" hidden="1"/>
    </xf>
    <xf numFmtId="164" fontId="19" fillId="8" borderId="36" xfId="0" applyNumberFormat="1" applyFont="1" applyFill="1" applyBorder="1" applyAlignment="1" applyProtection="1">
      <alignment horizontal="center"/>
      <protection locked="0" hidden="1"/>
    </xf>
    <xf numFmtId="164" fontId="1" fillId="8" borderId="36" xfId="0" applyNumberFormat="1" applyFont="1" applyFill="1" applyBorder="1" applyAlignment="1" applyProtection="1">
      <alignment horizontal="center"/>
      <protection locked="0" hidden="1"/>
    </xf>
    <xf numFmtId="164" fontId="1" fillId="8" borderId="40" xfId="0" applyNumberFormat="1" applyFont="1" applyFill="1" applyBorder="1" applyAlignment="1" applyProtection="1">
      <alignment horizontal="center"/>
      <protection locked="0" hidden="1"/>
    </xf>
    <xf numFmtId="164" fontId="19" fillId="8" borderId="39" xfId="0" applyNumberFormat="1" applyFont="1" applyFill="1" applyBorder="1" applyAlignment="1" applyProtection="1">
      <alignment horizontal="center"/>
      <protection locked="0" hidden="1"/>
    </xf>
    <xf numFmtId="0" fontId="1" fillId="8" borderId="36" xfId="0" applyNumberFormat="1" applyFont="1" applyFill="1" applyBorder="1" applyAlignment="1" applyProtection="1">
      <alignment horizontal="center"/>
      <protection locked="0" hidden="1"/>
    </xf>
    <xf numFmtId="0" fontId="19" fillId="8" borderId="36" xfId="0" applyNumberFormat="1" applyFont="1" applyFill="1" applyBorder="1" applyAlignment="1" applyProtection="1">
      <alignment horizontal="center"/>
      <protection locked="0" hidden="1"/>
    </xf>
    <xf numFmtId="0" fontId="19" fillId="8" borderId="40" xfId="0" applyNumberFormat="1" applyFont="1" applyFill="1" applyBorder="1" applyAlignment="1" applyProtection="1">
      <alignment horizontal="center"/>
      <protection locked="0" hidden="1"/>
    </xf>
    <xf numFmtId="0" fontId="1" fillId="8" borderId="40" xfId="0" applyNumberFormat="1" applyFont="1" applyFill="1" applyBorder="1" applyAlignment="1" applyProtection="1">
      <alignment horizontal="center"/>
      <protection locked="0" hidden="1"/>
    </xf>
    <xf numFmtId="9" fontId="1" fillId="8" borderId="36" xfId="0" applyNumberFormat="1" applyFont="1" applyFill="1" applyBorder="1" applyAlignment="1" applyProtection="1">
      <alignment horizontal="center"/>
      <protection locked="0" hidden="1"/>
    </xf>
    <xf numFmtId="9" fontId="19" fillId="8" borderId="36" xfId="0" applyNumberFormat="1" applyFont="1" applyFill="1" applyBorder="1" applyAlignment="1" applyProtection="1">
      <alignment horizontal="center"/>
      <protection locked="0" hidden="1"/>
    </xf>
    <xf numFmtId="0" fontId="58" fillId="27" borderId="65" xfId="0" applyFont="1" applyFill="1" applyBorder="1" applyAlignment="1" applyProtection="1">
      <alignment horizontal="center"/>
      <protection hidden="1"/>
    </xf>
    <xf numFmtId="0" fontId="5" fillId="27" borderId="23" xfId="0" applyFont="1" applyFill="1" applyBorder="1" applyAlignment="1" applyProtection="1">
      <alignment horizontal="center"/>
      <protection hidden="1"/>
    </xf>
    <xf numFmtId="0" fontId="5" fillId="27" borderId="24" xfId="0" applyFont="1" applyFill="1" applyBorder="1" applyAlignment="1" applyProtection="1">
      <alignment horizontal="center"/>
      <protection hidden="1"/>
    </xf>
    <xf numFmtId="0" fontId="5" fillId="27" borderId="12" xfId="0" applyFont="1" applyFill="1" applyBorder="1" applyAlignment="1" applyProtection="1">
      <alignment horizontal="center"/>
      <protection hidden="1"/>
    </xf>
    <xf numFmtId="0" fontId="11" fillId="27" borderId="78" xfId="0" applyNumberFormat="1" applyFont="1" applyFill="1" applyBorder="1" applyAlignment="1" applyProtection="1">
      <alignment horizontal="center"/>
      <protection hidden="1"/>
    </xf>
    <xf numFmtId="0" fontId="11" fillId="27" borderId="79" xfId="0" applyNumberFormat="1" applyFont="1" applyFill="1" applyBorder="1" applyAlignment="1" applyProtection="1">
      <alignment horizontal="center"/>
      <protection hidden="1"/>
    </xf>
    <xf numFmtId="0" fontId="11" fillId="27" borderId="80" xfId="0" applyNumberFormat="1" applyFont="1" applyFill="1" applyBorder="1" applyAlignment="1" applyProtection="1">
      <alignment horizontal="center"/>
      <protection hidden="1"/>
    </xf>
    <xf numFmtId="0" fontId="11" fillId="27" borderId="82" xfId="0" applyNumberFormat="1" applyFont="1" applyFill="1" applyBorder="1" applyAlignment="1" applyProtection="1">
      <alignment horizontal="center"/>
      <protection hidden="1"/>
    </xf>
    <xf numFmtId="0" fontId="11" fillId="27" borderId="84" xfId="0" applyNumberFormat="1" applyFont="1" applyFill="1" applyBorder="1" applyAlignment="1" applyProtection="1">
      <alignment horizontal="center"/>
      <protection hidden="1"/>
    </xf>
    <xf numFmtId="0" fontId="11" fillId="27" borderId="85" xfId="0" applyNumberFormat="1" applyFont="1" applyFill="1" applyBorder="1" applyAlignment="1" applyProtection="1">
      <alignment horizontal="center"/>
      <protection hidden="1"/>
    </xf>
    <xf numFmtId="0" fontId="59" fillId="28" borderId="81" xfId="0" applyNumberFormat="1" applyFont="1" applyFill="1" applyBorder="1" applyAlignment="1" applyProtection="1">
      <alignment horizontal="center"/>
      <protection hidden="1"/>
    </xf>
    <xf numFmtId="0" fontId="59" fillId="28" borderId="83" xfId="0" applyNumberFormat="1" applyFont="1" applyFill="1" applyBorder="1" applyAlignment="1" applyProtection="1">
      <alignment horizontal="center"/>
      <protection hidden="1"/>
    </xf>
    <xf numFmtId="0" fontId="59" fillId="28" borderId="86" xfId="0" applyNumberFormat="1" applyFont="1" applyFill="1" applyBorder="1" applyAlignment="1" applyProtection="1">
      <alignment horizontal="center"/>
      <protection hidden="1"/>
    </xf>
    <xf numFmtId="0" fontId="34" fillId="7" borderId="19" xfId="0" applyFont="1" applyFill="1" applyBorder="1" applyAlignment="1" applyProtection="1">
      <alignment horizontal="center"/>
      <protection hidden="1"/>
    </xf>
    <xf numFmtId="174" fontId="60" fillId="0" borderId="87" xfId="0" applyNumberFormat="1" applyFont="1" applyBorder="1" applyProtection="1">
      <protection hidden="1"/>
    </xf>
    <xf numFmtId="0" fontId="0" fillId="0" borderId="88" xfId="0" applyNumberFormat="1" applyBorder="1" applyProtection="1">
      <protection hidden="1"/>
    </xf>
    <xf numFmtId="0" fontId="0" fillId="0" borderId="89" xfId="0" applyNumberFormat="1" applyBorder="1" applyProtection="1">
      <protection hidden="1"/>
    </xf>
    <xf numFmtId="174" fontId="60" fillId="0" borderId="90" xfId="0" applyNumberFormat="1" applyFont="1" applyBorder="1" applyProtection="1">
      <protection hidden="1"/>
    </xf>
    <xf numFmtId="0" fontId="0" fillId="0" borderId="91" xfId="0" applyNumberFormat="1" applyBorder="1" applyProtection="1">
      <protection hidden="1"/>
    </xf>
    <xf numFmtId="0" fontId="0" fillId="0" borderId="92" xfId="0" applyNumberFormat="1" applyBorder="1" applyProtection="1">
      <protection hidden="1"/>
    </xf>
    <xf numFmtId="174" fontId="60" fillId="0" borderId="93" xfId="0" applyNumberFormat="1" applyFont="1" applyBorder="1" applyProtection="1">
      <protection hidden="1"/>
    </xf>
    <xf numFmtId="0" fontId="0" fillId="0" borderId="94" xfId="0" applyNumberFormat="1" applyBorder="1" applyProtection="1">
      <protection hidden="1"/>
    </xf>
    <xf numFmtId="0" fontId="0" fillId="0" borderId="95" xfId="0" applyNumberFormat="1" applyBorder="1" applyProtection="1">
      <protection hidden="1"/>
    </xf>
    <xf numFmtId="174" fontId="60" fillId="0" borderId="88" xfId="0" applyNumberFormat="1" applyFont="1" applyBorder="1" applyProtection="1">
      <protection hidden="1"/>
    </xf>
    <xf numFmtId="174" fontId="60" fillId="0" borderId="91" xfId="0" applyNumberFormat="1" applyFont="1" applyBorder="1" applyProtection="1">
      <protection hidden="1"/>
    </xf>
    <xf numFmtId="174" fontId="60" fillId="0" borderId="94" xfId="0" applyNumberFormat="1" applyFont="1" applyBorder="1" applyProtection="1">
      <protection hidden="1"/>
    </xf>
    <xf numFmtId="0" fontId="1" fillId="8" borderId="20" xfId="0" applyNumberFormat="1" applyFont="1" applyFill="1" applyBorder="1" applyAlignment="1" applyProtection="1">
      <alignment horizontal="center"/>
      <protection locked="0" hidden="1"/>
    </xf>
    <xf numFmtId="174" fontId="61" fillId="0" borderId="90" xfId="0" applyNumberFormat="1" applyFont="1" applyBorder="1" applyProtection="1">
      <protection hidden="1"/>
    </xf>
    <xf numFmtId="174" fontId="61" fillId="0" borderId="91" xfId="0" applyNumberFormat="1" applyFont="1" applyBorder="1" applyProtection="1">
      <protection hidden="1"/>
    </xf>
    <xf numFmtId="0" fontId="62" fillId="0" borderId="91" xfId="0" applyNumberFormat="1" applyFont="1" applyBorder="1" applyProtection="1">
      <protection hidden="1"/>
    </xf>
    <xf numFmtId="0" fontId="62" fillId="0" borderId="92" xfId="0" applyNumberFormat="1" applyFont="1" applyBorder="1" applyProtection="1">
      <protection hidden="1"/>
    </xf>
    <xf numFmtId="174" fontId="61" fillId="0" borderId="93" xfId="0" applyNumberFormat="1" applyFont="1" applyBorder="1" applyProtection="1">
      <protection hidden="1"/>
    </xf>
    <xf numFmtId="174" fontId="61" fillId="0" borderId="94" xfId="0" applyNumberFormat="1" applyFont="1" applyBorder="1" applyProtection="1">
      <protection hidden="1"/>
    </xf>
    <xf numFmtId="0" fontId="62" fillId="0" borderId="94" xfId="0" applyNumberFormat="1" applyFont="1" applyBorder="1" applyProtection="1">
      <protection hidden="1"/>
    </xf>
    <xf numFmtId="0" fontId="62" fillId="0" borderId="95" xfId="0" applyNumberFormat="1" applyFont="1" applyBorder="1" applyProtection="1">
      <protection hidden="1"/>
    </xf>
    <xf numFmtId="174" fontId="61" fillId="0" borderId="87" xfId="0" applyNumberFormat="1" applyFont="1" applyBorder="1" applyProtection="1">
      <protection hidden="1"/>
    </xf>
    <xf numFmtId="174" fontId="61" fillId="0" borderId="88" xfId="0" applyNumberFormat="1" applyFont="1" applyBorder="1" applyProtection="1">
      <protection hidden="1"/>
    </xf>
    <xf numFmtId="0" fontId="62" fillId="0" borderId="88" xfId="0" applyNumberFormat="1" applyFont="1" applyBorder="1" applyProtection="1">
      <protection hidden="1"/>
    </xf>
    <xf numFmtId="0" fontId="62" fillId="0" borderId="89" xfId="0" applyNumberFormat="1" applyFont="1" applyBorder="1" applyProtection="1">
      <protection hidden="1"/>
    </xf>
    <xf numFmtId="0" fontId="58" fillId="27" borderId="96" xfId="0" applyFont="1" applyFill="1" applyBorder="1" applyAlignment="1" applyProtection="1">
      <alignment horizontal="center"/>
      <protection hidden="1"/>
    </xf>
    <xf numFmtId="0" fontId="58" fillId="27" borderId="12" xfId="0" applyFont="1" applyFill="1" applyBorder="1" applyAlignment="1" applyProtection="1">
      <alignment horizontal="center"/>
      <protection hidden="1"/>
    </xf>
    <xf numFmtId="9" fontId="55" fillId="25" borderId="23" xfId="2" applyFont="1" applyFill="1" applyBorder="1" applyAlignment="1" applyProtection="1">
      <alignment horizontal="center"/>
      <protection hidden="1"/>
    </xf>
    <xf numFmtId="9" fontId="55" fillId="25" borderId="24" xfId="2" applyFont="1" applyFill="1" applyBorder="1" applyAlignment="1" applyProtection="1">
      <alignment horizontal="center"/>
      <protection hidden="1"/>
    </xf>
    <xf numFmtId="9" fontId="55" fillId="25" borderId="12" xfId="2" applyFont="1" applyFill="1" applyBorder="1" applyAlignment="1" applyProtection="1">
      <alignment horizontal="center"/>
      <protection hidden="1"/>
    </xf>
    <xf numFmtId="9" fontId="34" fillId="7" borderId="19" xfId="2" applyFont="1" applyFill="1" applyBorder="1" applyAlignment="1" applyProtection="1">
      <alignment horizontal="center"/>
      <protection hidden="1"/>
    </xf>
    <xf numFmtId="2" fontId="1" fillId="9" borderId="19" xfId="0" applyNumberFormat="1" applyFont="1" applyFill="1" applyBorder="1" applyProtection="1">
      <protection hidden="1"/>
    </xf>
    <xf numFmtId="175" fontId="56" fillId="0" borderId="27" xfId="0" applyNumberFormat="1" applyFont="1" applyBorder="1" applyAlignment="1" applyProtection="1">
      <protection hidden="1"/>
    </xf>
    <xf numFmtId="179" fontId="12" fillId="7" borderId="66" xfId="0" applyNumberFormat="1" applyFont="1" applyFill="1" applyBorder="1" applyAlignment="1" applyProtection="1">
      <alignment horizontal="center"/>
      <protection hidden="1"/>
    </xf>
    <xf numFmtId="179" fontId="12" fillId="7" borderId="67" xfId="0" applyNumberFormat="1" applyFont="1" applyFill="1" applyBorder="1" applyAlignment="1" applyProtection="1">
      <alignment horizontal="center"/>
      <protection hidden="1"/>
    </xf>
    <xf numFmtId="179" fontId="12" fillId="7" borderId="53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Border="1" applyProtection="1">
      <protection hidden="1"/>
    </xf>
    <xf numFmtId="2" fontId="18" fillId="0" borderId="25" xfId="0" applyNumberFormat="1" applyFont="1" applyFill="1" applyBorder="1" applyAlignment="1" applyProtection="1">
      <alignment horizontal="center"/>
      <protection hidden="1"/>
    </xf>
    <xf numFmtId="2" fontId="11" fillId="0" borderId="25" xfId="0" applyNumberFormat="1" applyFont="1" applyFill="1" applyBorder="1" applyAlignment="1" applyProtection="1">
      <alignment horizontal="center"/>
      <protection hidden="1"/>
    </xf>
    <xf numFmtId="2" fontId="11" fillId="0" borderId="25" xfId="0" applyNumberFormat="1" applyFont="1" applyFill="1" applyBorder="1" applyProtection="1">
      <protection hidden="1"/>
    </xf>
    <xf numFmtId="0" fontId="2" fillId="0" borderId="25" xfId="0" applyFont="1" applyBorder="1" applyProtection="1">
      <protection hidden="1"/>
    </xf>
    <xf numFmtId="179" fontId="12" fillId="7" borderId="46" xfId="0" applyNumberFormat="1" applyFont="1" applyFill="1" applyBorder="1" applyAlignment="1" applyProtection="1">
      <alignment horizontal="center"/>
      <protection hidden="1"/>
    </xf>
    <xf numFmtId="2" fontId="11" fillId="17" borderId="47" xfId="0" applyNumberFormat="1" applyFont="1" applyFill="1" applyBorder="1" applyAlignment="1" applyProtection="1">
      <alignment horizontal="center"/>
      <protection hidden="1"/>
    </xf>
    <xf numFmtId="2" fontId="11" fillId="17" borderId="50" xfId="0" applyNumberFormat="1" applyFont="1" applyFill="1" applyBorder="1" applyAlignment="1" applyProtection="1">
      <alignment horizontal="center"/>
      <protection hidden="1"/>
    </xf>
    <xf numFmtId="2" fontId="11" fillId="17" borderId="51" xfId="0" applyNumberFormat="1" applyFont="1" applyFill="1" applyBorder="1" applyAlignment="1" applyProtection="1">
      <alignment horizontal="center"/>
      <protection hidden="1"/>
    </xf>
    <xf numFmtId="0" fontId="11" fillId="4" borderId="47" xfId="0" applyFont="1" applyFill="1" applyBorder="1" applyAlignment="1" applyProtection="1">
      <alignment horizontal="center"/>
      <protection hidden="1"/>
    </xf>
    <xf numFmtId="0" fontId="11" fillId="4" borderId="51" xfId="0" applyFont="1" applyFill="1" applyBorder="1" applyAlignment="1" applyProtection="1">
      <alignment horizontal="center"/>
      <protection hidden="1"/>
    </xf>
    <xf numFmtId="0" fontId="11" fillId="5" borderId="47" xfId="0" applyFont="1" applyFill="1" applyBorder="1" applyAlignment="1" applyProtection="1">
      <alignment horizontal="center"/>
      <protection hidden="1"/>
    </xf>
    <xf numFmtId="0" fontId="11" fillId="5" borderId="50" xfId="0" applyFont="1" applyFill="1" applyBorder="1" applyAlignment="1" applyProtection="1">
      <alignment horizontal="center"/>
      <protection hidden="1"/>
    </xf>
    <xf numFmtId="0" fontId="18" fillId="5" borderId="51" xfId="0" applyFont="1" applyFill="1" applyBorder="1" applyAlignment="1" applyProtection="1">
      <alignment horizontal="center"/>
      <protection hidden="1"/>
    </xf>
    <xf numFmtId="2" fontId="11" fillId="10" borderId="47" xfId="0" applyNumberFormat="1" applyFont="1" applyFill="1" applyBorder="1" applyAlignment="1" applyProtection="1">
      <alignment horizontal="center"/>
      <protection hidden="1"/>
    </xf>
    <xf numFmtId="2" fontId="11" fillId="10" borderId="50" xfId="0" applyNumberFormat="1" applyFont="1" applyFill="1" applyBorder="1" applyAlignment="1" applyProtection="1">
      <alignment horizontal="center"/>
      <protection hidden="1"/>
    </xf>
    <xf numFmtId="2" fontId="18" fillId="10" borderId="51" xfId="0" applyNumberFormat="1" applyFont="1" applyFill="1" applyBorder="1" applyAlignment="1" applyProtection="1">
      <alignment horizontal="center"/>
      <protection hidden="1"/>
    </xf>
    <xf numFmtId="2" fontId="48" fillId="8" borderId="47" xfId="0" applyNumberFormat="1" applyFont="1" applyFill="1" applyBorder="1" applyAlignment="1" applyProtection="1">
      <alignment horizontal="center"/>
      <protection hidden="1"/>
    </xf>
    <xf numFmtId="2" fontId="48" fillId="8" borderId="50" xfId="0" applyNumberFormat="1" applyFont="1" applyFill="1" applyBorder="1" applyAlignment="1" applyProtection="1">
      <alignment horizontal="center"/>
      <protection locked="0"/>
    </xf>
    <xf numFmtId="2" fontId="48" fillId="8" borderId="51" xfId="0" applyNumberFormat="1" applyFont="1" applyFill="1" applyBorder="1" applyAlignment="1" applyProtection="1">
      <alignment horizontal="center"/>
      <protection hidden="1"/>
    </xf>
    <xf numFmtId="179" fontId="12" fillId="7" borderId="68" xfId="0" applyNumberFormat="1" applyFont="1" applyFill="1" applyBorder="1" applyAlignment="1" applyProtection="1">
      <alignment horizontal="center"/>
      <protection hidden="1"/>
    </xf>
    <xf numFmtId="2" fontId="18" fillId="3" borderId="44" xfId="0" applyNumberFormat="1" applyFont="1" applyFill="1" applyBorder="1" applyAlignment="1" applyProtection="1">
      <alignment horizontal="center"/>
      <protection hidden="1"/>
    </xf>
    <xf numFmtId="2" fontId="11" fillId="3" borderId="43" xfId="0" applyNumberFormat="1" applyFont="1" applyFill="1" applyBorder="1" applyAlignment="1" applyProtection="1">
      <alignment horizontal="center"/>
      <protection hidden="1"/>
    </xf>
    <xf numFmtId="2" fontId="11" fillId="3" borderId="45" xfId="0" applyNumberFormat="1" applyFont="1" applyFill="1" applyBorder="1" applyAlignment="1" applyProtection="1">
      <alignment horizontal="center"/>
      <protection hidden="1"/>
    </xf>
    <xf numFmtId="2" fontId="11" fillId="17" borderId="44" xfId="0" applyNumberFormat="1" applyFont="1" applyFill="1" applyBorder="1" applyAlignment="1" applyProtection="1">
      <alignment horizontal="center"/>
      <protection hidden="1"/>
    </xf>
    <xf numFmtId="2" fontId="11" fillId="17" borderId="43" xfId="0" applyNumberFormat="1" applyFont="1" applyFill="1" applyBorder="1" applyAlignment="1" applyProtection="1">
      <alignment horizontal="center"/>
      <protection hidden="1"/>
    </xf>
    <xf numFmtId="2" fontId="11" fillId="17" borderId="45" xfId="0" applyNumberFormat="1" applyFont="1" applyFill="1" applyBorder="1" applyAlignment="1" applyProtection="1">
      <alignment horizontal="center"/>
      <protection hidden="1"/>
    </xf>
    <xf numFmtId="2" fontId="11" fillId="0" borderId="97" xfId="0" applyNumberFormat="1" applyFont="1" applyFill="1" applyBorder="1" applyAlignment="1" applyProtection="1">
      <alignment horizontal="center"/>
      <protection hidden="1"/>
    </xf>
    <xf numFmtId="0" fontId="11" fillId="4" borderId="44" xfId="0" applyFont="1" applyFill="1" applyBorder="1" applyAlignment="1" applyProtection="1">
      <alignment horizontal="center"/>
      <protection hidden="1"/>
    </xf>
    <xf numFmtId="0" fontId="11" fillId="4" borderId="45" xfId="0" applyFont="1" applyFill="1" applyBorder="1" applyAlignment="1" applyProtection="1">
      <alignment horizontal="center"/>
      <protection hidden="1"/>
    </xf>
    <xf numFmtId="0" fontId="11" fillId="5" borderId="44" xfId="0" applyFont="1" applyFill="1" applyBorder="1" applyAlignment="1" applyProtection="1">
      <alignment horizontal="center"/>
      <protection hidden="1"/>
    </xf>
    <xf numFmtId="0" fontId="11" fillId="5" borderId="43" xfId="0" applyFont="1" applyFill="1" applyBorder="1" applyAlignment="1" applyProtection="1">
      <alignment horizontal="center"/>
      <protection hidden="1"/>
    </xf>
    <xf numFmtId="0" fontId="18" fillId="5" borderId="45" xfId="0" applyFont="1" applyFill="1" applyBorder="1" applyAlignment="1" applyProtection="1">
      <alignment horizontal="center"/>
      <protection hidden="1"/>
    </xf>
    <xf numFmtId="2" fontId="11" fillId="10" borderId="44" xfId="0" applyNumberFormat="1" applyFont="1" applyFill="1" applyBorder="1" applyAlignment="1" applyProtection="1">
      <alignment horizontal="center"/>
      <protection hidden="1"/>
    </xf>
    <xf numFmtId="2" fontId="11" fillId="10" borderId="43" xfId="0" applyNumberFormat="1" applyFont="1" applyFill="1" applyBorder="1" applyAlignment="1" applyProtection="1">
      <alignment horizontal="center"/>
      <protection hidden="1"/>
    </xf>
    <xf numFmtId="2" fontId="18" fillId="10" borderId="45" xfId="0" applyNumberFormat="1" applyFont="1" applyFill="1" applyBorder="1" applyAlignment="1" applyProtection="1">
      <alignment horizontal="center"/>
      <protection hidden="1"/>
    </xf>
    <xf numFmtId="2" fontId="48" fillId="8" borderId="44" xfId="0" applyNumberFormat="1" applyFont="1" applyFill="1" applyBorder="1" applyAlignment="1" applyProtection="1">
      <alignment horizontal="center"/>
      <protection hidden="1"/>
    </xf>
    <xf numFmtId="2" fontId="48" fillId="8" borderId="43" xfId="0" applyNumberFormat="1" applyFont="1" applyFill="1" applyBorder="1" applyAlignment="1" applyProtection="1">
      <alignment horizontal="center"/>
      <protection locked="0"/>
    </xf>
    <xf numFmtId="2" fontId="48" fillId="8" borderId="45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2" fillId="15" borderId="32" xfId="0" applyFont="1" applyFill="1" applyBorder="1" applyAlignment="1">
      <alignment horizontal="center"/>
    </xf>
    <xf numFmtId="0" fontId="2" fillId="15" borderId="15" xfId="0" applyFont="1" applyFill="1" applyBorder="1" applyAlignment="1">
      <alignment horizontal="center"/>
    </xf>
    <xf numFmtId="0" fontId="2" fillId="15" borderId="17" xfId="0" applyFont="1" applyFill="1" applyBorder="1" applyAlignment="1">
      <alignment horizontal="center"/>
    </xf>
    <xf numFmtId="0" fontId="1" fillId="15" borderId="15" xfId="0" applyFont="1" applyFill="1" applyBorder="1" applyAlignment="1">
      <alignment horizontal="center"/>
    </xf>
    <xf numFmtId="2" fontId="2" fillId="0" borderId="5" xfId="0" applyNumberFormat="1" applyFont="1" applyBorder="1" applyAlignment="1" applyProtection="1">
      <alignment horizontal="center"/>
      <protection hidden="1"/>
    </xf>
    <xf numFmtId="0" fontId="2" fillId="0" borderId="6" xfId="0" applyFont="1" applyBorder="1" applyProtection="1">
      <protection hidden="1"/>
    </xf>
    <xf numFmtId="2" fontId="2" fillId="0" borderId="7" xfId="0" applyNumberFormat="1" applyFont="1" applyBorder="1" applyAlignment="1" applyProtection="1">
      <alignment horizontal="center"/>
      <protection hidden="1"/>
    </xf>
    <xf numFmtId="2" fontId="2" fillId="0" borderId="9" xfId="0" applyNumberFormat="1" applyFont="1" applyBorder="1" applyAlignment="1" applyProtection="1">
      <alignment horizontal="center"/>
      <protection hidden="1"/>
    </xf>
    <xf numFmtId="0" fontId="1" fillId="0" borderId="6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0" borderId="50" xfId="0" applyFont="1" applyBorder="1" applyProtection="1">
      <protection hidden="1"/>
    </xf>
    <xf numFmtId="171" fontId="28" fillId="20" borderId="0" xfId="0" applyNumberFormat="1" applyFont="1" applyFill="1" applyBorder="1" applyAlignment="1" applyProtection="1">
      <alignment horizontal="center"/>
      <protection hidden="1"/>
    </xf>
    <xf numFmtId="0" fontId="3" fillId="3" borderId="33" xfId="0" applyFont="1" applyFill="1" applyBorder="1" applyAlignment="1" applyProtection="1">
      <alignment horizontal="center"/>
      <protection hidden="1"/>
    </xf>
    <xf numFmtId="0" fontId="5" fillId="2" borderId="34" xfId="0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5" fillId="2" borderId="3" xfId="0" applyFont="1" applyFill="1" applyBorder="1" applyAlignment="1" applyProtection="1">
      <alignment horizontal="center"/>
      <protection hidden="1"/>
    </xf>
    <xf numFmtId="0" fontId="2" fillId="2" borderId="10" xfId="0" applyFont="1" applyFill="1" applyBorder="1" applyAlignment="1" applyProtection="1">
      <alignment horizontal="center"/>
      <protection hidden="1"/>
    </xf>
    <xf numFmtId="2" fontId="4" fillId="0" borderId="0" xfId="0" applyNumberFormat="1" applyFont="1" applyFill="1" applyBorder="1" applyAlignment="1" applyProtection="1">
      <alignment horizontal="center"/>
      <protection hidden="1"/>
    </xf>
    <xf numFmtId="0" fontId="3" fillId="5" borderId="10" xfId="0" applyFont="1" applyFill="1" applyBorder="1" applyAlignment="1" applyProtection="1">
      <alignment horizontal="center"/>
      <protection hidden="1"/>
    </xf>
    <xf numFmtId="0" fontId="3" fillId="13" borderId="0" xfId="0" applyFont="1" applyFill="1" applyBorder="1" applyAlignment="1" applyProtection="1">
      <alignment horizontal="center"/>
      <protection hidden="1"/>
    </xf>
    <xf numFmtId="17" fontId="28" fillId="2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3" fillId="17" borderId="25" xfId="0" applyFont="1" applyFill="1" applyBorder="1" applyAlignment="1" applyProtection="1">
      <alignment horizontal="center"/>
      <protection hidden="1"/>
    </xf>
    <xf numFmtId="0" fontId="9" fillId="8" borderId="46" xfId="0" applyNumberFormat="1" applyFont="1" applyFill="1" applyBorder="1" applyAlignment="1" applyProtection="1">
      <alignment horizontal="center"/>
      <protection locked="0" hidden="1"/>
    </xf>
    <xf numFmtId="2" fontId="28" fillId="16" borderId="49" xfId="0" applyNumberFormat="1" applyFont="1" applyFill="1" applyBorder="1" applyAlignment="1" applyProtection="1">
      <alignment horizontal="center"/>
      <protection hidden="1"/>
    </xf>
    <xf numFmtId="2" fontId="2" fillId="17" borderId="54" xfId="0" applyNumberFormat="1" applyFont="1" applyFill="1" applyBorder="1" applyAlignment="1" applyProtection="1">
      <alignment horizontal="center"/>
      <protection hidden="1"/>
    </xf>
    <xf numFmtId="2" fontId="28" fillId="5" borderId="51" xfId="0" applyNumberFormat="1" applyFont="1" applyFill="1" applyBorder="1" applyAlignment="1" applyProtection="1">
      <alignment horizontal="center"/>
      <protection hidden="1"/>
    </xf>
    <xf numFmtId="0" fontId="5" fillId="15" borderId="12" xfId="0" applyFont="1" applyFill="1" applyBorder="1" applyAlignment="1" applyProtection="1">
      <alignment horizontal="center"/>
      <protection hidden="1"/>
    </xf>
    <xf numFmtId="0" fontId="5" fillId="2" borderId="23" xfId="0" applyNumberFormat="1" applyFont="1" applyFill="1" applyBorder="1" applyAlignment="1" applyProtection="1">
      <alignment horizontal="center"/>
      <protection hidden="1"/>
    </xf>
    <xf numFmtId="0" fontId="5" fillId="2" borderId="12" xfId="0" applyNumberFormat="1" applyFont="1" applyFill="1" applyBorder="1" applyAlignment="1" applyProtection="1">
      <alignment horizontal="center"/>
      <protection hidden="1"/>
    </xf>
    <xf numFmtId="0" fontId="5" fillId="2" borderId="31" xfId="0" applyNumberFormat="1" applyFont="1" applyFill="1" applyBorder="1" applyAlignment="1" applyProtection="1">
      <alignment horizontal="center"/>
      <protection hidden="1"/>
    </xf>
    <xf numFmtId="0" fontId="5" fillId="2" borderId="24" xfId="0" applyFont="1" applyFill="1" applyBorder="1" applyAlignment="1" applyProtection="1">
      <alignment horizontal="center"/>
      <protection locked="0" hidden="1"/>
    </xf>
    <xf numFmtId="0" fontId="5" fillId="2" borderId="101" xfId="0" applyFont="1" applyFill="1" applyBorder="1" applyAlignment="1" applyProtection="1">
      <alignment horizontal="center"/>
      <protection locked="0" hidden="1"/>
    </xf>
    <xf numFmtId="0" fontId="5" fillId="2" borderId="57" xfId="0" applyFont="1" applyFill="1" applyBorder="1" applyAlignment="1" applyProtection="1">
      <alignment horizontal="center"/>
      <protection hidden="1"/>
    </xf>
    <xf numFmtId="0" fontId="5" fillId="2" borderId="31" xfId="0" applyFont="1" applyFill="1" applyBorder="1" applyAlignment="1" applyProtection="1">
      <alignment horizontal="center"/>
      <protection hidden="1"/>
    </xf>
    <xf numFmtId="0" fontId="5" fillId="2" borderId="101" xfId="0" applyFont="1" applyFill="1" applyBorder="1" applyAlignment="1" applyProtection="1">
      <alignment horizontal="center"/>
      <protection hidden="1"/>
    </xf>
    <xf numFmtId="0" fontId="5" fillId="2" borderId="11" xfId="0" applyFont="1" applyFill="1" applyBorder="1" applyAlignment="1" applyProtection="1">
      <alignment horizontal="center"/>
      <protection hidden="1"/>
    </xf>
    <xf numFmtId="2" fontId="2" fillId="30" borderId="11" xfId="0" applyNumberFormat="1" applyFont="1" applyFill="1" applyBorder="1" applyAlignment="1" applyProtection="1">
      <alignment horizontal="center"/>
      <protection hidden="1"/>
    </xf>
    <xf numFmtId="2" fontId="0" fillId="0" borderId="71" xfId="0" applyNumberFormat="1" applyBorder="1" applyAlignment="1" applyProtection="1">
      <alignment horizontal="center"/>
      <protection hidden="1"/>
    </xf>
    <xf numFmtId="2" fontId="2" fillId="17" borderId="102" xfId="0" applyNumberFormat="1" applyFont="1" applyFill="1" applyBorder="1" applyAlignment="1" applyProtection="1">
      <alignment horizontal="center"/>
      <protection hidden="1"/>
    </xf>
    <xf numFmtId="2" fontId="2" fillId="17" borderId="73" xfId="0" applyNumberFormat="1" applyFont="1" applyFill="1" applyBorder="1" applyAlignment="1" applyProtection="1">
      <alignment horizontal="center"/>
      <protection hidden="1"/>
    </xf>
    <xf numFmtId="2" fontId="2" fillId="17" borderId="48" xfId="0" applyNumberFormat="1" applyFont="1" applyFill="1" applyBorder="1" applyAlignment="1" applyProtection="1">
      <alignment horizontal="center"/>
      <protection hidden="1"/>
    </xf>
    <xf numFmtId="2" fontId="2" fillId="17" borderId="50" xfId="0" applyNumberFormat="1" applyFont="1" applyFill="1" applyBorder="1" applyAlignment="1" applyProtection="1">
      <alignment horizontal="center"/>
      <protection hidden="1"/>
    </xf>
    <xf numFmtId="2" fontId="2" fillId="17" borderId="23" xfId="0" applyNumberFormat="1" applyFont="1" applyFill="1" applyBorder="1" applyAlignment="1" applyProtection="1">
      <alignment horizontal="center"/>
      <protection hidden="1"/>
    </xf>
    <xf numFmtId="2" fontId="2" fillId="17" borderId="57" xfId="0" applyNumberFormat="1" applyFont="1" applyFill="1" applyBorder="1" applyAlignment="1" applyProtection="1">
      <alignment horizontal="center"/>
      <protection hidden="1"/>
    </xf>
    <xf numFmtId="173" fontId="49" fillId="16" borderId="30" xfId="0" applyNumberFormat="1" applyFont="1" applyFill="1" applyBorder="1" applyAlignment="1" applyProtection="1">
      <alignment horizontal="center"/>
      <protection locked="0" hidden="1"/>
    </xf>
    <xf numFmtId="173" fontId="48" fillId="0" borderId="0" xfId="0" applyNumberFormat="1" applyFont="1" applyBorder="1" applyAlignment="1" applyProtection="1">
      <alignment horizontal="center"/>
      <protection hidden="1"/>
    </xf>
    <xf numFmtId="173" fontId="50" fillId="0" borderId="0" xfId="0" applyNumberFormat="1" applyFont="1" applyBorder="1" applyAlignment="1" applyProtection="1">
      <alignment horizontal="left"/>
      <protection hidden="1"/>
    </xf>
    <xf numFmtId="173" fontId="50" fillId="0" borderId="26" xfId="0" applyNumberFormat="1" applyFont="1" applyBorder="1" applyProtection="1">
      <protection hidden="1"/>
    </xf>
    <xf numFmtId="173" fontId="50" fillId="0" borderId="0" xfId="0" applyNumberFormat="1" applyFont="1" applyBorder="1" applyAlignment="1" applyProtection="1">
      <alignment horizontal="center"/>
      <protection hidden="1"/>
    </xf>
    <xf numFmtId="173" fontId="50" fillId="0" borderId="22" xfId="0" applyNumberFormat="1" applyFont="1" applyBorder="1" applyProtection="1">
      <protection hidden="1"/>
    </xf>
    <xf numFmtId="173" fontId="50" fillId="0" borderId="28" xfId="0" applyNumberFormat="1" applyFont="1" applyBorder="1" applyAlignment="1" applyProtection="1">
      <alignment horizontal="center"/>
      <protection hidden="1"/>
    </xf>
    <xf numFmtId="173" fontId="50" fillId="0" borderId="28" xfId="0" applyNumberFormat="1" applyFont="1" applyBorder="1" applyAlignment="1" applyProtection="1">
      <alignment horizontal="left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0" fontId="64" fillId="0" borderId="0" xfId="0" applyFont="1" applyAlignment="1">
      <alignment horizontal="center"/>
    </xf>
    <xf numFmtId="174" fontId="0" fillId="26" borderId="3" xfId="0" applyNumberFormat="1" applyFill="1" applyBorder="1" applyProtection="1">
      <protection hidden="1"/>
    </xf>
    <xf numFmtId="174" fontId="1" fillId="26" borderId="60" xfId="0" applyNumberFormat="1" applyFont="1" applyFill="1" applyBorder="1" applyProtection="1">
      <protection hidden="1"/>
    </xf>
    <xf numFmtId="174" fontId="0" fillId="26" borderId="60" xfId="0" applyNumberFormat="1" applyFill="1" applyBorder="1" applyProtection="1">
      <protection hidden="1"/>
    </xf>
    <xf numFmtId="0" fontId="64" fillId="0" borderId="11" xfId="0" applyFont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2" fontId="2" fillId="17" borderId="38" xfId="0" applyNumberFormat="1" applyFont="1" applyFill="1" applyBorder="1" applyAlignment="1" applyProtection="1">
      <alignment horizontal="center"/>
      <protection hidden="1"/>
    </xf>
    <xf numFmtId="174" fontId="0" fillId="0" borderId="60" xfId="0" applyNumberFormat="1" applyBorder="1" applyAlignment="1" applyProtection="1">
      <protection hidden="1"/>
    </xf>
    <xf numFmtId="0" fontId="0" fillId="0" borderId="64" xfId="0" applyBorder="1" applyAlignment="1" applyProtection="1">
      <alignment horizontal="center"/>
      <protection hidden="1"/>
    </xf>
    <xf numFmtId="174" fontId="0" fillId="31" borderId="60" xfId="0" applyNumberFormat="1" applyFill="1" applyBorder="1" applyProtection="1">
      <protection hidden="1"/>
    </xf>
    <xf numFmtId="165" fontId="0" fillId="0" borderId="103" xfId="1" applyFont="1" applyBorder="1" applyProtection="1">
      <protection hidden="1"/>
    </xf>
    <xf numFmtId="0" fontId="2" fillId="10" borderId="18" xfId="0" applyNumberFormat="1" applyFont="1" applyFill="1" applyBorder="1" applyAlignment="1" applyProtection="1">
      <alignment horizontal="center"/>
      <protection hidden="1"/>
    </xf>
    <xf numFmtId="0" fontId="2" fillId="10" borderId="31" xfId="0" applyNumberFormat="1" applyFont="1" applyFill="1" applyBorder="1" applyAlignment="1" applyProtection="1">
      <alignment horizontal="center"/>
      <protection hidden="1"/>
    </xf>
    <xf numFmtId="0" fontId="2" fillId="10" borderId="10" xfId="0" applyNumberFormat="1" applyFont="1" applyFill="1" applyBorder="1" applyAlignment="1" applyProtection="1">
      <alignment horizontal="center"/>
      <protection hidden="1"/>
    </xf>
    <xf numFmtId="0" fontId="2" fillId="2" borderId="31" xfId="0" applyFont="1" applyFill="1" applyBorder="1" applyAlignment="1" applyProtection="1">
      <alignment horizontal="center"/>
      <protection hidden="1"/>
    </xf>
    <xf numFmtId="0" fontId="2" fillId="2" borderId="10" xfId="0" applyFont="1" applyFill="1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22" xfId="0" applyNumberFormat="1" applyBorder="1" applyAlignment="1" applyProtection="1">
      <alignment horizontal="center"/>
      <protection hidden="1"/>
    </xf>
    <xf numFmtId="0" fontId="0" fillId="0" borderId="28" xfId="0" applyNumberFormat="1" applyBorder="1" applyAlignment="1" applyProtection="1">
      <alignment horizontal="center"/>
      <protection hidden="1"/>
    </xf>
    <xf numFmtId="0" fontId="0" fillId="0" borderId="29" xfId="0" applyNumberFormat="1" applyBorder="1" applyAlignment="1" applyProtection="1">
      <alignment horizontal="center"/>
      <protection hidden="1"/>
    </xf>
    <xf numFmtId="0" fontId="3" fillId="13" borderId="26" xfId="0" applyFont="1" applyFill="1" applyBorder="1" applyAlignment="1" applyProtection="1">
      <alignment horizontal="center"/>
      <protection hidden="1"/>
    </xf>
    <xf numFmtId="0" fontId="3" fillId="13" borderId="0" xfId="0" applyFont="1" applyFill="1" applyBorder="1" applyAlignment="1" applyProtection="1">
      <alignment horizontal="center"/>
      <protection hidden="1"/>
    </xf>
    <xf numFmtId="0" fontId="3" fillId="13" borderId="27" xfId="0" applyFont="1" applyFill="1" applyBorder="1" applyAlignment="1" applyProtection="1">
      <alignment horizontal="center"/>
      <protection hidden="1"/>
    </xf>
    <xf numFmtId="171" fontId="28" fillId="20" borderId="0" xfId="0" applyNumberFormat="1" applyFont="1" applyFill="1" applyBorder="1" applyAlignment="1" applyProtection="1">
      <alignment horizontal="center"/>
      <protection hidden="1"/>
    </xf>
    <xf numFmtId="171" fontId="28" fillId="20" borderId="27" xfId="0" applyNumberFormat="1" applyFont="1" applyFill="1" applyBorder="1" applyAlignment="1" applyProtection="1">
      <alignment horizontal="center"/>
      <protection hidden="1"/>
    </xf>
    <xf numFmtId="0" fontId="3" fillId="3" borderId="23" xfId="0" applyFont="1" applyFill="1" applyBorder="1" applyAlignment="1" applyProtection="1">
      <alignment horizontal="center"/>
      <protection hidden="1"/>
    </xf>
    <xf numFmtId="0" fontId="3" fillId="3" borderId="24" xfId="0" applyFont="1" applyFill="1" applyBorder="1" applyAlignment="1" applyProtection="1">
      <alignment horizontal="center"/>
      <protection hidden="1"/>
    </xf>
    <xf numFmtId="0" fontId="3" fillId="3" borderId="12" xfId="0" applyFont="1" applyFill="1" applyBorder="1" applyAlignment="1" applyProtection="1">
      <alignment horizontal="center"/>
      <protection hidden="1"/>
    </xf>
    <xf numFmtId="0" fontId="3" fillId="3" borderId="31" xfId="0" applyFont="1" applyFill="1" applyBorder="1" applyAlignment="1" applyProtection="1">
      <alignment horizontal="center"/>
      <protection hidden="1"/>
    </xf>
    <xf numFmtId="0" fontId="3" fillId="3" borderId="10" xfId="0" applyFont="1" applyFill="1" applyBorder="1" applyAlignment="1" applyProtection="1">
      <alignment horizontal="center"/>
      <protection hidden="1"/>
    </xf>
    <xf numFmtId="0" fontId="3" fillId="3" borderId="18" xfId="0" applyFont="1" applyFill="1" applyBorder="1" applyAlignment="1" applyProtection="1">
      <alignment horizontal="center"/>
      <protection hidden="1"/>
    </xf>
    <xf numFmtId="0" fontId="40" fillId="15" borderId="0" xfId="0" applyFont="1" applyFill="1" applyAlignment="1" applyProtection="1">
      <alignment horizontal="center"/>
      <protection hidden="1"/>
    </xf>
    <xf numFmtId="0" fontId="40" fillId="15" borderId="27" xfId="0" applyFont="1" applyFill="1" applyBorder="1" applyAlignment="1" applyProtection="1">
      <alignment horizontal="center"/>
      <protection hidden="1"/>
    </xf>
    <xf numFmtId="0" fontId="5" fillId="2" borderId="21" xfId="0" applyFont="1" applyFill="1" applyBorder="1" applyAlignment="1" applyProtection="1">
      <alignment horizontal="center"/>
      <protection hidden="1"/>
    </xf>
    <xf numFmtId="0" fontId="5" fillId="2" borderId="34" xfId="0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5" fillId="2" borderId="3" xfId="0" applyFont="1" applyFill="1" applyBorder="1" applyAlignment="1" applyProtection="1">
      <alignment horizontal="center"/>
      <protection hidden="1"/>
    </xf>
    <xf numFmtId="0" fontId="43" fillId="27" borderId="18" xfId="0" applyNumberFormat="1" applyFont="1" applyFill="1" applyBorder="1" applyAlignment="1" applyProtection="1">
      <alignment horizontal="center"/>
      <protection hidden="1"/>
    </xf>
    <xf numFmtId="0" fontId="43" fillId="27" borderId="31" xfId="0" applyNumberFormat="1" applyFont="1" applyFill="1" applyBorder="1" applyAlignment="1" applyProtection="1">
      <alignment horizontal="center"/>
      <protection hidden="1"/>
    </xf>
    <xf numFmtId="2" fontId="4" fillId="0" borderId="0" xfId="0" applyNumberFormat="1" applyFont="1" applyFill="1" applyBorder="1" applyAlignment="1" applyProtection="1">
      <alignment horizontal="center"/>
      <protection hidden="1"/>
    </xf>
    <xf numFmtId="17" fontId="28" fillId="20" borderId="0" xfId="0" applyNumberFormat="1" applyFont="1" applyFill="1" applyBorder="1" applyAlignment="1" applyProtection="1">
      <alignment horizontal="center"/>
      <protection hidden="1"/>
    </xf>
    <xf numFmtId="17" fontId="28" fillId="20" borderId="27" xfId="0" applyNumberFormat="1" applyFont="1" applyFill="1" applyBorder="1" applyAlignment="1" applyProtection="1">
      <alignment horizontal="center"/>
      <protection hidden="1"/>
    </xf>
    <xf numFmtId="0" fontId="3" fillId="3" borderId="21" xfId="0" applyFont="1" applyFill="1" applyBorder="1" applyAlignment="1" applyProtection="1">
      <alignment horizontal="center"/>
      <protection hidden="1"/>
    </xf>
    <xf numFmtId="0" fontId="3" fillId="3" borderId="33" xfId="0" applyFont="1" applyFill="1" applyBorder="1" applyAlignment="1" applyProtection="1">
      <alignment horizontal="center"/>
      <protection hidden="1"/>
    </xf>
    <xf numFmtId="0" fontId="3" fillId="5" borderId="23" xfId="0" applyFont="1" applyFill="1" applyBorder="1" applyAlignment="1" applyProtection="1">
      <alignment horizontal="center"/>
      <protection hidden="1"/>
    </xf>
    <xf numFmtId="0" fontId="3" fillId="5" borderId="24" xfId="0" applyFont="1" applyFill="1" applyBorder="1" applyAlignment="1" applyProtection="1">
      <alignment horizontal="center"/>
      <protection hidden="1"/>
    </xf>
    <xf numFmtId="0" fontId="3" fillId="5" borderId="12" xfId="0" applyFont="1" applyFill="1" applyBorder="1" applyAlignment="1" applyProtection="1">
      <alignment horizontal="center"/>
      <protection hidden="1"/>
    </xf>
    <xf numFmtId="0" fontId="3" fillId="5" borderId="18" xfId="0" applyFont="1" applyFill="1" applyBorder="1" applyAlignment="1" applyProtection="1">
      <alignment horizontal="center"/>
      <protection hidden="1"/>
    </xf>
    <xf numFmtId="0" fontId="3" fillId="5" borderId="31" xfId="0" applyFont="1" applyFill="1" applyBorder="1" applyAlignment="1" applyProtection="1">
      <alignment horizontal="center"/>
      <protection hidden="1"/>
    </xf>
    <xf numFmtId="0" fontId="3" fillId="4" borderId="57" xfId="0" applyFont="1" applyFill="1" applyBorder="1" applyAlignment="1" applyProtection="1">
      <alignment horizontal="center"/>
      <protection hidden="1"/>
    </xf>
    <xf numFmtId="0" fontId="3" fillId="4" borderId="12" xfId="0" applyFont="1" applyFill="1" applyBorder="1" applyAlignment="1" applyProtection="1">
      <alignment horizontal="center"/>
      <protection hidden="1"/>
    </xf>
    <xf numFmtId="174" fontId="1" fillId="0" borderId="6" xfId="0" applyNumberFormat="1" applyFont="1" applyBorder="1" applyAlignment="1" applyProtection="1">
      <alignment horizontal="center"/>
      <protection hidden="1"/>
    </xf>
    <xf numFmtId="174" fontId="1" fillId="0" borderId="7" xfId="0" applyNumberFormat="1" applyFont="1" applyBorder="1" applyAlignment="1" applyProtection="1">
      <alignment horizontal="center"/>
      <protection hidden="1"/>
    </xf>
    <xf numFmtId="174" fontId="2" fillId="0" borderId="8" xfId="0" applyNumberFormat="1" applyFont="1" applyBorder="1" applyAlignment="1" applyProtection="1">
      <alignment horizontal="center"/>
      <protection hidden="1"/>
    </xf>
    <xf numFmtId="174" fontId="2" fillId="0" borderId="9" xfId="0" applyNumberFormat="1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174" fontId="2" fillId="0" borderId="6" xfId="0" applyNumberFormat="1" applyFont="1" applyBorder="1" applyAlignment="1" applyProtection="1">
      <alignment horizontal="center"/>
      <protection hidden="1"/>
    </xf>
    <xf numFmtId="174" fontId="2" fillId="0" borderId="7" xfId="0" applyNumberFormat="1" applyFont="1" applyBorder="1" applyAlignment="1" applyProtection="1">
      <alignment horizontal="center"/>
      <protection hidden="1"/>
    </xf>
    <xf numFmtId="174" fontId="2" fillId="0" borderId="15" xfId="0" applyNumberFormat="1" applyFont="1" applyBorder="1" applyAlignment="1">
      <alignment horizontal="center"/>
    </xf>
    <xf numFmtId="174" fontId="2" fillId="0" borderId="6" xfId="0" applyNumberFormat="1" applyFont="1" applyBorder="1" applyAlignment="1">
      <alignment horizontal="center"/>
    </xf>
    <xf numFmtId="174" fontId="1" fillId="0" borderId="14" xfId="0" applyNumberFormat="1" applyFont="1" applyBorder="1" applyAlignment="1">
      <alignment horizontal="center"/>
    </xf>
    <xf numFmtId="174" fontId="1" fillId="0" borderId="67" xfId="0" applyNumberFormat="1" applyFont="1" applyBorder="1" applyAlignment="1">
      <alignment horizontal="center"/>
    </xf>
    <xf numFmtId="174" fontId="1" fillId="0" borderId="37" xfId="0" applyNumberFormat="1" applyFont="1" applyBorder="1" applyAlignment="1">
      <alignment horizontal="center"/>
    </xf>
    <xf numFmtId="174" fontId="2" fillId="0" borderId="17" xfId="0" applyNumberFormat="1" applyFont="1" applyBorder="1" applyAlignment="1">
      <alignment horizontal="center"/>
    </xf>
    <xf numFmtId="174" fontId="2" fillId="0" borderId="8" xfId="0" applyNumberFormat="1" applyFont="1" applyBorder="1" applyAlignment="1">
      <alignment horizontal="center"/>
    </xf>
    <xf numFmtId="174" fontId="2" fillId="0" borderId="50" xfId="0" applyNumberFormat="1" applyFont="1" applyBorder="1" applyAlignment="1" applyProtection="1">
      <alignment horizontal="center"/>
      <protection hidden="1"/>
    </xf>
    <xf numFmtId="174" fontId="2" fillId="0" borderId="51" xfId="0" applyNumberFormat="1" applyFont="1" applyBorder="1" applyAlignment="1" applyProtection="1">
      <alignment horizontal="center"/>
      <protection hidden="1"/>
    </xf>
    <xf numFmtId="174" fontId="2" fillId="0" borderId="47" xfId="0" applyNumberFormat="1" applyFont="1" applyBorder="1" applyAlignment="1">
      <alignment horizontal="center"/>
    </xf>
    <xf numFmtId="174" fontId="2" fillId="0" borderId="50" xfId="0" applyNumberFormat="1" applyFont="1" applyBorder="1" applyAlignment="1">
      <alignment horizontal="center"/>
    </xf>
    <xf numFmtId="174" fontId="1" fillId="0" borderId="15" xfId="0" applyNumberFormat="1" applyFont="1" applyBorder="1" applyAlignment="1">
      <alignment horizontal="center"/>
    </xf>
    <xf numFmtId="174" fontId="1" fillId="0" borderId="6" xfId="0" applyNumberFormat="1" applyFont="1" applyBorder="1" applyAlignment="1">
      <alignment horizontal="center"/>
    </xf>
    <xf numFmtId="171" fontId="53" fillId="26" borderId="98" xfId="0" applyNumberFormat="1" applyFont="1" applyFill="1" applyBorder="1" applyAlignment="1" applyProtection="1">
      <alignment horizontal="center"/>
      <protection locked="0" hidden="1"/>
    </xf>
    <xf numFmtId="171" fontId="53" fillId="26" borderId="99" xfId="0" applyNumberFormat="1" applyFont="1" applyFill="1" applyBorder="1" applyAlignment="1" applyProtection="1">
      <alignment horizontal="center"/>
      <protection locked="0" hidden="1"/>
    </xf>
    <xf numFmtId="171" fontId="53" fillId="26" borderId="100" xfId="0" applyNumberFormat="1" applyFont="1" applyFill="1" applyBorder="1" applyAlignment="1" applyProtection="1">
      <alignment horizontal="center"/>
      <protection locked="0" hidden="1"/>
    </xf>
    <xf numFmtId="0" fontId="3" fillId="5" borderId="1" xfId="0" applyFont="1" applyFill="1" applyBorder="1" applyAlignment="1" applyProtection="1">
      <alignment horizontal="center"/>
      <protection hidden="1"/>
    </xf>
    <xf numFmtId="0" fontId="3" fillId="5" borderId="3" xfId="0" applyFont="1" applyFill="1" applyBorder="1" applyAlignment="1" applyProtection="1">
      <alignment horizontal="center"/>
      <protection hidden="1"/>
    </xf>
    <xf numFmtId="0" fontId="3" fillId="5" borderId="2" xfId="0" applyFont="1" applyFill="1" applyBorder="1" applyAlignment="1" applyProtection="1">
      <alignment horizontal="center"/>
      <protection hidden="1"/>
    </xf>
    <xf numFmtId="0" fontId="3" fillId="4" borderId="2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/>
      <protection hidden="1"/>
    </xf>
    <xf numFmtId="0" fontId="3" fillId="3" borderId="35" xfId="0" applyFont="1" applyFill="1" applyBorder="1" applyAlignment="1" applyProtection="1">
      <alignment horizontal="center"/>
      <protection hidden="1"/>
    </xf>
    <xf numFmtId="0" fontId="3" fillId="13" borderId="21" xfId="0" applyFont="1" applyFill="1" applyBorder="1" applyAlignment="1" applyProtection="1">
      <alignment horizontal="center"/>
      <protection hidden="1"/>
    </xf>
    <xf numFmtId="0" fontId="3" fillId="13" borderId="35" xfId="0" applyFont="1" applyFill="1" applyBorder="1" applyAlignment="1" applyProtection="1">
      <alignment horizontal="center"/>
      <protection hidden="1"/>
    </xf>
    <xf numFmtId="0" fontId="40" fillId="15" borderId="18" xfId="0" applyFont="1" applyFill="1" applyBorder="1" applyAlignment="1" applyProtection="1">
      <alignment horizontal="center"/>
      <protection hidden="1"/>
    </xf>
    <xf numFmtId="0" fontId="40" fillId="15" borderId="57" xfId="0" applyFont="1" applyFill="1" applyBorder="1" applyAlignment="1" applyProtection="1">
      <alignment horizontal="center"/>
      <protection hidden="1"/>
    </xf>
    <xf numFmtId="0" fontId="5" fillId="2" borderId="101" xfId="0" applyFont="1" applyFill="1" applyBorder="1" applyAlignment="1" applyProtection="1">
      <alignment horizontal="center"/>
      <protection hidden="1"/>
    </xf>
    <xf numFmtId="0" fontId="5" fillId="2" borderId="57" xfId="0" applyFont="1" applyFill="1" applyBorder="1" applyAlignment="1" applyProtection="1">
      <alignment horizontal="center"/>
      <protection hidden="1"/>
    </xf>
    <xf numFmtId="0" fontId="5" fillId="2" borderId="23" xfId="0" applyFont="1" applyFill="1" applyBorder="1" applyAlignment="1" applyProtection="1">
      <alignment horizontal="center"/>
      <protection hidden="1"/>
    </xf>
    <xf numFmtId="0" fontId="5" fillId="2" borderId="24" xfId="0" applyFont="1" applyFill="1" applyBorder="1" applyAlignment="1" applyProtection="1">
      <alignment horizontal="center"/>
      <protection hidden="1"/>
    </xf>
    <xf numFmtId="0" fontId="2" fillId="2" borderId="18" xfId="0" applyFont="1" applyFill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28" fillId="20" borderId="0" xfId="0" applyFont="1" applyFill="1" applyBorder="1" applyAlignment="1" applyProtection="1">
      <alignment horizontal="center"/>
      <protection hidden="1"/>
    </xf>
    <xf numFmtId="0" fontId="28" fillId="20" borderId="27" xfId="0" applyFont="1" applyFill="1" applyBorder="1" applyAlignment="1" applyProtection="1">
      <alignment horizontal="center"/>
      <protection hidden="1"/>
    </xf>
    <xf numFmtId="0" fontId="3" fillId="5" borderId="34" xfId="0" applyFont="1" applyFill="1" applyBorder="1" applyAlignment="1" applyProtection="1">
      <alignment horizontal="center"/>
      <protection hidden="1"/>
    </xf>
    <xf numFmtId="0" fontId="40" fillId="15" borderId="13" xfId="0" applyFont="1" applyFill="1" applyBorder="1" applyAlignment="1" applyProtection="1">
      <alignment horizontal="center"/>
      <protection hidden="1"/>
    </xf>
    <xf numFmtId="0" fontId="40" fillId="15" borderId="41" xfId="0" applyFont="1" applyFill="1" applyBorder="1" applyAlignment="1" applyProtection="1">
      <alignment horizontal="center"/>
      <protection hidden="1"/>
    </xf>
    <xf numFmtId="0" fontId="3" fillId="5" borderId="10" xfId="0" applyFont="1" applyFill="1" applyBorder="1" applyAlignment="1" applyProtection="1">
      <alignment horizontal="center"/>
      <protection hidden="1"/>
    </xf>
    <xf numFmtId="175" fontId="63" fillId="29" borderId="39" xfId="0" applyNumberFormat="1" applyFont="1" applyFill="1" applyBorder="1" applyAlignment="1" applyProtection="1">
      <alignment horizontal="center" vertical="center" textRotation="90"/>
      <protection hidden="1"/>
    </xf>
    <xf numFmtId="175" fontId="63" fillId="29" borderId="36" xfId="0" applyNumberFormat="1" applyFont="1" applyFill="1" applyBorder="1" applyAlignment="1" applyProtection="1">
      <alignment horizontal="center" vertical="center" textRotation="90"/>
      <protection hidden="1"/>
    </xf>
    <xf numFmtId="175" fontId="63" fillId="29" borderId="62" xfId="0" applyNumberFormat="1" applyFont="1" applyFill="1" applyBorder="1" applyAlignment="1" applyProtection="1">
      <alignment horizontal="center" vertical="center" textRotation="90"/>
      <protection hidden="1"/>
    </xf>
    <xf numFmtId="175" fontId="63" fillId="29" borderId="20" xfId="0" applyNumberFormat="1" applyFont="1" applyFill="1" applyBorder="1" applyAlignment="1" applyProtection="1">
      <alignment horizontal="center" vertical="center" textRotation="90"/>
      <protection hidden="1"/>
    </xf>
    <xf numFmtId="0" fontId="63" fillId="29" borderId="36" xfId="0" applyFont="1" applyFill="1" applyBorder="1" applyAlignment="1" applyProtection="1">
      <alignment horizontal="center" vertical="center" textRotation="90"/>
      <protection hidden="1"/>
    </xf>
    <xf numFmtId="0" fontId="63" fillId="29" borderId="40" xfId="0" applyFont="1" applyFill="1" applyBorder="1" applyAlignment="1" applyProtection="1">
      <alignment horizontal="center" vertical="center" textRotation="90"/>
      <protection hidden="1"/>
    </xf>
    <xf numFmtId="1" fontId="55" fillId="25" borderId="18" xfId="0" applyNumberFormat="1" applyFont="1" applyFill="1" applyBorder="1" applyAlignment="1" applyProtection="1">
      <alignment horizontal="center"/>
      <protection hidden="1"/>
    </xf>
    <xf numFmtId="1" fontId="55" fillId="25" borderId="10" xfId="0" applyNumberFormat="1" applyFont="1" applyFill="1" applyBorder="1" applyAlignment="1" applyProtection="1">
      <alignment horizontal="center"/>
      <protection hidden="1"/>
    </xf>
    <xf numFmtId="0" fontId="28" fillId="2" borderId="18" xfId="0" applyFont="1" applyFill="1" applyBorder="1" applyAlignment="1" applyProtection="1">
      <alignment horizontal="center"/>
      <protection hidden="1"/>
    </xf>
    <xf numFmtId="0" fontId="28" fillId="2" borderId="31" xfId="0" applyFont="1" applyFill="1" applyBorder="1" applyAlignment="1" applyProtection="1">
      <alignment horizontal="center"/>
      <protection hidden="1"/>
    </xf>
    <xf numFmtId="0" fontId="28" fillId="2" borderId="10" xfId="0" applyFont="1" applyFill="1" applyBorder="1" applyAlignment="1" applyProtection="1">
      <alignment horizontal="center"/>
      <protection hidden="1"/>
    </xf>
    <xf numFmtId="0" fontId="3" fillId="8" borderId="18" xfId="0" applyFont="1" applyFill="1" applyBorder="1" applyAlignment="1" applyProtection="1">
      <alignment horizontal="center"/>
      <protection hidden="1"/>
    </xf>
    <xf numFmtId="0" fontId="3" fillId="8" borderId="31" xfId="0" applyFont="1" applyFill="1" applyBorder="1" applyAlignment="1" applyProtection="1">
      <alignment horizontal="center"/>
      <protection hidden="1"/>
    </xf>
    <xf numFmtId="0" fontId="3" fillId="8" borderId="10" xfId="0" applyFont="1" applyFill="1" applyBorder="1" applyAlignment="1" applyProtection="1">
      <alignment horizontal="center"/>
      <protection hidden="1"/>
    </xf>
    <xf numFmtId="0" fontId="16" fillId="2" borderId="18" xfId="0" applyFont="1" applyFill="1" applyBorder="1" applyAlignment="1" applyProtection="1">
      <alignment horizontal="center"/>
      <protection hidden="1"/>
    </xf>
    <xf numFmtId="0" fontId="16" fillId="2" borderId="31" xfId="0" applyFont="1" applyFill="1" applyBorder="1" applyAlignment="1" applyProtection="1">
      <alignment horizontal="center"/>
      <protection hidden="1"/>
    </xf>
    <xf numFmtId="0" fontId="3" fillId="10" borderId="18" xfId="0" applyFont="1" applyFill="1" applyBorder="1" applyAlignment="1" applyProtection="1">
      <alignment horizontal="center"/>
      <protection hidden="1"/>
    </xf>
    <xf numFmtId="0" fontId="3" fillId="10" borderId="31" xfId="0" applyFont="1" applyFill="1" applyBorder="1" applyAlignment="1" applyProtection="1">
      <alignment horizontal="center"/>
      <protection hidden="1"/>
    </xf>
    <xf numFmtId="0" fontId="3" fillId="10" borderId="10" xfId="0" applyFont="1" applyFill="1" applyBorder="1" applyAlignment="1" applyProtection="1">
      <alignment horizontal="center"/>
      <protection hidden="1"/>
    </xf>
    <xf numFmtId="0" fontId="41" fillId="15" borderId="21" xfId="0" applyFont="1" applyFill="1" applyBorder="1" applyAlignment="1" applyProtection="1">
      <alignment horizontal="center"/>
      <protection hidden="1"/>
    </xf>
    <xf numFmtId="0" fontId="41" fillId="15" borderId="35" xfId="0" applyFont="1" applyFill="1" applyBorder="1" applyAlignment="1" applyProtection="1">
      <alignment horizontal="center"/>
      <protection hidden="1"/>
    </xf>
    <xf numFmtId="0" fontId="3" fillId="27" borderId="23" xfId="0" applyFont="1" applyFill="1" applyBorder="1" applyAlignment="1" applyProtection="1">
      <alignment horizontal="center"/>
      <protection hidden="1"/>
    </xf>
    <xf numFmtId="0" fontId="3" fillId="27" borderId="24" xfId="0" applyFont="1" applyFill="1" applyBorder="1" applyAlignment="1" applyProtection="1">
      <alignment horizontal="center"/>
      <protection hidden="1"/>
    </xf>
    <xf numFmtId="0" fontId="3" fillId="27" borderId="12" xfId="0" applyFont="1" applyFill="1" applyBorder="1" applyAlignment="1" applyProtection="1">
      <alignment horizontal="center"/>
      <protection hidden="1"/>
    </xf>
    <xf numFmtId="178" fontId="58" fillId="27" borderId="18" xfId="2" applyNumberFormat="1" applyFont="1" applyFill="1" applyBorder="1" applyAlignment="1" applyProtection="1">
      <alignment horizontal="center"/>
      <protection hidden="1"/>
    </xf>
    <xf numFmtId="178" fontId="58" fillId="27" borderId="10" xfId="2" applyNumberFormat="1" applyFont="1" applyFill="1" applyBorder="1" applyAlignment="1" applyProtection="1">
      <alignment horizontal="center"/>
      <protection hidden="1"/>
    </xf>
    <xf numFmtId="2" fontId="45" fillId="22" borderId="18" xfId="0" applyNumberFormat="1" applyFont="1" applyFill="1" applyBorder="1" applyAlignment="1" applyProtection="1">
      <alignment horizontal="center"/>
      <protection hidden="1"/>
    </xf>
    <xf numFmtId="2" fontId="45" fillId="22" borderId="10" xfId="0" applyNumberFormat="1" applyFont="1" applyFill="1" applyBorder="1" applyAlignment="1" applyProtection="1">
      <alignment horizontal="center"/>
      <protection hidden="1"/>
    </xf>
    <xf numFmtId="0" fontId="18" fillId="5" borderId="21" xfId="0" applyFont="1" applyFill="1" applyBorder="1" applyAlignment="1" applyProtection="1">
      <alignment horizontal="center"/>
      <protection hidden="1"/>
    </xf>
    <xf numFmtId="0" fontId="18" fillId="5" borderId="33" xfId="0" applyFont="1" applyFill="1" applyBorder="1" applyAlignment="1" applyProtection="1">
      <alignment horizontal="center"/>
      <protection hidden="1"/>
    </xf>
    <xf numFmtId="0" fontId="18" fillId="5" borderId="35" xfId="0" applyFont="1" applyFill="1" applyBorder="1" applyAlignment="1" applyProtection="1">
      <alignment horizontal="center"/>
      <protection hidden="1"/>
    </xf>
    <xf numFmtId="0" fontId="27" fillId="5" borderId="22" xfId="0" applyFont="1" applyFill="1" applyBorder="1" applyAlignment="1" applyProtection="1">
      <alignment horizontal="center"/>
      <protection locked="0"/>
    </xf>
    <xf numFmtId="0" fontId="27" fillId="5" borderId="28" xfId="0" applyFont="1" applyFill="1" applyBorder="1" applyAlignment="1" applyProtection="1">
      <alignment horizontal="center"/>
      <protection locked="0"/>
    </xf>
    <xf numFmtId="0" fontId="27" fillId="5" borderId="29" xfId="0" applyFont="1" applyFill="1" applyBorder="1" applyAlignment="1" applyProtection="1">
      <alignment horizontal="center"/>
      <protection locked="0"/>
    </xf>
    <xf numFmtId="0" fontId="0" fillId="23" borderId="18" xfId="0" applyFill="1" applyBorder="1" applyAlignment="1" applyProtection="1">
      <alignment horizontal="center"/>
      <protection hidden="1"/>
    </xf>
    <xf numFmtId="0" fontId="0" fillId="23" borderId="31" xfId="0" applyFill="1" applyBorder="1" applyAlignment="1" applyProtection="1">
      <alignment horizontal="center"/>
      <protection hidden="1"/>
    </xf>
    <xf numFmtId="2" fontId="34" fillId="0" borderId="18" xfId="0" applyNumberFormat="1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>
      <alignment horizontal="center"/>
    </xf>
    <xf numFmtId="0" fontId="0" fillId="0" borderId="3" xfId="0" applyFill="1" applyBorder="1" applyAlignment="1" applyProtection="1">
      <alignment horizontal="center"/>
      <protection hidden="1"/>
    </xf>
    <xf numFmtId="2" fontId="34" fillId="0" borderId="10" xfId="0" applyNumberFormat="1" applyFont="1" applyFill="1" applyBorder="1" applyAlignment="1" applyProtection="1">
      <alignment horizontal="center" vertical="center"/>
      <protection hidden="1"/>
    </xf>
    <xf numFmtId="0" fontId="3" fillId="17" borderId="23" xfId="0" applyFont="1" applyFill="1" applyBorder="1" applyAlignment="1" applyProtection="1">
      <alignment horizontal="center"/>
      <protection hidden="1"/>
    </xf>
    <xf numFmtId="0" fontId="3" fillId="17" borderId="24" xfId="0" applyFont="1" applyFill="1" applyBorder="1" applyAlignment="1" applyProtection="1">
      <alignment horizontal="center"/>
      <protection hidden="1"/>
    </xf>
    <xf numFmtId="0" fontId="3" fillId="17" borderId="12" xfId="0" applyFont="1" applyFill="1" applyBorder="1" applyAlignment="1" applyProtection="1">
      <alignment horizontal="center"/>
      <protection hidden="1"/>
    </xf>
    <xf numFmtId="2" fontId="46" fillId="22" borderId="18" xfId="0" applyNumberFormat="1" applyFont="1" applyFill="1" applyBorder="1" applyAlignment="1" applyProtection="1">
      <alignment horizontal="center"/>
      <protection hidden="1"/>
    </xf>
    <xf numFmtId="0" fontId="47" fillId="0" borderId="10" xfId="0" applyFont="1" applyBorder="1"/>
    <xf numFmtId="0" fontId="0" fillId="0" borderId="18" xfId="0" applyBorder="1" applyAlignment="1" applyProtection="1">
      <alignment horizontal="center"/>
      <protection hidden="1"/>
    </xf>
    <xf numFmtId="0" fontId="0" fillId="0" borderId="31" xfId="0" applyBorder="1" applyAlignment="1" applyProtection="1">
      <alignment horizontal="center"/>
      <protection hidden="1"/>
    </xf>
    <xf numFmtId="0" fontId="19" fillId="5" borderId="26" xfId="0" applyFont="1" applyFill="1" applyBorder="1" applyAlignment="1" applyProtection="1">
      <alignment horizontal="center"/>
      <protection hidden="1"/>
    </xf>
    <xf numFmtId="0" fontId="19" fillId="5" borderId="0" xfId="0" applyFont="1" applyFill="1" applyBorder="1" applyAlignment="1" applyProtection="1">
      <alignment horizontal="center"/>
      <protection hidden="1"/>
    </xf>
    <xf numFmtId="0" fontId="19" fillId="5" borderId="27" xfId="0" applyFont="1" applyFill="1" applyBorder="1" applyAlignment="1" applyProtection="1">
      <alignment horizontal="center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169" fontId="8" fillId="15" borderId="21" xfId="0" applyNumberFormat="1" applyFont="1" applyFill="1" applyBorder="1" applyAlignment="1" applyProtection="1">
      <alignment horizontal="center"/>
      <protection hidden="1"/>
    </xf>
    <xf numFmtId="169" fontId="8" fillId="15" borderId="35" xfId="0" applyNumberFormat="1" applyFont="1" applyFill="1" applyBorder="1" applyAlignment="1" applyProtection="1">
      <alignment horizontal="center"/>
      <protection hidden="1"/>
    </xf>
    <xf numFmtId="0" fontId="0" fillId="16" borderId="18" xfId="0" applyFill="1" applyBorder="1" applyAlignment="1" applyProtection="1">
      <alignment horizontal="center"/>
      <protection hidden="1"/>
    </xf>
    <xf numFmtId="0" fontId="0" fillId="16" borderId="10" xfId="0" applyFill="1" applyBorder="1" applyAlignment="1" applyProtection="1">
      <alignment horizontal="center"/>
      <protection hidden="1"/>
    </xf>
    <xf numFmtId="0" fontId="18" fillId="7" borderId="18" xfId="0" applyFont="1" applyFill="1" applyBorder="1" applyAlignment="1" applyProtection="1">
      <alignment horizontal="center"/>
      <protection locked="0" hidden="1"/>
    </xf>
    <xf numFmtId="0" fontId="18" fillId="7" borderId="10" xfId="0" applyFont="1" applyFill="1" applyBorder="1" applyAlignment="1" applyProtection="1">
      <alignment horizontal="center"/>
      <protection locked="0" hidden="1"/>
    </xf>
    <xf numFmtId="0" fontId="0" fillId="16" borderId="31" xfId="0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27" xfId="0" applyBorder="1" applyAlignment="1" applyProtection="1">
      <alignment horizontal="center"/>
      <protection hidden="1"/>
    </xf>
    <xf numFmtId="0" fontId="0" fillId="3" borderId="21" xfId="0" applyFill="1" applyBorder="1" applyAlignment="1" applyProtection="1">
      <alignment horizontal="center"/>
      <protection hidden="1"/>
    </xf>
    <xf numFmtId="0" fontId="0" fillId="3" borderId="33" xfId="0" applyFill="1" applyBorder="1" applyAlignment="1" applyProtection="1">
      <alignment horizontal="center"/>
      <protection hidden="1"/>
    </xf>
    <xf numFmtId="0" fontId="0" fillId="3" borderId="35" xfId="0" applyFill="1" applyBorder="1" applyAlignment="1" applyProtection="1">
      <alignment horizontal="center"/>
      <protection hidden="1"/>
    </xf>
    <xf numFmtId="0" fontId="0" fillId="3" borderId="22" xfId="0" applyFill="1" applyBorder="1" applyAlignment="1" applyProtection="1">
      <alignment horizontal="center"/>
      <protection hidden="1"/>
    </xf>
    <xf numFmtId="0" fontId="0" fillId="3" borderId="28" xfId="0" applyFill="1" applyBorder="1" applyAlignment="1" applyProtection="1">
      <alignment horizontal="center"/>
      <protection hidden="1"/>
    </xf>
    <xf numFmtId="0" fontId="0" fillId="3" borderId="29" xfId="0" applyFill="1" applyBorder="1" applyAlignment="1" applyProtection="1">
      <alignment horizontal="center"/>
      <protection hidden="1"/>
    </xf>
    <xf numFmtId="0" fontId="19" fillId="5" borderId="21" xfId="0" applyFont="1" applyFill="1" applyBorder="1" applyAlignment="1" applyProtection="1">
      <alignment horizontal="center"/>
      <protection hidden="1"/>
    </xf>
    <xf numFmtId="0" fontId="19" fillId="5" borderId="33" xfId="0" applyFont="1" applyFill="1" applyBorder="1" applyAlignment="1" applyProtection="1">
      <alignment horizontal="center"/>
      <protection hidden="1"/>
    </xf>
    <xf numFmtId="0" fontId="19" fillId="5" borderId="35" xfId="0" applyFont="1" applyFill="1" applyBorder="1" applyAlignment="1" applyProtection="1">
      <alignment horizontal="center"/>
      <protection hidden="1"/>
    </xf>
    <xf numFmtId="0" fontId="19" fillId="2" borderId="18" xfId="0" applyFont="1" applyFill="1" applyBorder="1" applyAlignment="1" applyProtection="1">
      <alignment horizontal="center"/>
      <protection hidden="1"/>
    </xf>
    <xf numFmtId="0" fontId="19" fillId="2" borderId="31" xfId="0" applyFont="1" applyFill="1" applyBorder="1" applyAlignment="1" applyProtection="1">
      <alignment horizontal="center"/>
      <protection hidden="1"/>
    </xf>
    <xf numFmtId="0" fontId="19" fillId="2" borderId="10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169" fontId="35" fillId="15" borderId="22" xfId="0" applyNumberFormat="1" applyFont="1" applyFill="1" applyBorder="1" applyAlignment="1" applyProtection="1">
      <alignment horizontal="center"/>
      <protection hidden="1"/>
    </xf>
    <xf numFmtId="169" fontId="35" fillId="15" borderId="29" xfId="0" applyNumberFormat="1" applyFont="1" applyFill="1" applyBorder="1" applyAlignment="1" applyProtection="1">
      <alignment horizontal="center"/>
      <protection hidden="1"/>
    </xf>
    <xf numFmtId="0" fontId="64" fillId="30" borderId="0" xfId="0" applyFont="1" applyFill="1" applyAlignment="1">
      <alignment horizontal="center"/>
    </xf>
    <xf numFmtId="0" fontId="64" fillId="30" borderId="0" xfId="0" applyFont="1" applyFill="1" applyBorder="1" applyAlignment="1">
      <alignment horizontal="center"/>
    </xf>
    <xf numFmtId="0" fontId="65" fillId="31" borderId="0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47">
    <dxf>
      <font>
        <b/>
        <i val="0"/>
        <condense val="0"/>
        <extend val="0"/>
        <color indexed="16"/>
      </font>
      <fill>
        <patternFill>
          <bgColor indexed="9"/>
        </patternFill>
      </fill>
    </dxf>
    <dxf>
      <font>
        <color rgb="FFFF0000"/>
      </font>
      <fill>
        <patternFill>
          <bgColor rgb="FF00B0F0"/>
        </patternFill>
      </fill>
    </dxf>
    <dxf>
      <font>
        <b/>
        <i val="0"/>
        <condense val="0"/>
        <extend val="0"/>
        <color indexed="16"/>
      </font>
      <fill>
        <patternFill>
          <bgColor indexed="9"/>
        </patternFill>
      </fill>
    </dxf>
    <dxf>
      <font>
        <b/>
        <i val="0"/>
        <condense val="0"/>
        <extend val="0"/>
        <color indexed="16"/>
      </font>
      <fill>
        <patternFill>
          <bgColor indexed="9"/>
        </patternFill>
      </fill>
    </dxf>
    <dxf>
      <font>
        <b/>
        <i val="0"/>
        <condense val="0"/>
        <extend val="0"/>
        <color indexed="16"/>
      </font>
      <fill>
        <patternFill>
          <bgColor indexed="9"/>
        </patternFill>
      </fill>
    </dxf>
    <dxf>
      <font>
        <b/>
        <i val="0"/>
        <condense val="0"/>
        <extend val="0"/>
        <color indexed="16"/>
      </font>
      <fill>
        <patternFill>
          <bgColor indexed="9"/>
        </patternFill>
      </fill>
    </dxf>
    <dxf>
      <font>
        <b/>
        <i val="0"/>
        <condense val="0"/>
        <extend val="0"/>
        <color indexed="16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9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9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9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9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b val="0"/>
        <i val="0"/>
        <color rgb="FFFFFF00"/>
      </font>
      <fill>
        <patternFill>
          <bgColor theme="9" tint="-0.499984740745262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u val="double"/>
        <color indexed="10"/>
      </font>
    </dxf>
    <dxf>
      <font>
        <b/>
        <i val="0"/>
        <color rgb="FFFFFF00"/>
      </font>
      <fill>
        <patternFill>
          <bgColor theme="9" tint="-0.499984740745262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rgb="FFFFFF00"/>
      </font>
      <fill>
        <patternFill>
          <bgColor theme="9" tint="-0.499984740745262"/>
        </patternFill>
      </fill>
    </dxf>
    <dxf>
      <fill>
        <patternFill>
          <bgColor indexed="10"/>
        </patternFill>
      </fill>
      <border>
        <left/>
        <right/>
        <top/>
        <bottom/>
      </border>
    </dxf>
    <dxf>
      <font>
        <condense val="0"/>
        <extend val="0"/>
        <color indexed="58"/>
      </font>
      <fill>
        <patternFill>
          <bgColor indexed="9"/>
        </patternFill>
      </fill>
    </dxf>
    <dxf>
      <fill>
        <patternFill>
          <bgColor indexed="9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58"/>
      </font>
      <fill>
        <patternFill>
          <bgColor indexed="9"/>
        </patternFill>
      </fill>
    </dxf>
    <dxf>
      <font>
        <condense val="0"/>
        <extend val="0"/>
        <color indexed="58"/>
      </font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Suivi heures par mois
</a:t>
            </a:r>
          </a:p>
        </c:rich>
      </c:tx>
      <c:layout>
        <c:manualLayout>
          <c:xMode val="edge"/>
          <c:yMode val="edge"/>
          <c:x val="0.37458797848291847"/>
          <c:y val="2.7272727272730012E-2"/>
        </c:manualLayout>
      </c:layout>
      <c:spPr>
        <a:noFill/>
        <a:ln w="25400">
          <a:noFill/>
        </a:ln>
      </c:spPr>
    </c:title>
    <c:view3D>
      <c:hPercent val="77"/>
      <c:depthPercent val="100"/>
      <c:rAngAx val="1"/>
    </c:view3D>
    <c:floor>
      <c:spPr>
        <a:noFill/>
        <a:ln w="3175">
          <a:solidFill>
            <a:srgbClr val="000000"/>
          </a:solidFill>
          <a:prstDash val="solid"/>
        </a:ln>
      </c:spPr>
    </c:floor>
    <c:sideWall>
      <c:spPr>
        <a:noFill/>
        <a:ln w="12700">
          <a:solidFill>
            <a:srgbClr val="808080"/>
          </a:solidFill>
          <a:prstDash val="solid"/>
        </a:ln>
      </c:spPr>
    </c:sideWall>
    <c:backWall>
      <c:spPr>
        <a:noFill/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2850742428913007E-2"/>
          <c:y val="7.8158921305745532E-2"/>
          <c:w val="0.72884510406396263"/>
          <c:h val="0.74916245226510991"/>
        </c:manualLayout>
      </c:layout>
      <c:bar3DChart>
        <c:barDir val="col"/>
        <c:grouping val="stacked"/>
        <c:ser>
          <c:idx val="1"/>
          <c:order val="0"/>
          <c:tx>
            <c:strRef>
              <c:f>'Récapitulatif '!$D$6</c:f>
              <c:strCache>
                <c:ptCount val="1"/>
                <c:pt idx="0">
                  <c:v>Nuit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'Récapitulatif '!$B$7:$B$18</c:f>
              <c:strCache>
                <c:ptCount val="12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  <c:pt idx="4">
                  <c:v>octobre</c:v>
                </c:pt>
                <c:pt idx="5">
                  <c:v>novembre</c:v>
                </c:pt>
                <c:pt idx="6">
                  <c:v>décembre</c:v>
                </c:pt>
                <c:pt idx="7">
                  <c:v>janvier</c:v>
                </c:pt>
                <c:pt idx="8">
                  <c:v>février</c:v>
                </c:pt>
                <c:pt idx="9">
                  <c:v>mars</c:v>
                </c:pt>
                <c:pt idx="10">
                  <c:v>avril</c:v>
                </c:pt>
                <c:pt idx="11">
                  <c:v>mai</c:v>
                </c:pt>
              </c:strCache>
            </c:strRef>
          </c:cat>
          <c:val>
            <c:numRef>
              <c:f>'Récapitulatif '!$D$7:$D$18</c:f>
              <c:numCache>
                <c:formatCode>0.00</c:formatCode>
                <c:ptCount val="12"/>
                <c:pt idx="0">
                  <c:v>45.666666666666671</c:v>
                </c:pt>
                <c:pt idx="1">
                  <c:v>41.333333333333343</c:v>
                </c:pt>
                <c:pt idx="2">
                  <c:v>74.749999999999972</c:v>
                </c:pt>
                <c:pt idx="3">
                  <c:v>51.416666666666671</c:v>
                </c:pt>
                <c:pt idx="4">
                  <c:v>98.166666666666671</c:v>
                </c:pt>
                <c:pt idx="5">
                  <c:v>44.750000000000014</c:v>
                </c:pt>
                <c:pt idx="6">
                  <c:v>47</c:v>
                </c:pt>
                <c:pt idx="7">
                  <c:v>64.25</c:v>
                </c:pt>
                <c:pt idx="8">
                  <c:v>44.75</c:v>
                </c:pt>
                <c:pt idx="9">
                  <c:v>38.333333333333336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1"/>
          <c:tx>
            <c:strRef>
              <c:f>'Récapitulatif '!$E$6</c:f>
              <c:strCache>
                <c:ptCount val="1"/>
                <c:pt idx="0">
                  <c:v>Jour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'Récapitulatif '!$E$7:$E$18</c:f>
              <c:numCache>
                <c:formatCode>0.00</c:formatCode>
                <c:ptCount val="12"/>
                <c:pt idx="0">
                  <c:v>116.99999999999999</c:v>
                </c:pt>
                <c:pt idx="1">
                  <c:v>120.08333333333331</c:v>
                </c:pt>
                <c:pt idx="2">
                  <c:v>46.333333333333371</c:v>
                </c:pt>
                <c:pt idx="3">
                  <c:v>64.75</c:v>
                </c:pt>
                <c:pt idx="4">
                  <c:v>77.083333333333329</c:v>
                </c:pt>
                <c:pt idx="5">
                  <c:v>100.91666666666664</c:v>
                </c:pt>
                <c:pt idx="6">
                  <c:v>6.5833333333333357</c:v>
                </c:pt>
                <c:pt idx="7">
                  <c:v>52.166666666666671</c:v>
                </c:pt>
                <c:pt idx="8">
                  <c:v>96.833333333333343</c:v>
                </c:pt>
                <c:pt idx="9">
                  <c:v>31.333333333333321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'Récapitulatif '!$N$5:$P$5</c:f>
              <c:strCache>
                <c:ptCount val="1"/>
                <c:pt idx="0">
                  <c:v>Congés payés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'Récapitulatif '!$B$7:$B$18</c:f>
              <c:strCache>
                <c:ptCount val="12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  <c:pt idx="4">
                  <c:v>octobre</c:v>
                </c:pt>
                <c:pt idx="5">
                  <c:v>novembre</c:v>
                </c:pt>
                <c:pt idx="6">
                  <c:v>décembre</c:v>
                </c:pt>
                <c:pt idx="7">
                  <c:v>janvier</c:v>
                </c:pt>
                <c:pt idx="8">
                  <c:v>février</c:v>
                </c:pt>
                <c:pt idx="9">
                  <c:v>mars</c:v>
                </c:pt>
                <c:pt idx="10">
                  <c:v>avril</c:v>
                </c:pt>
                <c:pt idx="11">
                  <c:v>mai</c:v>
                </c:pt>
              </c:strCache>
            </c:strRef>
          </c:cat>
          <c:val>
            <c:numRef>
              <c:f>'Récapitulatif '!$O$7:$O$18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34.5</c:v>
                </c:pt>
                <c:pt idx="3">
                  <c:v>34.5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13.8</c:v>
                </c:pt>
                <c:pt idx="8">
                  <c:v>0</c:v>
                </c:pt>
                <c:pt idx="9">
                  <c:v>0</c:v>
                </c:pt>
                <c:pt idx="10">
                  <c:v>27.6</c:v>
                </c:pt>
                <c:pt idx="11">
                  <c:v>27.6</c:v>
                </c:pt>
              </c:numCache>
            </c:numRef>
          </c:val>
        </c:ser>
        <c:shape val="box"/>
        <c:axId val="93484928"/>
        <c:axId val="93486464"/>
        <c:axId val="0"/>
      </c:bar3DChart>
      <c:catAx>
        <c:axId val="93484928"/>
        <c:scaling>
          <c:orientation val="minMax"/>
        </c:scaling>
        <c:axPos val="b"/>
        <c:numFmt formatCode="mmmm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216000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486464"/>
        <c:crosses val="autoZero"/>
        <c:auto val="1"/>
        <c:lblAlgn val="ctr"/>
        <c:lblOffset val="100"/>
        <c:tickLblSkip val="1"/>
        <c:tickMarkSkip val="1"/>
      </c:catAx>
      <c:valAx>
        <c:axId val="934864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4849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178356418319065"/>
          <c:y val="0.48863636363636381"/>
          <c:w val="0.16501684814150724"/>
          <c:h val="0.13863636363636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Solde R.C. et C.E.T.</a:t>
            </a:r>
          </a:p>
        </c:rich>
      </c:tx>
      <c:layout>
        <c:manualLayout>
          <c:xMode val="edge"/>
          <c:yMode val="edge"/>
          <c:x val="0.37478145354422637"/>
          <c:y val="3.20366132723116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32758398059871"/>
          <c:y val="0.16475972540045766"/>
          <c:w val="0.80804027047403582"/>
          <c:h val="0.55765167690402384"/>
        </c:manualLayout>
      </c:layout>
      <c:lineChart>
        <c:grouping val="standard"/>
        <c:ser>
          <c:idx val="0"/>
          <c:order val="0"/>
          <c:tx>
            <c:strRef>
              <c:f>'Récapitulatif '!$V$5:$X$5</c:f>
              <c:strCache>
                <c:ptCount val="1"/>
                <c:pt idx="0">
                  <c:v>C.E.T.</c:v>
                </c:pt>
              </c:strCache>
            </c:strRef>
          </c:tx>
          <c:spPr>
            <a:ln w="127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'Récapitulatif '!$B$7:$B$18</c:f>
              <c:strCache>
                <c:ptCount val="12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  <c:pt idx="4">
                  <c:v>octobre</c:v>
                </c:pt>
                <c:pt idx="5">
                  <c:v>novembre</c:v>
                </c:pt>
                <c:pt idx="6">
                  <c:v>décembre</c:v>
                </c:pt>
                <c:pt idx="7">
                  <c:v>janvier</c:v>
                </c:pt>
                <c:pt idx="8">
                  <c:v>février</c:v>
                </c:pt>
                <c:pt idx="9">
                  <c:v>mars</c:v>
                </c:pt>
                <c:pt idx="10">
                  <c:v>avril</c:v>
                </c:pt>
                <c:pt idx="11">
                  <c:v>mai</c:v>
                </c:pt>
              </c:strCache>
            </c:strRef>
          </c:cat>
          <c:val>
            <c:numRef>
              <c:f>'Récapitulatif '!$X$7:$X$18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'Récapitulatif '!$R$5:$T$5</c:f>
              <c:strCache>
                <c:ptCount val="1"/>
                <c:pt idx="0">
                  <c:v>Repos compensateur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'Récapitulatif '!$B$7:$B$18</c:f>
              <c:strCache>
                <c:ptCount val="12"/>
                <c:pt idx="0">
                  <c:v>juin</c:v>
                </c:pt>
                <c:pt idx="1">
                  <c:v>juillet</c:v>
                </c:pt>
                <c:pt idx="2">
                  <c:v>aout</c:v>
                </c:pt>
                <c:pt idx="3">
                  <c:v>septembre</c:v>
                </c:pt>
                <c:pt idx="4">
                  <c:v>octobre</c:v>
                </c:pt>
                <c:pt idx="5">
                  <c:v>novembre</c:v>
                </c:pt>
                <c:pt idx="6">
                  <c:v>décembre</c:v>
                </c:pt>
                <c:pt idx="7">
                  <c:v>janvier</c:v>
                </c:pt>
                <c:pt idx="8">
                  <c:v>février</c:v>
                </c:pt>
                <c:pt idx="9">
                  <c:v>mars</c:v>
                </c:pt>
                <c:pt idx="10">
                  <c:v>avril</c:v>
                </c:pt>
                <c:pt idx="11">
                  <c:v>mai</c:v>
                </c:pt>
              </c:strCache>
            </c:strRef>
          </c:cat>
          <c:val>
            <c:numRef>
              <c:f>'Récapitulatif '!$T$7:$T$18</c:f>
              <c:numCache>
                <c:formatCode>0.00</c:formatCode>
                <c:ptCount val="12"/>
                <c:pt idx="0">
                  <c:v>45.73</c:v>
                </c:pt>
                <c:pt idx="1">
                  <c:v>46.563333333333333</c:v>
                </c:pt>
                <c:pt idx="2">
                  <c:v>48.063333333333333</c:v>
                </c:pt>
                <c:pt idx="3">
                  <c:v>49.063333333333333</c:v>
                </c:pt>
                <c:pt idx="4">
                  <c:v>51.063333333333333</c:v>
                </c:pt>
                <c:pt idx="5">
                  <c:v>51.896666666666668</c:v>
                </c:pt>
                <c:pt idx="6">
                  <c:v>52.896666666666668</c:v>
                </c:pt>
                <c:pt idx="7">
                  <c:v>54.230000000000004</c:v>
                </c:pt>
                <c:pt idx="8">
                  <c:v>55.06333333333334</c:v>
                </c:pt>
                <c:pt idx="9">
                  <c:v>55.896666666666675</c:v>
                </c:pt>
                <c:pt idx="10">
                  <c:v>55.896666666666675</c:v>
                </c:pt>
                <c:pt idx="11">
                  <c:v>55.896666666666675</c:v>
                </c:pt>
              </c:numCache>
            </c:numRef>
          </c:val>
        </c:ser>
        <c:marker val="1"/>
        <c:axId val="93540736"/>
        <c:axId val="93542272"/>
      </c:lineChart>
      <c:catAx>
        <c:axId val="93540736"/>
        <c:scaling>
          <c:orientation val="minMax"/>
        </c:scaling>
        <c:axPos val="b"/>
        <c:numFmt formatCode="[$-40C]mmmm\-yy;@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542272"/>
        <c:crosses val="autoZero"/>
        <c:auto val="1"/>
        <c:lblAlgn val="ctr"/>
        <c:lblOffset val="100"/>
        <c:tickLblSkip val="1"/>
        <c:tickMarkSkip val="1"/>
      </c:catAx>
      <c:valAx>
        <c:axId val="935422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54073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8041270049598498"/>
          <c:y val="0.90200077167481973"/>
          <c:w val="0.64858371999381192"/>
          <c:h val="6.166475815686337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Répartition heures</a:t>
            </a:r>
          </a:p>
        </c:rich>
      </c:tx>
      <c:layout>
        <c:manualLayout>
          <c:xMode val="edge"/>
          <c:yMode val="edge"/>
          <c:x val="0.36147812657985579"/>
          <c:y val="3.96825396825396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0.21635911779447234"/>
          <c:y val="0.31746154770257384"/>
          <c:w val="0.55936747527348363"/>
          <c:h val="0.33333462508771794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2"/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57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</c:dLbls>
          <c:cat>
            <c:strRef>
              <c:f>'Récapitulatif '!$C$26:$E$26</c:f>
              <c:strCache>
                <c:ptCount val="3"/>
                <c:pt idx="0">
                  <c:v>Pasto</c:v>
                </c:pt>
                <c:pt idx="1">
                  <c:v>Prépa</c:v>
                </c:pt>
                <c:pt idx="2">
                  <c:v>Divers</c:v>
                </c:pt>
              </c:strCache>
            </c:strRef>
          </c:cat>
          <c:val>
            <c:numRef>
              <c:f>'Récapitulatif '!$C$39:$E$39</c:f>
              <c:numCache>
                <c:formatCode>0.00</c:formatCode>
                <c:ptCount val="3"/>
                <c:pt idx="0">
                  <c:v>1173.9166666666667</c:v>
                </c:pt>
                <c:pt idx="1">
                  <c:v>60.916666666666657</c:v>
                </c:pt>
                <c:pt idx="2">
                  <c:v>31.000000000000004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explosion val="12"/>
          <c:dPt>
            <c:idx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numRef>
              <c:f>'Récapitulatif '!$G$31:$G$33</c:f>
              <c:numCache>
                <c:formatCode>General</c:formatCode>
                <c:ptCount val="3"/>
                <c:pt idx="0">
                  <c:v>6</c:v>
                </c:pt>
                <c:pt idx="1">
                  <c:v>6</c:v>
                </c:pt>
                <c:pt idx="2">
                  <c:v>1</c:v>
                </c:pt>
              </c:numCache>
            </c:numRef>
          </c:cat>
          <c:val>
            <c:numRef>
              <c:f>'Récapitulatif '!$I$31:$I$33</c:f>
              <c:numCache>
                <c:formatCode>General</c:formatCode>
                <c:ptCount val="3"/>
                <c:pt idx="0">
                  <c:v>12</c:v>
                </c:pt>
                <c:pt idx="1">
                  <c:v>5</c:v>
                </c:pt>
                <c:pt idx="2">
                  <c:v>6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9709762532981546E-2"/>
          <c:y val="0.77778069407994643"/>
          <c:w val="0.82585862782983765"/>
          <c:h val="0.166667499895851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Répartition des jours par postes
</a:t>
            </a:r>
          </a:p>
        </c:rich>
      </c:tx>
      <c:layout>
        <c:manualLayout>
          <c:xMode val="edge"/>
          <c:yMode val="edge"/>
          <c:x val="0.27362225391117451"/>
          <c:y val="3.211009174311927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929198189512845E-2"/>
          <c:y val="0.15825705796778491"/>
          <c:w val="0.81889842490698161"/>
          <c:h val="0.69495490672812565"/>
        </c:manualLayout>
      </c:layout>
      <c:barChart>
        <c:barDir val="col"/>
        <c:grouping val="clustered"/>
        <c:ser>
          <c:idx val="0"/>
          <c:order val="0"/>
          <c:tx>
            <c:v>Nombre de jours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strRef>
              <c:f>'Récapitulatif '!$G$26:$I$26</c:f>
              <c:strCache>
                <c:ptCount val="3"/>
                <c:pt idx="0">
                  <c:v>Matin</c:v>
                </c:pt>
                <c:pt idx="1">
                  <c:v>A. Midi</c:v>
                </c:pt>
                <c:pt idx="2">
                  <c:v>Nuit</c:v>
                </c:pt>
              </c:strCache>
            </c:strRef>
          </c:cat>
          <c:val>
            <c:numRef>
              <c:f>'Récapitulatif '!$G$39:$I$39</c:f>
              <c:numCache>
                <c:formatCode>General</c:formatCode>
                <c:ptCount val="3"/>
                <c:pt idx="0">
                  <c:v>50</c:v>
                </c:pt>
                <c:pt idx="1">
                  <c:v>46</c:v>
                </c:pt>
                <c:pt idx="2">
                  <c:v>66</c:v>
                </c:pt>
              </c:numCache>
            </c:numRef>
          </c:val>
        </c:ser>
        <c:ser>
          <c:idx val="1"/>
          <c:order val="1"/>
          <c:tx>
            <c:v>Cumul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75" b="1" i="0" u="none" strike="noStrike" baseline="0">
                    <a:solidFill>
                      <a:srgbClr val="008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val>
            <c:numRef>
              <c:f>'Récapitulatif '!$K$39</c:f>
              <c:numCache>
                <c:formatCode>General</c:formatCode>
                <c:ptCount val="1"/>
                <c:pt idx="0">
                  <c:v>162</c:v>
                </c:pt>
              </c:numCache>
            </c:numRef>
          </c:val>
        </c:ser>
        <c:dLbls>
          <c:showVal val="1"/>
        </c:dLbls>
        <c:axId val="93445504"/>
        <c:axId val="93451392"/>
      </c:barChart>
      <c:catAx>
        <c:axId val="93445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8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451392"/>
        <c:crosses val="autoZero"/>
        <c:auto val="1"/>
        <c:lblAlgn val="ctr"/>
        <c:lblOffset val="100"/>
        <c:tickLblSkip val="1"/>
        <c:tickMarkSkip val="1"/>
      </c:catAx>
      <c:valAx>
        <c:axId val="934513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3445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1850414367495424"/>
          <c:y val="0.92201931180620456"/>
          <c:w val="0.50393742120817575"/>
          <c:h val="5.045871559633031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85725</xdr:colOff>
      <xdr:row>26</xdr:row>
      <xdr:rowOff>85725</xdr:rowOff>
    </xdr:from>
    <xdr:to>
      <xdr:col>32</xdr:col>
      <xdr:colOff>409575</xdr:colOff>
      <xdr:row>26</xdr:row>
      <xdr:rowOff>85725</xdr:rowOff>
    </xdr:to>
    <xdr:sp macro="" textlink="">
      <xdr:nvSpPr>
        <xdr:cNvPr id="1197" name="Line 1"/>
        <xdr:cNvSpPr>
          <a:spLocks noChangeShapeType="1"/>
        </xdr:cNvSpPr>
      </xdr:nvSpPr>
      <xdr:spPr bwMode="auto">
        <a:xfrm>
          <a:off x="14030325" y="548640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27</xdr:row>
      <xdr:rowOff>76200</xdr:rowOff>
    </xdr:from>
    <xdr:to>
      <xdr:col>32</xdr:col>
      <xdr:colOff>409575</xdr:colOff>
      <xdr:row>27</xdr:row>
      <xdr:rowOff>76200</xdr:rowOff>
    </xdr:to>
    <xdr:sp macro="" textlink="">
      <xdr:nvSpPr>
        <xdr:cNvPr id="1198" name="Line 2"/>
        <xdr:cNvSpPr>
          <a:spLocks noChangeShapeType="1"/>
        </xdr:cNvSpPr>
      </xdr:nvSpPr>
      <xdr:spPr bwMode="auto">
        <a:xfrm>
          <a:off x="14030325" y="5648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28</xdr:row>
      <xdr:rowOff>76200</xdr:rowOff>
    </xdr:from>
    <xdr:to>
      <xdr:col>32</xdr:col>
      <xdr:colOff>409575</xdr:colOff>
      <xdr:row>28</xdr:row>
      <xdr:rowOff>76200</xdr:rowOff>
    </xdr:to>
    <xdr:sp macro="" textlink="">
      <xdr:nvSpPr>
        <xdr:cNvPr id="1199" name="Line 3"/>
        <xdr:cNvSpPr>
          <a:spLocks noChangeShapeType="1"/>
        </xdr:cNvSpPr>
      </xdr:nvSpPr>
      <xdr:spPr bwMode="auto">
        <a:xfrm>
          <a:off x="14030325" y="58388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29</xdr:row>
      <xdr:rowOff>76200</xdr:rowOff>
    </xdr:from>
    <xdr:to>
      <xdr:col>32</xdr:col>
      <xdr:colOff>409575</xdr:colOff>
      <xdr:row>29</xdr:row>
      <xdr:rowOff>76200</xdr:rowOff>
    </xdr:to>
    <xdr:sp macro="" textlink="">
      <xdr:nvSpPr>
        <xdr:cNvPr id="1200" name="Line 4"/>
        <xdr:cNvSpPr>
          <a:spLocks noChangeShapeType="1"/>
        </xdr:cNvSpPr>
      </xdr:nvSpPr>
      <xdr:spPr bwMode="auto">
        <a:xfrm>
          <a:off x="14030325" y="6029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30</xdr:row>
      <xdr:rowOff>76200</xdr:rowOff>
    </xdr:from>
    <xdr:to>
      <xdr:col>32</xdr:col>
      <xdr:colOff>409575</xdr:colOff>
      <xdr:row>30</xdr:row>
      <xdr:rowOff>76200</xdr:rowOff>
    </xdr:to>
    <xdr:sp macro="" textlink="">
      <xdr:nvSpPr>
        <xdr:cNvPr id="1201" name="Line 5"/>
        <xdr:cNvSpPr>
          <a:spLocks noChangeShapeType="1"/>
        </xdr:cNvSpPr>
      </xdr:nvSpPr>
      <xdr:spPr bwMode="auto">
        <a:xfrm>
          <a:off x="14030325" y="62198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31</xdr:row>
      <xdr:rowOff>76200</xdr:rowOff>
    </xdr:from>
    <xdr:to>
      <xdr:col>32</xdr:col>
      <xdr:colOff>409575</xdr:colOff>
      <xdr:row>31</xdr:row>
      <xdr:rowOff>76200</xdr:rowOff>
    </xdr:to>
    <xdr:sp macro="" textlink="">
      <xdr:nvSpPr>
        <xdr:cNvPr id="1202" name="Line 6"/>
        <xdr:cNvSpPr>
          <a:spLocks noChangeShapeType="1"/>
        </xdr:cNvSpPr>
      </xdr:nvSpPr>
      <xdr:spPr bwMode="auto">
        <a:xfrm>
          <a:off x="14030325" y="6410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32</xdr:row>
      <xdr:rowOff>76200</xdr:rowOff>
    </xdr:from>
    <xdr:to>
      <xdr:col>32</xdr:col>
      <xdr:colOff>409575</xdr:colOff>
      <xdr:row>32</xdr:row>
      <xdr:rowOff>76200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14030325" y="66008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33</xdr:row>
      <xdr:rowOff>76200</xdr:rowOff>
    </xdr:from>
    <xdr:to>
      <xdr:col>32</xdr:col>
      <xdr:colOff>409575</xdr:colOff>
      <xdr:row>33</xdr:row>
      <xdr:rowOff>76200</xdr:rowOff>
    </xdr:to>
    <xdr:sp macro="" textlink="">
      <xdr:nvSpPr>
        <xdr:cNvPr id="1204" name="Line 8"/>
        <xdr:cNvSpPr>
          <a:spLocks noChangeShapeType="1"/>
        </xdr:cNvSpPr>
      </xdr:nvSpPr>
      <xdr:spPr bwMode="auto">
        <a:xfrm>
          <a:off x="14030325" y="6791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34</xdr:row>
      <xdr:rowOff>76200</xdr:rowOff>
    </xdr:from>
    <xdr:to>
      <xdr:col>32</xdr:col>
      <xdr:colOff>409575</xdr:colOff>
      <xdr:row>34</xdr:row>
      <xdr:rowOff>76200</xdr:rowOff>
    </xdr:to>
    <xdr:sp macro="" textlink="">
      <xdr:nvSpPr>
        <xdr:cNvPr id="1205" name="Line 9"/>
        <xdr:cNvSpPr>
          <a:spLocks noChangeShapeType="1"/>
        </xdr:cNvSpPr>
      </xdr:nvSpPr>
      <xdr:spPr bwMode="auto">
        <a:xfrm>
          <a:off x="14030325" y="69818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35</xdr:row>
      <xdr:rowOff>76200</xdr:rowOff>
    </xdr:from>
    <xdr:to>
      <xdr:col>32</xdr:col>
      <xdr:colOff>409575</xdr:colOff>
      <xdr:row>35</xdr:row>
      <xdr:rowOff>76200</xdr:rowOff>
    </xdr:to>
    <xdr:sp macro="" textlink="">
      <xdr:nvSpPr>
        <xdr:cNvPr id="1206" name="Line 10"/>
        <xdr:cNvSpPr>
          <a:spLocks noChangeShapeType="1"/>
        </xdr:cNvSpPr>
      </xdr:nvSpPr>
      <xdr:spPr bwMode="auto">
        <a:xfrm>
          <a:off x="14030325" y="7172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36</xdr:row>
      <xdr:rowOff>76200</xdr:rowOff>
    </xdr:from>
    <xdr:to>
      <xdr:col>32</xdr:col>
      <xdr:colOff>409575</xdr:colOff>
      <xdr:row>36</xdr:row>
      <xdr:rowOff>76200</xdr:rowOff>
    </xdr:to>
    <xdr:sp macro="" textlink="">
      <xdr:nvSpPr>
        <xdr:cNvPr id="1207" name="Line 11"/>
        <xdr:cNvSpPr>
          <a:spLocks noChangeShapeType="1"/>
        </xdr:cNvSpPr>
      </xdr:nvSpPr>
      <xdr:spPr bwMode="auto">
        <a:xfrm>
          <a:off x="14030325" y="73628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37</xdr:row>
      <xdr:rowOff>76200</xdr:rowOff>
    </xdr:from>
    <xdr:to>
      <xdr:col>32</xdr:col>
      <xdr:colOff>409575</xdr:colOff>
      <xdr:row>37</xdr:row>
      <xdr:rowOff>76200</xdr:rowOff>
    </xdr:to>
    <xdr:sp macro="" textlink="">
      <xdr:nvSpPr>
        <xdr:cNvPr id="1208" name="Line 12"/>
        <xdr:cNvSpPr>
          <a:spLocks noChangeShapeType="1"/>
        </xdr:cNvSpPr>
      </xdr:nvSpPr>
      <xdr:spPr bwMode="auto">
        <a:xfrm>
          <a:off x="14030325" y="75533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32</xdr:col>
      <xdr:colOff>85725</xdr:colOff>
      <xdr:row>38</xdr:row>
      <xdr:rowOff>76200</xdr:rowOff>
    </xdr:from>
    <xdr:to>
      <xdr:col>32</xdr:col>
      <xdr:colOff>409575</xdr:colOff>
      <xdr:row>38</xdr:row>
      <xdr:rowOff>76200</xdr:rowOff>
    </xdr:to>
    <xdr:sp macro="" textlink="">
      <xdr:nvSpPr>
        <xdr:cNvPr id="1209" name="Line 13"/>
        <xdr:cNvSpPr>
          <a:spLocks noChangeShapeType="1"/>
        </xdr:cNvSpPr>
      </xdr:nvSpPr>
      <xdr:spPr bwMode="auto">
        <a:xfrm>
          <a:off x="14030325" y="77438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29</xdr:col>
      <xdr:colOff>142875</xdr:colOff>
      <xdr:row>22</xdr:row>
      <xdr:rowOff>219075</xdr:rowOff>
    </xdr:from>
    <xdr:to>
      <xdr:col>35</xdr:col>
      <xdr:colOff>457200</xdr:colOff>
      <xdr:row>24</xdr:row>
      <xdr:rowOff>38100</xdr:rowOff>
    </xdr:to>
    <xdr:sp macro="" textlink="">
      <xdr:nvSpPr>
        <xdr:cNvPr id="1162" name="Text Box 138"/>
        <xdr:cNvSpPr txBox="1">
          <a:spLocks noChangeArrowheads="1"/>
        </xdr:cNvSpPr>
      </xdr:nvSpPr>
      <xdr:spPr bwMode="auto">
        <a:xfrm>
          <a:off x="11944350" y="4733925"/>
          <a:ext cx="4600575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ATTENTION  RENTRER ICI LE NOMBRE DE JOURS EN </a:t>
          </a:r>
          <a:r>
            <a:rPr lang="fr-FR" sz="1000" b="1" i="0" u="sng" strike="noStrike">
              <a:solidFill>
                <a:srgbClr val="000000"/>
              </a:solidFill>
              <a:latin typeface="Arial"/>
              <a:cs typeface="Arial"/>
            </a:rPr>
            <a:t>ARRET MALADIE ET </a:t>
          </a:r>
        </a:p>
        <a:p>
          <a:pPr algn="l" rtl="0">
            <a:defRPr sz="1000"/>
          </a:pPr>
          <a:r>
            <a:rPr lang="fr-FR" sz="1000" b="1" i="0" u="sng" strike="noStrike">
              <a:solidFill>
                <a:srgbClr val="000000"/>
              </a:solidFill>
              <a:latin typeface="Arial"/>
              <a:cs typeface="Arial"/>
            </a:rPr>
            <a:t>EN ACCIDENT DE TRAVAIL</a:t>
          </a: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SUR LA PERIODE </a:t>
          </a:r>
        </a:p>
      </xdr:txBody>
    </xdr:sp>
    <xdr:clientData/>
  </xdr:twoCellAnchor>
  <xdr:twoCellAnchor>
    <xdr:from>
      <xdr:col>33</xdr:col>
      <xdr:colOff>219075</xdr:colOff>
      <xdr:row>23</xdr:row>
      <xdr:rowOff>257175</xdr:rowOff>
    </xdr:from>
    <xdr:to>
      <xdr:col>34</xdr:col>
      <xdr:colOff>333375</xdr:colOff>
      <xdr:row>24</xdr:row>
      <xdr:rowOff>152400</xdr:rowOff>
    </xdr:to>
    <xdr:sp macro="" textlink="">
      <xdr:nvSpPr>
        <xdr:cNvPr id="1211" name="Line 139"/>
        <xdr:cNvSpPr>
          <a:spLocks noChangeShapeType="1"/>
        </xdr:cNvSpPr>
      </xdr:nvSpPr>
      <xdr:spPr bwMode="auto">
        <a:xfrm>
          <a:off x="14878050" y="5038725"/>
          <a:ext cx="828675" cy="171450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206188</xdr:colOff>
      <xdr:row>42</xdr:row>
      <xdr:rowOff>28575</xdr:rowOff>
    </xdr:from>
    <xdr:to>
      <xdr:col>11</xdr:col>
      <xdr:colOff>292100</xdr:colOff>
      <xdr:row>66</xdr:row>
      <xdr:rowOff>113241</xdr:rowOff>
    </xdr:to>
    <xdr:graphicFrame macro="">
      <xdr:nvGraphicFramePr>
        <xdr:cNvPr id="121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235744</xdr:colOff>
      <xdr:row>66</xdr:row>
      <xdr:rowOff>142875</xdr:rowOff>
    </xdr:from>
    <xdr:to>
      <xdr:col>23</xdr:col>
      <xdr:colOff>273845</xdr:colOff>
      <xdr:row>92</xdr:row>
      <xdr:rowOff>38100</xdr:rowOff>
    </xdr:to>
    <xdr:graphicFrame macro="">
      <xdr:nvGraphicFramePr>
        <xdr:cNvPr id="1213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433917</xdr:colOff>
      <xdr:row>43</xdr:row>
      <xdr:rowOff>119457</xdr:rowOff>
    </xdr:from>
    <xdr:to>
      <xdr:col>23</xdr:col>
      <xdr:colOff>391583</xdr:colOff>
      <xdr:row>64</xdr:row>
      <xdr:rowOff>52916</xdr:rowOff>
    </xdr:to>
    <xdr:graphicFrame macro="">
      <xdr:nvGraphicFramePr>
        <xdr:cNvPr id="1214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161925</xdr:colOff>
      <xdr:row>66</xdr:row>
      <xdr:rowOff>142875</xdr:rowOff>
    </xdr:from>
    <xdr:to>
      <xdr:col>10</xdr:col>
      <xdr:colOff>114300</xdr:colOff>
      <xdr:row>92</xdr:row>
      <xdr:rowOff>28575</xdr:rowOff>
    </xdr:to>
    <xdr:graphicFrame macro="">
      <xdr:nvGraphicFramePr>
        <xdr:cNvPr id="1215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/>
  <dimension ref="A1:AN77"/>
  <sheetViews>
    <sheetView showGridLines="0" view="pageBreakPreview" zoomScaleNormal="75" zoomScaleSheetLayoutView="100" workbookViewId="0">
      <selection activeCell="A2" sqref="A2:D2"/>
    </sheetView>
  </sheetViews>
  <sheetFormatPr baseColWidth="10" defaultRowHeight="12.75"/>
  <cols>
    <col min="1" max="2" width="7.85546875" style="764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285156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6.7109375" style="1" hidden="1" customWidth="1"/>
    <col min="23" max="23" width="10.7109375" style="1" customWidth="1"/>
    <col min="24" max="24" width="6.7109375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4" width="8.7109375" style="24" hidden="1" customWidth="1"/>
    <col min="35" max="35" width="8.7109375" style="1" customWidth="1"/>
    <col min="36" max="36" width="10.7109375" style="1" customWidth="1"/>
    <col min="37" max="16384" width="11.42578125" style="1"/>
  </cols>
  <sheetData>
    <row r="1" spans="1:39" ht="16.5" thickBot="1">
      <c r="A1" s="839" t="s">
        <v>86</v>
      </c>
      <c r="B1" s="839"/>
      <c r="C1" s="839"/>
      <c r="D1" s="840"/>
      <c r="E1" s="763"/>
      <c r="F1" s="763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755" t="s">
        <v>18</v>
      </c>
      <c r="AA1" s="755" t="s">
        <v>28</v>
      </c>
      <c r="AB1" s="149" t="s">
        <v>91</v>
      </c>
      <c r="AC1" s="843" t="s">
        <v>6</v>
      </c>
      <c r="AD1" s="844"/>
      <c r="AE1" s="845"/>
      <c r="AF1" s="846"/>
      <c r="AG1" s="847"/>
      <c r="AH1" s="761"/>
      <c r="AI1" s="848" t="s">
        <v>9</v>
      </c>
      <c r="AJ1" s="849"/>
    </row>
    <row r="2" spans="1:39" ht="16.5" thickBot="1">
      <c r="A2" s="822">
        <f>+juin!A2-31</f>
        <v>43586</v>
      </c>
      <c r="B2" s="822"/>
      <c r="C2" s="822"/>
      <c r="D2" s="823"/>
      <c r="E2" s="754"/>
      <c r="F2" s="754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755"/>
      <c r="T2" s="755"/>
      <c r="U2" s="755"/>
      <c r="V2" s="755"/>
      <c r="W2" s="103"/>
      <c r="X2" s="103"/>
      <c r="Y2" s="103"/>
      <c r="Z2" s="762"/>
      <c r="AA2" s="762"/>
      <c r="AB2" s="150" t="s">
        <v>90</v>
      </c>
      <c r="AC2" s="148"/>
      <c r="AD2" s="106"/>
      <c r="AE2" s="107"/>
      <c r="AF2" s="819" t="s">
        <v>152</v>
      </c>
      <c r="AG2" s="820"/>
      <c r="AH2" s="821"/>
      <c r="AI2" s="105"/>
      <c r="AJ2" s="107"/>
    </row>
    <row r="3" spans="1:39" s="764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756"/>
      <c r="R3" s="102"/>
      <c r="S3" s="834" t="s">
        <v>17</v>
      </c>
      <c r="T3" s="835"/>
      <c r="U3" s="758" t="s">
        <v>52</v>
      </c>
      <c r="V3" s="3" t="s">
        <v>5</v>
      </c>
      <c r="W3" s="757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78" t="s">
        <v>150</v>
      </c>
      <c r="AG3" s="379" t="s">
        <v>159</v>
      </c>
      <c r="AH3" s="272" t="s">
        <v>160</v>
      </c>
      <c r="AI3" s="757" t="s">
        <v>10</v>
      </c>
      <c r="AJ3" s="3" t="s">
        <v>5</v>
      </c>
    </row>
    <row r="4" spans="1:39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263">
        <f>+A2</f>
        <v>43586</v>
      </c>
      <c r="D4" s="641" t="s">
        <v>203</v>
      </c>
      <c r="E4" s="633" t="str">
        <f>+IF(AND(WEEKDAY(C4)=1,D4="M"),1,"")</f>
        <v/>
      </c>
      <c r="F4" s="634" t="str">
        <f>+IF(AND(WEEKDAY(C4)=1,D4="N"),1,"")</f>
        <v/>
      </c>
      <c r="G4" s="625" t="s">
        <v>184</v>
      </c>
      <c r="H4" s="128">
        <f t="shared" ref="H4:H34" si="0">+IF(OR(D4="",D4="CP"),"",1)</f>
        <v>1</v>
      </c>
      <c r="I4" s="127" t="str">
        <f>+IF(D4="CP",1,"")</f>
        <v/>
      </c>
      <c r="J4" s="298"/>
      <c r="K4" s="85">
        <v>21</v>
      </c>
      <c r="L4" s="8">
        <v>5</v>
      </c>
      <c r="M4" s="8"/>
      <c r="N4" s="368"/>
      <c r="O4" s="371">
        <f t="shared" ref="O4:R33" si="1">+((K4-INT(K4))/60*100)+INT(K4)</f>
        <v>21</v>
      </c>
      <c r="P4" s="73">
        <f t="shared" si="1"/>
        <v>5</v>
      </c>
      <c r="Q4" s="73">
        <f t="shared" si="1"/>
        <v>0</v>
      </c>
      <c r="R4" s="73">
        <f t="shared" si="1"/>
        <v>0</v>
      </c>
      <c r="S4" s="73">
        <v>0.2</v>
      </c>
      <c r="T4" s="73">
        <f t="shared" ref="T4:T34" si="2">+(S4/60*100)</f>
        <v>0.33333333333333337</v>
      </c>
      <c r="U4" s="12">
        <f>+IF(D4="","",IF(D4="CP","",IF(D4="J2",((N4-M4)+(L4-K4)),IF(O4&lt;P4,P4-O4,P4+24-O4)-T4)))</f>
        <v>7.666666666666667</v>
      </c>
      <c r="V4" s="372">
        <f>IF(O4&lt;P4,IF(K4="","",IF(O4&gt;$D$75,24-O4,IF(O4&lt;$D$76,$D$76-O4,0)))+IF(P4&lt;$D$76,P4,IF(P4&gt;$D$75,P4-$D$75,0)),IF(K4="","",IF(O4&gt;$D$75,24-O4,IF(O4&lt;$D$76,$D$76-O4,3)))+IF(P4&lt;$D$76,P4,IF(P4&gt;$D$75,24-P4,P4)))</f>
        <v>8</v>
      </c>
      <c r="W4" s="113">
        <f>+IF(U4&gt;=6,U4,IF(D4="J2",((N4-M4)+(L4-K4)),IF(O4&lt;P4,P4-O4,P4+24-O4)))</f>
        <v>7.666666666666667</v>
      </c>
      <c r="X4" s="249" t="str">
        <f>+IF(D4="cp",(I4*'Récapitulatif '!$AJ$3),"")</f>
        <v/>
      </c>
      <c r="Y4" s="162">
        <f t="shared" ref="Y4:Y33" si="3">+IF(OR(D4="CP",D4=""),"",(IF(V4&gt;6,V4-T4,V4)))</f>
        <v>7.666666666666667</v>
      </c>
      <c r="Z4" s="154" t="str">
        <f>+IF(D4="CP",1,"")</f>
        <v/>
      </c>
      <c r="AA4" s="154">
        <f t="shared" ref="AA4:AA34" si="4">+IF(AND(Y4&gt;=3,D4&lt;&gt;""),1,"")</f>
        <v>1</v>
      </c>
      <c r="AB4" s="478" t="str">
        <f>+IF(WEEKDAY(C4)=1,(SUM(W$4:X4)+(Avril!$AB$35)),"")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>
        <f>IF(OR(AG4&lt;&gt;"",AH4&lt;&gt;""),SUM(AG4:AH4),"")</f>
        <v>3</v>
      </c>
      <c r="AF4" s="260">
        <f>+IF(AND(WEEKDAY(C4)=7,$C$4:$C$43=$C$64),"",IF(AND(WEEKDAY(C4)=1,$C$4:$C$43=$C$64),"",IF($C$4:$C$43=$C$64,'Récapitulatif '!$AJ$3,IF(AND(WEEKDAY(C4)=7,$C$4:$C$43=$C$64),"",IF(AND(WEEKDAY(C4)=1,$C$4:$C$43=$C$65),"",IF($C$4:$C$43=$C$65,'Récapitulatif '!$AJ$3,IF($C$4:$C$43=$C$66,'Récapitulatif '!$AJ$3,"")))))))</f>
        <v>6.9</v>
      </c>
      <c r="AG4" s="130">
        <f>+IF(AND($C$4:$C$43=($C$64-1),$D$4:$D$43="N"),($L4-$T4),IF(AND($C$4:$C$43=($C$64),$D$4:$D$43="N"),(24-$K4),IF(AND($C$4:$C$43=($C$65-1),$D$4:$D$43="N"),($L4-$T4),IF(AND($C$4:$C$43=($C$65),$D$4:$D$43="N"),(24-$K4),IF(OR($C$4:$C$43=($C$64),$C$4:$C$43=$C$65),$W4,"")))))</f>
        <v>3</v>
      </c>
      <c r="AH4" s="295" t="str">
        <f>+IF(AND($C$4:$C$43=($C$66-1),$D$4:$D$43="N"),($L4-$T4),IF(AND($C$4:$C$43=($C$66),$D$4:$D$43="N"),(24-$K4),IF(AND($C$4:$C$43=($C$67-1),$D$4:$D$43="N"),($L4-$T4),IF(AND($C$4:$C$43=($C$67),$D$4:$D$43="N"),(24-$K4),IF(OR($C$4:$C$43=($C$66),$C$4:$C$43=$C$67),$W4,"")))))</f>
        <v/>
      </c>
      <c r="AI4" s="327" t="str">
        <f t="shared" ref="AI4:AI34" si="5">IF(K4="","",IF(D4="J2","",IF(AJ4=1,"",IF(U4&gt;=6,1,""))))</f>
        <v/>
      </c>
      <c r="AJ4" s="9">
        <f t="shared" ref="AJ4:AJ34" si="6">+IF(K4="","",IF(Y4&gt;=4,1,""))</f>
        <v>1</v>
      </c>
      <c r="AK4" s="10"/>
      <c r="AM4" s="1" t="s">
        <v>63</v>
      </c>
    </row>
    <row r="5" spans="1:39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215">
        <f>+C4+1</f>
        <v>43587</v>
      </c>
      <c r="D5" s="643" t="s">
        <v>203</v>
      </c>
      <c r="E5" s="633" t="str">
        <f t="shared" ref="E5:E34" si="7">+IF(AND(WEEKDAY(C5)=1,D5="M"),1,"")</f>
        <v/>
      </c>
      <c r="F5" s="634" t="str">
        <f t="shared" ref="F5:F35" si="8">+IF(AND(WEEKDAY(C5)=1,D5="N"),1,"")</f>
        <v/>
      </c>
      <c r="G5" s="626" t="s">
        <v>184</v>
      </c>
      <c r="H5" s="128">
        <f t="shared" si="0"/>
        <v>1</v>
      </c>
      <c r="I5" s="127" t="str">
        <f t="shared" ref="I5:I34" si="9">+IF(D5="CP",1,"")</f>
        <v/>
      </c>
      <c r="J5" s="299"/>
      <c r="K5" s="86">
        <v>20.55</v>
      </c>
      <c r="L5" s="11">
        <v>5</v>
      </c>
      <c r="M5" s="11"/>
      <c r="N5" s="369"/>
      <c r="O5" s="371">
        <f t="shared" si="1"/>
        <v>20.916666666666668</v>
      </c>
      <c r="P5" s="73">
        <f t="shared" si="1"/>
        <v>5</v>
      </c>
      <c r="Q5" s="73">
        <f t="shared" si="1"/>
        <v>0</v>
      </c>
      <c r="R5" s="73">
        <f t="shared" si="1"/>
        <v>0</v>
      </c>
      <c r="S5" s="73">
        <v>0.2</v>
      </c>
      <c r="T5" s="73">
        <f t="shared" si="2"/>
        <v>0.33333333333333337</v>
      </c>
      <c r="U5" s="12">
        <f t="shared" ref="U5:U33" si="10">+IF(D5="","",IF(D5="CP","",IF(D5="J2",((N5-M5)+(L5-K5)),IF(O5&lt;P5,P5-O5,P5+24-O5)-T5)))</f>
        <v>7.7499999999999991</v>
      </c>
      <c r="V5" s="372">
        <f t="shared" ref="V5:V35" si="11">IF(O5&lt;P5,IF(K5="","",IF(O5&gt;$D$75,24-O5,IF(O5&lt;$D$76,$D$76-O5,0)))+IF(P5&lt;$D$76,P5,IF(P5&gt;$D$75,P5-$D$75,0)),IF(K5="","",IF(O5&gt;$D$75,24-O5,IF(O5&lt;$D$76,$D$76-O5,3)))+IF(P5&lt;$D$76,P5,IF(P5&gt;$D$75,24-P5,P5)))</f>
        <v>8</v>
      </c>
      <c r="W5" s="114">
        <f t="shared" ref="W5:W33" si="12">+IF(U5&gt;=6,U5,IF(D5="J2",((N5-M5)+(L5-K5)),IF(O5&lt;P5,P5-O5,P5+24-O5)))</f>
        <v>7.7499999999999991</v>
      </c>
      <c r="X5" s="161" t="str">
        <f>+IF(D5="cp",(I5*'Récapitulatif '!$AJ$3),"")</f>
        <v/>
      </c>
      <c r="Y5" s="163">
        <f t="shared" si="3"/>
        <v>7.666666666666667</v>
      </c>
      <c r="Z5" s="154" t="str">
        <f t="shared" ref="Z5:Z34" si="13">+IF(D5="CP",1,"")</f>
        <v/>
      </c>
      <c r="AA5" s="154">
        <f t="shared" si="4"/>
        <v>1</v>
      </c>
      <c r="AB5" s="479" t="str">
        <f>+IF(WEEKDAY(C5)=1,(SUM(W$4:X5)+(Avril!$AB$35)),"")</f>
        <v/>
      </c>
      <c r="AC5" s="475" t="str">
        <f t="shared" ref="AC5:AC34" si="14">+IF(AND(WEEKDAY(C5)=7,D5="N"),(24-O5),IF(WEEKDAY(C5)=7,W5,IF(AND(WEEKDAY(C5)=6,D5="N"),(L5-0.33),IF(WEEKDAY(C5)=7,W5,""))))</f>
        <v/>
      </c>
      <c r="AD5" s="118" t="str">
        <f t="shared" ref="AD5:AD34" si="15">+IF(AND(WEEKDAY(C5)=1,D5="N"),(24-O5),IF(WEEKDAY(C5)=1,W5,IF(AND(WEEKDAY(C5)=7,D5="N"),(L5-0.33),IF(WEEKDAY(C5)=1,W5,""))))</f>
        <v/>
      </c>
      <c r="AE5" s="261" t="str">
        <f t="shared" ref="AE5:AE35" si="16">IF(OR(AG5&lt;&gt;"",AH5&lt;&gt;""),SUM(AG5:AH5),"")</f>
        <v/>
      </c>
      <c r="AF5" s="220" t="str">
        <f>+IF(AND(WEEKDAY(C5)=7,$C$4:$C$43=$C$64),"",IF(AND(WEEKDAY(C5)=1,$C$4:$C$43=$C$64),"",IF($C$4:$C$43=$C$64,'Récapitulatif '!$AJ$3,IF(AND(WEEKDAY(C5)=7,$C$4:$C$43=$C$64),"",IF(AND(WEEKDAY(C5)=1,$C$4:$C$43=$C$65),"",IF($C$4:$C$43=$C$65,'Récapitulatif '!$AJ$3,IF($C$4:$C$43=$C$66,'Récapitulatif '!$AJ$3,"")))))))</f>
        <v/>
      </c>
      <c r="AG5" s="118" t="str">
        <f t="shared" ref="AG5:AG34" si="17">+IF(AND($C$4:$C$43=($C$64-1),$D$4:$D$43="N"),($L5-$T5),IF(AND($C$4:$C$43=($C$64),$D$4:$D$43="N"),(24-$K5),IF(AND($C$4:$C$43=($C$65-1),$D$4:$D$43="N"),($L5-$T5),IF(AND($C$4:$C$43=($C$65),$D$4:$D$43="N"),(24-$K5),IF(OR($C$4:$C$43=($C$64),$C$4:$C$43=$C$65),$W5,"")))))</f>
        <v/>
      </c>
      <c r="AH5" s="261" t="str">
        <f t="shared" ref="AH5:AH34" si="18">+IF(AND($C$4:$C$43=($C$66-1),$D$4:$D$43="N"),($L5-$T5),IF(AND($C$4:$C$43=($C$66),$D$4:$D$43="N"),(24-$K5),IF(AND($C$4:$C$43=($C$67-1),$D$4:$D$43="N"),($L5-$T5),IF(AND($C$4:$C$43=($C$67),$D$4:$D$43="N"),(24-$K5),IF(OR($C$4:$C$43=($C$66),$C$4:$C$43=$C$67),$W5,"")))))</f>
        <v/>
      </c>
      <c r="AI5" s="328" t="str">
        <f t="shared" si="5"/>
        <v/>
      </c>
      <c r="AJ5" s="13">
        <f t="shared" si="6"/>
        <v>1</v>
      </c>
      <c r="AK5" s="10"/>
      <c r="AM5" s="1" t="s">
        <v>65</v>
      </c>
    </row>
    <row r="6" spans="1:39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215">
        <f t="shared" ref="C6:C31" si="19">+C5+1</f>
        <v>43588</v>
      </c>
      <c r="D6" s="642"/>
      <c r="E6" s="633" t="str">
        <f t="shared" si="7"/>
        <v/>
      </c>
      <c r="F6" s="634" t="str">
        <f t="shared" si="8"/>
        <v/>
      </c>
      <c r="G6" s="626"/>
      <c r="H6" s="128" t="str">
        <f t="shared" si="0"/>
        <v/>
      </c>
      <c r="I6" s="127" t="str">
        <f t="shared" si="9"/>
        <v/>
      </c>
      <c r="J6" s="299"/>
      <c r="K6" s="86"/>
      <c r="L6" s="11"/>
      <c r="M6" s="11"/>
      <c r="N6" s="369"/>
      <c r="O6" s="371">
        <f t="shared" si="1"/>
        <v>0</v>
      </c>
      <c r="P6" s="73">
        <f t="shared" si="1"/>
        <v>0</v>
      </c>
      <c r="Q6" s="73">
        <f t="shared" si="1"/>
        <v>0</v>
      </c>
      <c r="R6" s="73">
        <f t="shared" si="1"/>
        <v>0</v>
      </c>
      <c r="S6" s="73">
        <v>0.2</v>
      </c>
      <c r="T6" s="73">
        <f t="shared" si="2"/>
        <v>0.33333333333333337</v>
      </c>
      <c r="U6" s="12" t="str">
        <f t="shared" si="10"/>
        <v/>
      </c>
      <c r="V6" s="372" t="e">
        <f t="shared" si="11"/>
        <v>#VALUE!</v>
      </c>
      <c r="W6" s="114" t="str">
        <f t="shared" si="12"/>
        <v/>
      </c>
      <c r="X6" s="161" t="str">
        <f>+IF(D6="cp",(I6*'Récapitulatif '!$AJ$3),"")</f>
        <v/>
      </c>
      <c r="Y6" s="163" t="str">
        <f t="shared" si="3"/>
        <v/>
      </c>
      <c r="Z6" s="154" t="str">
        <f t="shared" si="13"/>
        <v/>
      </c>
      <c r="AA6" s="154" t="str">
        <f t="shared" si="4"/>
        <v/>
      </c>
      <c r="AB6" s="479" t="str">
        <f>+IF(WEEKDAY(C6)=1,(SUM(W$4:X6)+(Avril!$AB$35)),"")</f>
        <v/>
      </c>
      <c r="AC6" s="475" t="str">
        <f t="shared" si="14"/>
        <v/>
      </c>
      <c r="AD6" s="118" t="str">
        <f t="shared" si="15"/>
        <v/>
      </c>
      <c r="AE6" s="261" t="str">
        <f t="shared" si="16"/>
        <v/>
      </c>
      <c r="AF6" s="220" t="str">
        <f>+IF(AND(WEEKDAY(C6)=7,$C$4:$C$43=$C$64),"",IF(AND(WEEKDAY(C6)=1,$C$4:$C$43=$C$64),"",IF($C$4:$C$43=$C$64,'Récapitulatif '!$AJ$3,IF(AND(WEEKDAY(C6)=7,$C$4:$C$43=$C$64),"",IF(AND(WEEKDAY(C6)=1,$C$4:$C$43=$C$65),"",IF($C$4:$C$43=$C$65,'Récapitulatif '!$AJ$3,IF($C$4:$C$43=$C$66,'Récapitulatif '!$AJ$3,"")))))))</f>
        <v/>
      </c>
      <c r="AG6" s="118" t="str">
        <f t="shared" si="17"/>
        <v/>
      </c>
      <c r="AH6" s="261" t="str">
        <f t="shared" si="18"/>
        <v/>
      </c>
      <c r="AI6" s="328" t="str">
        <f t="shared" si="5"/>
        <v/>
      </c>
      <c r="AJ6" s="13" t="str">
        <f t="shared" si="6"/>
        <v/>
      </c>
      <c r="AK6" s="10"/>
      <c r="AM6" s="1" t="s">
        <v>82</v>
      </c>
    </row>
    <row r="7" spans="1:39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215">
        <f t="shared" si="19"/>
        <v>43589</v>
      </c>
      <c r="D7" s="643"/>
      <c r="E7" s="633" t="str">
        <f t="shared" si="7"/>
        <v/>
      </c>
      <c r="F7" s="634" t="str">
        <f t="shared" si="8"/>
        <v/>
      </c>
      <c r="G7" s="626"/>
      <c r="H7" s="128" t="str">
        <f t="shared" si="0"/>
        <v/>
      </c>
      <c r="I7" s="127" t="str">
        <f t="shared" si="9"/>
        <v/>
      </c>
      <c r="J7" s="299"/>
      <c r="K7" s="86"/>
      <c r="L7" s="11"/>
      <c r="M7" s="11"/>
      <c r="N7" s="369"/>
      <c r="O7" s="371">
        <f t="shared" si="1"/>
        <v>0</v>
      </c>
      <c r="P7" s="73">
        <f t="shared" si="1"/>
        <v>0</v>
      </c>
      <c r="Q7" s="73">
        <f t="shared" si="1"/>
        <v>0</v>
      </c>
      <c r="R7" s="73">
        <f t="shared" si="1"/>
        <v>0</v>
      </c>
      <c r="S7" s="73">
        <v>0.2</v>
      </c>
      <c r="T7" s="73">
        <f t="shared" si="2"/>
        <v>0.33333333333333337</v>
      </c>
      <c r="U7" s="12" t="str">
        <f t="shared" si="10"/>
        <v/>
      </c>
      <c r="V7" s="372" t="e">
        <f t="shared" si="11"/>
        <v>#VALUE!</v>
      </c>
      <c r="W7" s="114" t="str">
        <f t="shared" si="12"/>
        <v/>
      </c>
      <c r="X7" s="161" t="str">
        <f>+IF(D7="cp",(I7*'Récapitulatif '!$AJ$3),"")</f>
        <v/>
      </c>
      <c r="Y7" s="163" t="str">
        <f t="shared" si="3"/>
        <v/>
      </c>
      <c r="Z7" s="154" t="str">
        <f t="shared" si="13"/>
        <v/>
      </c>
      <c r="AA7" s="154" t="str">
        <f t="shared" si="4"/>
        <v/>
      </c>
      <c r="AB7" s="479" t="str">
        <f>+IF(WEEKDAY(C7)=1,(SUM(W$4:X7)+(Avril!$AB$35)),"")</f>
        <v/>
      </c>
      <c r="AC7" s="475" t="str">
        <f t="shared" si="14"/>
        <v/>
      </c>
      <c r="AD7" s="118" t="str">
        <f t="shared" si="15"/>
        <v/>
      </c>
      <c r="AE7" s="261" t="str">
        <f t="shared" si="16"/>
        <v/>
      </c>
      <c r="AF7" s="220" t="str">
        <f>+IF(AND(WEEKDAY(C7)=7,$C$4:$C$43=$C$64),"",IF(AND(WEEKDAY(C7)=1,$C$4:$C$43=$C$64),"",IF($C$4:$C$43=$C$64,'Récapitulatif '!$AJ$3,IF(AND(WEEKDAY(C7)=7,$C$4:$C$43=$C$64),"",IF(AND(WEEKDAY(C7)=1,$C$4:$C$43=$C$65),"",IF($C$4:$C$43=$C$65,'Récapitulatif '!$AJ$3,IF($C$4:$C$43=$C$66,'Récapitulatif '!$AJ$3,"")))))))</f>
        <v/>
      </c>
      <c r="AG7" s="118" t="str">
        <f t="shared" si="17"/>
        <v/>
      </c>
      <c r="AH7" s="261" t="str">
        <f t="shared" si="18"/>
        <v/>
      </c>
      <c r="AI7" s="328" t="str">
        <f t="shared" si="5"/>
        <v/>
      </c>
      <c r="AJ7" s="13" t="str">
        <f t="shared" si="6"/>
        <v/>
      </c>
      <c r="AK7" s="10"/>
      <c r="AM7" s="92" t="s">
        <v>83</v>
      </c>
    </row>
    <row r="8" spans="1:39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215">
        <f t="shared" si="19"/>
        <v>43590</v>
      </c>
      <c r="D8" s="643"/>
      <c r="E8" s="633" t="str">
        <f t="shared" si="7"/>
        <v/>
      </c>
      <c r="F8" s="634" t="str">
        <f t="shared" si="8"/>
        <v/>
      </c>
      <c r="G8" s="626"/>
      <c r="H8" s="128" t="str">
        <f t="shared" si="0"/>
        <v/>
      </c>
      <c r="I8" s="127" t="str">
        <f t="shared" si="9"/>
        <v/>
      </c>
      <c r="J8" s="299"/>
      <c r="K8" s="86"/>
      <c r="L8" s="11"/>
      <c r="M8" s="11"/>
      <c r="N8" s="369"/>
      <c r="O8" s="371">
        <f t="shared" si="1"/>
        <v>0</v>
      </c>
      <c r="P8" s="73">
        <f t="shared" si="1"/>
        <v>0</v>
      </c>
      <c r="Q8" s="73">
        <f t="shared" si="1"/>
        <v>0</v>
      </c>
      <c r="R8" s="73">
        <f t="shared" si="1"/>
        <v>0</v>
      </c>
      <c r="S8" s="73">
        <v>0.2</v>
      </c>
      <c r="T8" s="73">
        <f t="shared" si="2"/>
        <v>0.33333333333333337</v>
      </c>
      <c r="U8" s="12" t="str">
        <f t="shared" si="10"/>
        <v/>
      </c>
      <c r="V8" s="372" t="e">
        <f t="shared" si="11"/>
        <v>#VALUE!</v>
      </c>
      <c r="W8" s="114" t="str">
        <f t="shared" si="12"/>
        <v/>
      </c>
      <c r="X8" s="161" t="str">
        <f>+IF(D8="cp",(I8*'Récapitulatif '!$AJ$3),"")</f>
        <v/>
      </c>
      <c r="Y8" s="163" t="str">
        <f t="shared" si="3"/>
        <v/>
      </c>
      <c r="Z8" s="154" t="str">
        <f t="shared" si="13"/>
        <v/>
      </c>
      <c r="AA8" s="154" t="str">
        <f t="shared" si="4"/>
        <v/>
      </c>
      <c r="AB8" s="479">
        <f>+IF(WEEKDAY(C8)=1,(SUM(W$4:X8)+(Avril!$AB$35)),"")</f>
        <v>15.416666666666666</v>
      </c>
      <c r="AC8" s="475" t="str">
        <f t="shared" si="14"/>
        <v/>
      </c>
      <c r="AD8" s="118" t="str">
        <f t="shared" si="15"/>
        <v/>
      </c>
      <c r="AE8" s="261" t="str">
        <f t="shared" si="16"/>
        <v/>
      </c>
      <c r="AF8" s="220" t="str">
        <f>+IF(AND(WEEKDAY(C8)=7,$C$4:$C$43=$C$64),"",IF(AND(WEEKDAY(C8)=1,$C$4:$C$43=$C$64),"",IF($C$4:$C$43=$C$64,'Récapitulatif '!$AJ$3,IF(AND(WEEKDAY(C8)=7,$C$4:$C$43=$C$64),"",IF(AND(WEEKDAY(C8)=1,$C$4:$C$43=$C$65),"",IF($C$4:$C$43=$C$65,'Récapitulatif '!$AJ$3,IF($C$4:$C$43=$C$66,'Récapitulatif '!$AJ$3,"")))))))</f>
        <v/>
      </c>
      <c r="AG8" s="118" t="str">
        <f t="shared" si="17"/>
        <v/>
      </c>
      <c r="AH8" s="261" t="str">
        <f t="shared" si="18"/>
        <v/>
      </c>
      <c r="AI8" s="328" t="str">
        <f t="shared" si="5"/>
        <v/>
      </c>
      <c r="AJ8" s="13" t="str">
        <f t="shared" si="6"/>
        <v/>
      </c>
      <c r="AK8" s="10"/>
      <c r="AM8" s="92" t="s">
        <v>75</v>
      </c>
    </row>
    <row r="9" spans="1:39">
      <c r="A9" s="482">
        <f>IF(WEEKDAY(C9,2)=1,INT((C9-SUM(MOD(DATE(YEAR(C9-MOD(C9-2,7)+3),1,2),{1E+99;7})*{1;-1})+5)/7),"")</f>
        <v>19</v>
      </c>
      <c r="B9" s="482" t="str">
        <f>IF(A9&lt;&gt;"",VLOOKUP(A9,juin!$L$49:$M$101,2,FALSE),"")</f>
        <v>Matin</v>
      </c>
      <c r="C9" s="215">
        <f t="shared" si="19"/>
        <v>43591</v>
      </c>
      <c r="D9" s="643" t="s">
        <v>18</v>
      </c>
      <c r="E9" s="633" t="str">
        <f t="shared" si="7"/>
        <v/>
      </c>
      <c r="F9" s="634" t="str">
        <f t="shared" si="8"/>
        <v/>
      </c>
      <c r="G9" s="626"/>
      <c r="H9" s="128" t="str">
        <f t="shared" si="0"/>
        <v/>
      </c>
      <c r="I9" s="127">
        <f t="shared" si="9"/>
        <v>1</v>
      </c>
      <c r="J9" s="299"/>
      <c r="K9" s="86"/>
      <c r="L9" s="11"/>
      <c r="M9" s="11"/>
      <c r="N9" s="369"/>
      <c r="O9" s="371">
        <f t="shared" si="1"/>
        <v>0</v>
      </c>
      <c r="P9" s="73">
        <f t="shared" si="1"/>
        <v>0</v>
      </c>
      <c r="Q9" s="73">
        <f t="shared" si="1"/>
        <v>0</v>
      </c>
      <c r="R9" s="73">
        <f t="shared" si="1"/>
        <v>0</v>
      </c>
      <c r="S9" s="73">
        <v>0.2</v>
      </c>
      <c r="T9" s="73">
        <f t="shared" si="2"/>
        <v>0.33333333333333337</v>
      </c>
      <c r="U9" s="12" t="str">
        <f t="shared" si="10"/>
        <v/>
      </c>
      <c r="V9" s="372" t="e">
        <f t="shared" si="11"/>
        <v>#VALUE!</v>
      </c>
      <c r="W9" s="114" t="str">
        <f t="shared" si="12"/>
        <v/>
      </c>
      <c r="X9" s="161">
        <f>+IF(D9="cp",(I9*'Récapitulatif '!$AJ$3),"")</f>
        <v>6.9</v>
      </c>
      <c r="Y9" s="163" t="str">
        <f t="shared" si="3"/>
        <v/>
      </c>
      <c r="Z9" s="154">
        <f t="shared" si="13"/>
        <v>1</v>
      </c>
      <c r="AA9" s="154">
        <f t="shared" si="4"/>
        <v>1</v>
      </c>
      <c r="AB9" s="479" t="str">
        <f>+IF(WEEKDAY(C9)=1,(SUM(W$4:X9)+(Avril!$AB$35)),"")</f>
        <v/>
      </c>
      <c r="AC9" s="475" t="str">
        <f t="shared" si="14"/>
        <v/>
      </c>
      <c r="AD9" s="118" t="str">
        <f t="shared" si="15"/>
        <v/>
      </c>
      <c r="AE9" s="261" t="str">
        <f t="shared" si="16"/>
        <v/>
      </c>
      <c r="AF9" s="220" t="str">
        <f>+IF(AND(WEEKDAY(C9)=7,$C$4:$C$43=$C$64),"",IF(AND(WEEKDAY(C9)=1,$C$4:$C$43=$C$64),"",IF($C$4:$C$43=$C$64,'Récapitulatif '!$AJ$3,IF(AND(WEEKDAY(C9)=7,$C$4:$C$43=$C$64),"",IF(AND(WEEKDAY(C9)=1,$C$4:$C$43=$C$65),"",IF($C$4:$C$43=$C$65,'Récapitulatif '!$AJ$3,IF($C$4:$C$43=$C$66,'Récapitulatif '!$AJ$3,"")))))))</f>
        <v/>
      </c>
      <c r="AG9" s="118" t="str">
        <f t="shared" si="17"/>
        <v/>
      </c>
      <c r="AH9" s="261" t="str">
        <f t="shared" si="18"/>
        <v/>
      </c>
      <c r="AI9" s="328" t="str">
        <f t="shared" si="5"/>
        <v/>
      </c>
      <c r="AJ9" s="13" t="str">
        <f t="shared" si="6"/>
        <v/>
      </c>
      <c r="AM9" s="1" t="s">
        <v>59</v>
      </c>
    </row>
    <row r="10" spans="1:39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215">
        <f t="shared" si="19"/>
        <v>43592</v>
      </c>
      <c r="D10" s="643" t="s">
        <v>18</v>
      </c>
      <c r="E10" s="633" t="str">
        <f t="shared" si="7"/>
        <v/>
      </c>
      <c r="F10" s="634" t="str">
        <f t="shared" si="8"/>
        <v/>
      </c>
      <c r="G10" s="626"/>
      <c r="H10" s="128" t="str">
        <f t="shared" si="0"/>
        <v/>
      </c>
      <c r="I10" s="127">
        <f t="shared" si="9"/>
        <v>1</v>
      </c>
      <c r="J10" s="299"/>
      <c r="K10" s="86"/>
      <c r="L10" s="11"/>
      <c r="M10" s="11"/>
      <c r="N10" s="369"/>
      <c r="O10" s="371">
        <f t="shared" si="1"/>
        <v>0</v>
      </c>
      <c r="P10" s="73">
        <f t="shared" si="1"/>
        <v>0</v>
      </c>
      <c r="Q10" s="73">
        <f t="shared" si="1"/>
        <v>0</v>
      </c>
      <c r="R10" s="73">
        <f t="shared" si="1"/>
        <v>0</v>
      </c>
      <c r="S10" s="73">
        <v>0.2</v>
      </c>
      <c r="T10" s="73">
        <f t="shared" si="2"/>
        <v>0.33333333333333337</v>
      </c>
      <c r="U10" s="12" t="str">
        <f t="shared" si="10"/>
        <v/>
      </c>
      <c r="V10" s="372" t="e">
        <f t="shared" si="11"/>
        <v>#VALUE!</v>
      </c>
      <c r="W10" s="114" t="str">
        <f t="shared" si="12"/>
        <v/>
      </c>
      <c r="X10" s="161">
        <f>+IF(D10="cp",(I10*'Récapitulatif '!$AJ$3),"")</f>
        <v>6.9</v>
      </c>
      <c r="Y10" s="163" t="str">
        <f t="shared" si="3"/>
        <v/>
      </c>
      <c r="Z10" s="154">
        <f t="shared" si="13"/>
        <v>1</v>
      </c>
      <c r="AA10" s="154">
        <f t="shared" si="4"/>
        <v>1</v>
      </c>
      <c r="AB10" s="479" t="str">
        <f>+IF(WEEKDAY(C10)=1,SUM(W4:X10),"")</f>
        <v/>
      </c>
      <c r="AC10" s="475" t="str">
        <f t="shared" si="14"/>
        <v/>
      </c>
      <c r="AD10" s="118" t="str">
        <f t="shared" si="15"/>
        <v/>
      </c>
      <c r="AE10" s="261" t="str">
        <f t="shared" si="16"/>
        <v/>
      </c>
      <c r="AF10" s="220" t="str">
        <f>+IF(AND(WEEKDAY(C10)=7,$C$4:$C$43=$C$64),"",IF(AND(WEEKDAY(C10)=1,$C$4:$C$43=$C$64),"",IF($C$4:$C$43=$C$64,'Récapitulatif '!$AJ$3,IF(AND(WEEKDAY(C10)=7,$C$4:$C$43=$C$64),"",IF(AND(WEEKDAY(C10)=1,$C$4:$C$43=$C$65),"",IF($C$4:$C$43=$C$65,'Récapitulatif '!$AJ$3,IF($C$4:$C$43=$C$66,'Récapitulatif '!$AJ$3,"")))))))</f>
        <v/>
      </c>
      <c r="AG10" s="118" t="str">
        <f t="shared" si="17"/>
        <v/>
      </c>
      <c r="AH10" s="261" t="str">
        <f t="shared" si="18"/>
        <v/>
      </c>
      <c r="AI10" s="328" t="str">
        <f t="shared" si="5"/>
        <v/>
      </c>
      <c r="AJ10" s="13" t="str">
        <f t="shared" si="6"/>
        <v/>
      </c>
      <c r="AK10" s="10"/>
      <c r="AM10" s="92" t="s">
        <v>158</v>
      </c>
    </row>
    <row r="11" spans="1:39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215">
        <f t="shared" si="19"/>
        <v>43593</v>
      </c>
      <c r="D11" s="643"/>
      <c r="E11" s="633" t="str">
        <f t="shared" si="7"/>
        <v/>
      </c>
      <c r="F11" s="634" t="str">
        <f t="shared" si="8"/>
        <v/>
      </c>
      <c r="G11" s="626"/>
      <c r="H11" s="128" t="str">
        <f t="shared" si="0"/>
        <v/>
      </c>
      <c r="I11" s="127" t="str">
        <f t="shared" si="9"/>
        <v/>
      </c>
      <c r="J11" s="299"/>
      <c r="K11" s="86"/>
      <c r="L11" s="11"/>
      <c r="M11" s="11"/>
      <c r="N11" s="369"/>
      <c r="O11" s="371">
        <f t="shared" si="1"/>
        <v>0</v>
      </c>
      <c r="P11" s="73">
        <f t="shared" si="1"/>
        <v>0</v>
      </c>
      <c r="Q11" s="73">
        <f t="shared" si="1"/>
        <v>0</v>
      </c>
      <c r="R11" s="73">
        <f t="shared" si="1"/>
        <v>0</v>
      </c>
      <c r="S11" s="73">
        <v>0.2</v>
      </c>
      <c r="T11" s="73">
        <f t="shared" si="2"/>
        <v>0.33333333333333337</v>
      </c>
      <c r="U11" s="12" t="str">
        <f t="shared" si="10"/>
        <v/>
      </c>
      <c r="V11" s="372" t="e">
        <f t="shared" si="11"/>
        <v>#VALUE!</v>
      </c>
      <c r="W11" s="114" t="str">
        <f t="shared" si="12"/>
        <v/>
      </c>
      <c r="X11" s="161" t="str">
        <f>+IF(D11="cp",(I11*'Récapitulatif '!$AJ$3),"")</f>
        <v/>
      </c>
      <c r="Y11" s="163" t="str">
        <f t="shared" si="3"/>
        <v/>
      </c>
      <c r="Z11" s="154" t="str">
        <f t="shared" si="13"/>
        <v/>
      </c>
      <c r="AA11" s="154" t="str">
        <f t="shared" si="4"/>
        <v/>
      </c>
      <c r="AB11" s="479" t="str">
        <f t="shared" ref="AB11:AB34" si="20">+IF(WEEKDAY(C11)=1,SUM(W5:X11),"")</f>
        <v/>
      </c>
      <c r="AC11" s="475" t="str">
        <f t="shared" si="14"/>
        <v/>
      </c>
      <c r="AD11" s="118" t="str">
        <f t="shared" si="15"/>
        <v/>
      </c>
      <c r="AE11" s="261" t="str">
        <f t="shared" si="16"/>
        <v/>
      </c>
      <c r="AF11" s="220">
        <f>+IF(AND(WEEKDAY(C11)=7,$C$4:$C$43=$C$64),"",IF(AND(WEEKDAY(C11)=1,$C$4:$C$43=$C$64),"",IF($C$4:$C$43=$C$64,'Récapitulatif '!$AJ$3,IF(AND(WEEKDAY(C11)=7,$C$4:$C$43=$C$64),"",IF(AND(WEEKDAY(C11)=1,$C$4:$C$43=$C$65),"",IF($C$4:$C$43=$C$65,'Récapitulatif '!$AJ$3,IF($C$4:$C$43=$C$66,'Récapitulatif '!$AJ$3,"")))))))</f>
        <v>6.9</v>
      </c>
      <c r="AG11" s="118" t="str">
        <f t="shared" si="17"/>
        <v/>
      </c>
      <c r="AH11" s="261" t="str">
        <f t="shared" si="18"/>
        <v/>
      </c>
      <c r="AI11" s="328" t="str">
        <f t="shared" si="5"/>
        <v/>
      </c>
      <c r="AJ11" s="13" t="str">
        <f t="shared" si="6"/>
        <v/>
      </c>
      <c r="AK11" s="10"/>
      <c r="AM11" s="1" t="s">
        <v>60</v>
      </c>
    </row>
    <row r="12" spans="1:39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215">
        <f t="shared" si="19"/>
        <v>43594</v>
      </c>
      <c r="D12" s="643" t="s">
        <v>18</v>
      </c>
      <c r="E12" s="633" t="str">
        <f t="shared" si="7"/>
        <v/>
      </c>
      <c r="F12" s="634" t="str">
        <f t="shared" si="8"/>
        <v/>
      </c>
      <c r="G12" s="626"/>
      <c r="H12" s="128" t="str">
        <f t="shared" si="0"/>
        <v/>
      </c>
      <c r="I12" s="127">
        <f t="shared" si="9"/>
        <v>1</v>
      </c>
      <c r="J12" s="299"/>
      <c r="K12" s="86"/>
      <c r="L12" s="11"/>
      <c r="M12" s="11"/>
      <c r="N12" s="369"/>
      <c r="O12" s="371">
        <f t="shared" si="1"/>
        <v>0</v>
      </c>
      <c r="P12" s="73">
        <f t="shared" si="1"/>
        <v>0</v>
      </c>
      <c r="Q12" s="73">
        <f t="shared" si="1"/>
        <v>0</v>
      </c>
      <c r="R12" s="73">
        <f t="shared" si="1"/>
        <v>0</v>
      </c>
      <c r="S12" s="73">
        <v>0.2</v>
      </c>
      <c r="T12" s="73">
        <f t="shared" si="2"/>
        <v>0.33333333333333337</v>
      </c>
      <c r="U12" s="12" t="str">
        <f t="shared" si="10"/>
        <v/>
      </c>
      <c r="V12" s="372" t="e">
        <f t="shared" si="11"/>
        <v>#VALUE!</v>
      </c>
      <c r="W12" s="114" t="str">
        <f t="shared" si="12"/>
        <v/>
      </c>
      <c r="X12" s="161">
        <f>+IF(D12="cp",(I12*'Récapitulatif '!$AJ$3),"")</f>
        <v>6.9</v>
      </c>
      <c r="Y12" s="163" t="str">
        <f t="shared" si="3"/>
        <v/>
      </c>
      <c r="Z12" s="154">
        <f t="shared" si="13"/>
        <v>1</v>
      </c>
      <c r="AA12" s="154">
        <f t="shared" si="4"/>
        <v>1</v>
      </c>
      <c r="AB12" s="479" t="str">
        <f t="shared" si="20"/>
        <v/>
      </c>
      <c r="AC12" s="475" t="str">
        <f t="shared" si="14"/>
        <v/>
      </c>
      <c r="AD12" s="118" t="str">
        <f t="shared" si="15"/>
        <v/>
      </c>
      <c r="AE12" s="261" t="str">
        <f t="shared" si="16"/>
        <v/>
      </c>
      <c r="AF12" s="220" t="str">
        <f>+IF(AND(WEEKDAY(C12)=7,$C$4:$C$43=$C$64),"",IF(AND(WEEKDAY(C12)=1,$C$4:$C$43=$C$64),"",IF($C$4:$C$43=$C$64,'Récapitulatif '!$AJ$3,IF(AND(WEEKDAY(C12)=7,$C$4:$C$43=$C$64),"",IF(AND(WEEKDAY(C12)=1,$C$4:$C$43=$C$65),"",IF($C$4:$C$43=$C$65,'Récapitulatif '!$AJ$3,IF($C$4:$C$43=$C$66,'Récapitulatif '!$AJ$3,"")))))))</f>
        <v/>
      </c>
      <c r="AG12" s="118" t="str">
        <f t="shared" si="17"/>
        <v/>
      </c>
      <c r="AH12" s="261" t="str">
        <f t="shared" si="18"/>
        <v/>
      </c>
      <c r="AI12" s="328" t="str">
        <f t="shared" si="5"/>
        <v/>
      </c>
      <c r="AJ12" s="13" t="str">
        <f t="shared" si="6"/>
        <v/>
      </c>
      <c r="AM12" s="1" t="s">
        <v>67</v>
      </c>
    </row>
    <row r="13" spans="1:39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215">
        <f t="shared" si="19"/>
        <v>43595</v>
      </c>
      <c r="D13" s="643" t="s">
        <v>18</v>
      </c>
      <c r="E13" s="633" t="str">
        <f t="shared" si="7"/>
        <v/>
      </c>
      <c r="F13" s="634" t="str">
        <f t="shared" si="8"/>
        <v/>
      </c>
      <c r="G13" s="626"/>
      <c r="H13" s="128" t="str">
        <f t="shared" si="0"/>
        <v/>
      </c>
      <c r="I13" s="127">
        <f t="shared" si="9"/>
        <v>1</v>
      </c>
      <c r="J13" s="299"/>
      <c r="K13" s="86"/>
      <c r="L13" s="11"/>
      <c r="M13" s="11"/>
      <c r="N13" s="369"/>
      <c r="O13" s="371">
        <f t="shared" si="1"/>
        <v>0</v>
      </c>
      <c r="P13" s="73">
        <f t="shared" si="1"/>
        <v>0</v>
      </c>
      <c r="Q13" s="73">
        <f t="shared" si="1"/>
        <v>0</v>
      </c>
      <c r="R13" s="73">
        <f t="shared" si="1"/>
        <v>0</v>
      </c>
      <c r="S13" s="73">
        <v>0.2</v>
      </c>
      <c r="T13" s="73">
        <f t="shared" si="2"/>
        <v>0.33333333333333337</v>
      </c>
      <c r="U13" s="12" t="str">
        <f t="shared" si="10"/>
        <v/>
      </c>
      <c r="V13" s="372" t="e">
        <f t="shared" si="11"/>
        <v>#VALUE!</v>
      </c>
      <c r="W13" s="114" t="str">
        <f t="shared" si="12"/>
        <v/>
      </c>
      <c r="X13" s="161">
        <f>+IF(D13="cp",(I13*'Récapitulatif '!$AJ$3),"")</f>
        <v>6.9</v>
      </c>
      <c r="Y13" s="163" t="str">
        <f t="shared" si="3"/>
        <v/>
      </c>
      <c r="Z13" s="154">
        <f t="shared" si="13"/>
        <v>1</v>
      </c>
      <c r="AA13" s="154">
        <f t="shared" si="4"/>
        <v>1</v>
      </c>
      <c r="AB13" s="479" t="str">
        <f t="shared" si="20"/>
        <v/>
      </c>
      <c r="AC13" s="475" t="str">
        <f t="shared" si="14"/>
        <v/>
      </c>
      <c r="AD13" s="118" t="str">
        <f t="shared" si="15"/>
        <v/>
      </c>
      <c r="AE13" s="261" t="str">
        <f t="shared" si="16"/>
        <v/>
      </c>
      <c r="AF13" s="220" t="str">
        <f>+IF(AND(WEEKDAY(C13)=7,$C$4:$C$43=$C$64),"",IF(AND(WEEKDAY(C13)=1,$C$4:$C$43=$C$64),"",IF($C$4:$C$43=$C$64,'Récapitulatif '!$AJ$3,IF(AND(WEEKDAY(C13)=7,$C$4:$C$43=$C$64),"",IF(AND(WEEKDAY(C13)=1,$C$4:$C$43=$C$65),"",IF($C$4:$C$43=$C$65,'Récapitulatif '!$AJ$3,IF($C$4:$C$43=$C$66,'Récapitulatif '!$AJ$3,"")))))))</f>
        <v/>
      </c>
      <c r="AG13" s="118" t="str">
        <f t="shared" si="17"/>
        <v/>
      </c>
      <c r="AH13" s="261" t="str">
        <f t="shared" si="18"/>
        <v/>
      </c>
      <c r="AI13" s="328" t="str">
        <f t="shared" si="5"/>
        <v/>
      </c>
      <c r="AJ13" s="13" t="str">
        <f t="shared" si="6"/>
        <v/>
      </c>
      <c r="AM13" s="91" t="s">
        <v>61</v>
      </c>
    </row>
    <row r="14" spans="1:39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215">
        <f t="shared" si="19"/>
        <v>43596</v>
      </c>
      <c r="D14" s="643"/>
      <c r="E14" s="633" t="str">
        <f t="shared" si="7"/>
        <v/>
      </c>
      <c r="F14" s="634" t="str">
        <f t="shared" si="8"/>
        <v/>
      </c>
      <c r="G14" s="626"/>
      <c r="H14" s="128" t="str">
        <f t="shared" si="0"/>
        <v/>
      </c>
      <c r="I14" s="127" t="str">
        <f t="shared" si="9"/>
        <v/>
      </c>
      <c r="J14" s="299"/>
      <c r="K14" s="86"/>
      <c r="L14" s="11"/>
      <c r="M14" s="11"/>
      <c r="N14" s="369"/>
      <c r="O14" s="371">
        <f t="shared" si="1"/>
        <v>0</v>
      </c>
      <c r="P14" s="73">
        <f t="shared" si="1"/>
        <v>0</v>
      </c>
      <c r="Q14" s="73">
        <f t="shared" si="1"/>
        <v>0</v>
      </c>
      <c r="R14" s="73">
        <f t="shared" si="1"/>
        <v>0</v>
      </c>
      <c r="S14" s="73">
        <v>0.2</v>
      </c>
      <c r="T14" s="73">
        <f t="shared" si="2"/>
        <v>0.33333333333333337</v>
      </c>
      <c r="U14" s="12" t="str">
        <f t="shared" si="10"/>
        <v/>
      </c>
      <c r="V14" s="372" t="e">
        <f t="shared" si="11"/>
        <v>#VALUE!</v>
      </c>
      <c r="W14" s="114" t="str">
        <f t="shared" si="12"/>
        <v/>
      </c>
      <c r="X14" s="161" t="str">
        <f>+IF(D14="cp",(I14*'Récapitulatif '!$AJ$3),"")</f>
        <v/>
      </c>
      <c r="Y14" s="163" t="str">
        <f t="shared" si="3"/>
        <v/>
      </c>
      <c r="Z14" s="154" t="str">
        <f t="shared" si="13"/>
        <v/>
      </c>
      <c r="AA14" s="154" t="str">
        <f t="shared" si="4"/>
        <v/>
      </c>
      <c r="AB14" s="479" t="str">
        <f t="shared" si="20"/>
        <v/>
      </c>
      <c r="AC14" s="475" t="str">
        <f t="shared" si="14"/>
        <v/>
      </c>
      <c r="AD14" s="118" t="str">
        <f t="shared" si="15"/>
        <v/>
      </c>
      <c r="AE14" s="261" t="str">
        <f t="shared" si="16"/>
        <v/>
      </c>
      <c r="AF14" s="220" t="str">
        <f>+IF(AND(WEEKDAY(C14)=7,$C$4:$C$43=$C$64),"",IF(AND(WEEKDAY(C14)=1,$C$4:$C$43=$C$64),"",IF($C$4:$C$43=$C$64,'Récapitulatif '!$AJ$3,IF(AND(WEEKDAY(C14)=7,$C$4:$C$43=$C$64),"",IF(AND(WEEKDAY(C14)=1,$C$4:$C$43=$C$65),"",IF($C$4:$C$43=$C$65,'Récapitulatif '!$AJ$3,IF($C$4:$C$43=$C$66,'Récapitulatif '!$AJ$3,"")))))))</f>
        <v/>
      </c>
      <c r="AG14" s="118" t="str">
        <f t="shared" si="17"/>
        <v/>
      </c>
      <c r="AH14" s="261" t="str">
        <f t="shared" si="18"/>
        <v/>
      </c>
      <c r="AI14" s="328" t="str">
        <f t="shared" si="5"/>
        <v/>
      </c>
      <c r="AJ14" s="13" t="str">
        <f t="shared" si="6"/>
        <v/>
      </c>
    </row>
    <row r="15" spans="1:39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215">
        <f t="shared" si="19"/>
        <v>43597</v>
      </c>
      <c r="D15" s="643"/>
      <c r="E15" s="633" t="str">
        <f t="shared" si="7"/>
        <v/>
      </c>
      <c r="F15" s="634" t="str">
        <f t="shared" si="8"/>
        <v/>
      </c>
      <c r="G15" s="626"/>
      <c r="H15" s="128" t="str">
        <f t="shared" si="0"/>
        <v/>
      </c>
      <c r="I15" s="127" t="str">
        <f t="shared" si="9"/>
        <v/>
      </c>
      <c r="J15" s="299"/>
      <c r="K15" s="86"/>
      <c r="L15" s="11"/>
      <c r="M15" s="11"/>
      <c r="N15" s="369"/>
      <c r="O15" s="371">
        <f t="shared" si="1"/>
        <v>0</v>
      </c>
      <c r="P15" s="73">
        <f t="shared" si="1"/>
        <v>0</v>
      </c>
      <c r="Q15" s="73">
        <f t="shared" si="1"/>
        <v>0</v>
      </c>
      <c r="R15" s="73">
        <f t="shared" si="1"/>
        <v>0</v>
      </c>
      <c r="S15" s="73">
        <v>0.2</v>
      </c>
      <c r="T15" s="73">
        <f t="shared" si="2"/>
        <v>0.33333333333333337</v>
      </c>
      <c r="U15" s="12" t="str">
        <f t="shared" si="10"/>
        <v/>
      </c>
      <c r="V15" s="372" t="e">
        <f t="shared" si="11"/>
        <v>#VALUE!</v>
      </c>
      <c r="W15" s="114" t="str">
        <f t="shared" si="12"/>
        <v/>
      </c>
      <c r="X15" s="161" t="str">
        <f>+IF(D15="cp",(I15*'Récapitulatif '!$AJ$3),"")</f>
        <v/>
      </c>
      <c r="Y15" s="163" t="str">
        <f t="shared" si="3"/>
        <v/>
      </c>
      <c r="Z15" s="154" t="str">
        <f t="shared" si="13"/>
        <v/>
      </c>
      <c r="AA15" s="154" t="str">
        <f t="shared" si="4"/>
        <v/>
      </c>
      <c r="AB15" s="479">
        <f t="shared" si="20"/>
        <v>27.6</v>
      </c>
      <c r="AC15" s="475" t="str">
        <f t="shared" si="14"/>
        <v/>
      </c>
      <c r="AD15" s="118" t="str">
        <f t="shared" si="15"/>
        <v/>
      </c>
      <c r="AE15" s="261" t="str">
        <f t="shared" si="16"/>
        <v/>
      </c>
      <c r="AF15" s="220" t="str">
        <f>+IF(AND(WEEKDAY(C15)=7,$C$4:$C$43=$C$64),"",IF(AND(WEEKDAY(C15)=1,$C$4:$C$43=$C$64),"",IF($C$4:$C$43=$C$64,'Récapitulatif '!$AJ$3,IF(AND(WEEKDAY(C15)=7,$C$4:$C$43=$C$64),"",IF(AND(WEEKDAY(C15)=1,$C$4:$C$43=$C$65),"",IF($C$4:$C$43=$C$65,'Récapitulatif '!$AJ$3,IF($C$4:$C$43=$C$66,'Récapitulatif '!$AJ$3,"")))))))</f>
        <v/>
      </c>
      <c r="AG15" s="118" t="str">
        <f t="shared" si="17"/>
        <v/>
      </c>
      <c r="AH15" s="261" t="str">
        <f t="shared" si="18"/>
        <v/>
      </c>
      <c r="AI15" s="328" t="str">
        <f t="shared" si="5"/>
        <v/>
      </c>
      <c r="AJ15" s="13" t="str">
        <f t="shared" si="6"/>
        <v/>
      </c>
    </row>
    <row r="16" spans="1:39">
      <c r="A16" s="482">
        <f>IF(WEEKDAY(C16,2)=1,INT((C16-SUM(MOD(DATE(YEAR(C16-MOD(C16-2,7)+3),1,2),{1E+99;7})*{1;-1})+5)/7),"")</f>
        <v>20</v>
      </c>
      <c r="B16" s="482" t="str">
        <f>IF(A16&lt;&gt;"",VLOOKUP(A16,juin!$L$49:$M$101,2,FALSE),"")</f>
        <v>Mystère</v>
      </c>
      <c r="C16" s="215">
        <f t="shared" si="19"/>
        <v>43598</v>
      </c>
      <c r="D16" s="643" t="s">
        <v>18</v>
      </c>
      <c r="E16" s="633" t="str">
        <f t="shared" si="7"/>
        <v/>
      </c>
      <c r="F16" s="634" t="str">
        <f t="shared" si="8"/>
        <v/>
      </c>
      <c r="G16" s="626"/>
      <c r="H16" s="128" t="str">
        <f t="shared" si="0"/>
        <v/>
      </c>
      <c r="I16" s="127">
        <f t="shared" si="9"/>
        <v>1</v>
      </c>
      <c r="J16" s="299"/>
      <c r="K16" s="86"/>
      <c r="L16" s="11"/>
      <c r="M16" s="11"/>
      <c r="N16" s="369"/>
      <c r="O16" s="371">
        <f t="shared" si="1"/>
        <v>0</v>
      </c>
      <c r="P16" s="73">
        <f t="shared" si="1"/>
        <v>0</v>
      </c>
      <c r="Q16" s="73">
        <f t="shared" si="1"/>
        <v>0</v>
      </c>
      <c r="R16" s="73">
        <f t="shared" si="1"/>
        <v>0</v>
      </c>
      <c r="S16" s="73">
        <v>0.2</v>
      </c>
      <c r="T16" s="73">
        <f t="shared" si="2"/>
        <v>0.33333333333333337</v>
      </c>
      <c r="U16" s="12" t="str">
        <f t="shared" si="10"/>
        <v/>
      </c>
      <c r="V16" s="372" t="e">
        <f t="shared" si="11"/>
        <v>#VALUE!</v>
      </c>
      <c r="W16" s="114" t="str">
        <f t="shared" si="12"/>
        <v/>
      </c>
      <c r="X16" s="161">
        <f>+IF(D16="cp",(I16*'Récapitulatif '!$AJ$3),"")</f>
        <v>6.9</v>
      </c>
      <c r="Y16" s="163" t="str">
        <f t="shared" si="3"/>
        <v/>
      </c>
      <c r="Z16" s="154">
        <f t="shared" si="13"/>
        <v>1</v>
      </c>
      <c r="AA16" s="154">
        <f t="shared" si="4"/>
        <v>1</v>
      </c>
      <c r="AB16" s="479" t="str">
        <f t="shared" si="20"/>
        <v/>
      </c>
      <c r="AC16" s="475" t="str">
        <f t="shared" si="14"/>
        <v/>
      </c>
      <c r="AD16" s="118" t="str">
        <f t="shared" si="15"/>
        <v/>
      </c>
      <c r="AE16" s="261" t="str">
        <f t="shared" si="16"/>
        <v/>
      </c>
      <c r="AF16" s="220" t="str">
        <f>+IF(AND(WEEKDAY(C16)=7,$C$4:$C$43=$C$64),"",IF(AND(WEEKDAY(C16)=1,$C$4:$C$43=$C$64),"",IF($C$4:$C$43=$C$64,'Récapitulatif '!$AJ$3,IF(AND(WEEKDAY(C16)=7,$C$4:$C$43=$C$64),"",IF(AND(WEEKDAY(C16)=1,$C$4:$C$43=$C$65),"",IF($C$4:$C$43=$C$65,'Récapitulatif '!$AJ$3,IF($C$4:$C$43=$C$66,'Récapitulatif '!$AJ$3,"")))))))</f>
        <v/>
      </c>
      <c r="AG16" s="118" t="str">
        <f t="shared" si="17"/>
        <v/>
      </c>
      <c r="AH16" s="261" t="str">
        <f t="shared" si="18"/>
        <v/>
      </c>
      <c r="AI16" s="328" t="str">
        <f t="shared" si="5"/>
        <v/>
      </c>
      <c r="AJ16" s="13" t="str">
        <f t="shared" si="6"/>
        <v/>
      </c>
    </row>
    <row r="17" spans="1:39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215">
        <f t="shared" si="19"/>
        <v>43599</v>
      </c>
      <c r="D17" s="643" t="s">
        <v>18</v>
      </c>
      <c r="E17" s="633" t="str">
        <f t="shared" si="7"/>
        <v/>
      </c>
      <c r="F17" s="634" t="str">
        <f t="shared" si="8"/>
        <v/>
      </c>
      <c r="G17" s="626"/>
      <c r="H17" s="128" t="str">
        <f t="shared" si="0"/>
        <v/>
      </c>
      <c r="I17" s="127">
        <f t="shared" si="9"/>
        <v>1</v>
      </c>
      <c r="J17" s="299"/>
      <c r="K17" s="86"/>
      <c r="L17" s="11"/>
      <c r="M17" s="11"/>
      <c r="N17" s="369"/>
      <c r="O17" s="371">
        <f t="shared" si="1"/>
        <v>0</v>
      </c>
      <c r="P17" s="73">
        <f t="shared" si="1"/>
        <v>0</v>
      </c>
      <c r="Q17" s="73">
        <f t="shared" si="1"/>
        <v>0</v>
      </c>
      <c r="R17" s="73">
        <f t="shared" si="1"/>
        <v>0</v>
      </c>
      <c r="S17" s="73">
        <v>0.2</v>
      </c>
      <c r="T17" s="73">
        <f t="shared" si="2"/>
        <v>0.33333333333333337</v>
      </c>
      <c r="U17" s="12" t="str">
        <f t="shared" si="10"/>
        <v/>
      </c>
      <c r="V17" s="372" t="e">
        <f t="shared" si="11"/>
        <v>#VALUE!</v>
      </c>
      <c r="W17" s="114" t="str">
        <f t="shared" si="12"/>
        <v/>
      </c>
      <c r="X17" s="161">
        <f>+IF(D17="cp",(I17*'Récapitulatif '!$AJ$3),"")</f>
        <v>6.9</v>
      </c>
      <c r="Y17" s="163" t="str">
        <f t="shared" si="3"/>
        <v/>
      </c>
      <c r="Z17" s="154">
        <f t="shared" si="13"/>
        <v>1</v>
      </c>
      <c r="AA17" s="154">
        <f t="shared" si="4"/>
        <v>1</v>
      </c>
      <c r="AB17" s="479" t="str">
        <f t="shared" si="20"/>
        <v/>
      </c>
      <c r="AC17" s="475" t="str">
        <f t="shared" si="14"/>
        <v/>
      </c>
      <c r="AD17" s="118" t="str">
        <f t="shared" si="15"/>
        <v/>
      </c>
      <c r="AE17" s="261" t="str">
        <f t="shared" si="16"/>
        <v/>
      </c>
      <c r="AF17" s="220" t="str">
        <f>+IF(AND(WEEKDAY(C17)=7,$C$4:$C$43=$C$64),"",IF(AND(WEEKDAY(C17)=1,$C$4:$C$43=$C$64),"",IF($C$4:$C$43=$C$64,'Récapitulatif '!$AJ$3,IF(AND(WEEKDAY(C17)=7,$C$4:$C$43=$C$64),"",IF(AND(WEEKDAY(C17)=1,$C$4:$C$43=$C$65),"",IF($C$4:$C$43=$C$65,'Récapitulatif '!$AJ$3,IF($C$4:$C$43=$C$66,'Récapitulatif '!$AJ$3,"")))))))</f>
        <v/>
      </c>
      <c r="AG17" s="118" t="str">
        <f t="shared" si="17"/>
        <v/>
      </c>
      <c r="AH17" s="261" t="str">
        <f t="shared" si="18"/>
        <v/>
      </c>
      <c r="AI17" s="328" t="str">
        <f t="shared" si="5"/>
        <v/>
      </c>
      <c r="AJ17" s="13" t="str">
        <f t="shared" si="6"/>
        <v/>
      </c>
      <c r="AM17" s="1" t="s">
        <v>70</v>
      </c>
    </row>
    <row r="18" spans="1:39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215">
        <f t="shared" si="19"/>
        <v>43600</v>
      </c>
      <c r="D18" s="643" t="s">
        <v>18</v>
      </c>
      <c r="E18" s="633" t="str">
        <f t="shared" si="7"/>
        <v/>
      </c>
      <c r="F18" s="634" t="str">
        <f t="shared" si="8"/>
        <v/>
      </c>
      <c r="G18" s="626"/>
      <c r="H18" s="128" t="str">
        <f t="shared" si="0"/>
        <v/>
      </c>
      <c r="I18" s="127">
        <f t="shared" si="9"/>
        <v>1</v>
      </c>
      <c r="J18" s="299"/>
      <c r="K18" s="86"/>
      <c r="L18" s="11"/>
      <c r="M18" s="11"/>
      <c r="N18" s="369"/>
      <c r="O18" s="371">
        <f t="shared" si="1"/>
        <v>0</v>
      </c>
      <c r="P18" s="73">
        <f t="shared" si="1"/>
        <v>0</v>
      </c>
      <c r="Q18" s="73">
        <f t="shared" si="1"/>
        <v>0</v>
      </c>
      <c r="R18" s="73">
        <f t="shared" si="1"/>
        <v>0</v>
      </c>
      <c r="S18" s="73">
        <v>0.2</v>
      </c>
      <c r="T18" s="73">
        <f t="shared" si="2"/>
        <v>0.33333333333333337</v>
      </c>
      <c r="U18" s="12" t="str">
        <f t="shared" si="10"/>
        <v/>
      </c>
      <c r="V18" s="372" t="e">
        <f t="shared" si="11"/>
        <v>#VALUE!</v>
      </c>
      <c r="W18" s="114" t="str">
        <f t="shared" si="12"/>
        <v/>
      </c>
      <c r="X18" s="161">
        <f>+IF(D18="cp",(I18*'Récapitulatif '!$AJ$3),"")</f>
        <v>6.9</v>
      </c>
      <c r="Y18" s="163" t="str">
        <f t="shared" si="3"/>
        <v/>
      </c>
      <c r="Z18" s="154">
        <f t="shared" si="13"/>
        <v>1</v>
      </c>
      <c r="AA18" s="154">
        <f t="shared" si="4"/>
        <v>1</v>
      </c>
      <c r="AB18" s="479" t="str">
        <f t="shared" si="20"/>
        <v/>
      </c>
      <c r="AC18" s="475" t="str">
        <f t="shared" si="14"/>
        <v/>
      </c>
      <c r="AD18" s="118" t="str">
        <f t="shared" si="15"/>
        <v/>
      </c>
      <c r="AE18" s="261" t="str">
        <f t="shared" si="16"/>
        <v/>
      </c>
      <c r="AF18" s="220" t="str">
        <f>+IF(AND(WEEKDAY(C18)=7,$C$4:$C$43=$C$64),"",IF(AND(WEEKDAY(C18)=1,$C$4:$C$43=$C$64),"",IF($C$4:$C$43=$C$64,'Récapitulatif '!$AJ$3,IF(AND(WEEKDAY(C18)=7,$C$4:$C$43=$C$64),"",IF(AND(WEEKDAY(C18)=1,$C$4:$C$43=$C$65),"",IF($C$4:$C$43=$C$65,'Récapitulatif '!$AJ$3,IF($C$4:$C$43=$C$66,'Récapitulatif '!$AJ$3,"")))))))</f>
        <v/>
      </c>
      <c r="AG18" s="118" t="str">
        <f t="shared" si="17"/>
        <v/>
      </c>
      <c r="AH18" s="261" t="str">
        <f t="shared" si="18"/>
        <v/>
      </c>
      <c r="AI18" s="328" t="str">
        <f t="shared" si="5"/>
        <v/>
      </c>
      <c r="AJ18" s="13" t="str">
        <f t="shared" si="6"/>
        <v/>
      </c>
      <c r="AM18" s="1" t="s">
        <v>71</v>
      </c>
    </row>
    <row r="19" spans="1:39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215">
        <f t="shared" si="19"/>
        <v>43601</v>
      </c>
      <c r="D19" s="643" t="s">
        <v>18</v>
      </c>
      <c r="E19" s="633" t="str">
        <f t="shared" si="7"/>
        <v/>
      </c>
      <c r="F19" s="634" t="str">
        <f t="shared" si="8"/>
        <v/>
      </c>
      <c r="G19" s="626"/>
      <c r="H19" s="128" t="str">
        <f t="shared" si="0"/>
        <v/>
      </c>
      <c r="I19" s="127">
        <f t="shared" si="9"/>
        <v>1</v>
      </c>
      <c r="J19" s="299"/>
      <c r="K19" s="86"/>
      <c r="L19" s="11"/>
      <c r="M19" s="11"/>
      <c r="N19" s="369"/>
      <c r="O19" s="371">
        <f t="shared" si="1"/>
        <v>0</v>
      </c>
      <c r="P19" s="73">
        <f t="shared" si="1"/>
        <v>0</v>
      </c>
      <c r="Q19" s="73">
        <f t="shared" si="1"/>
        <v>0</v>
      </c>
      <c r="R19" s="73">
        <f t="shared" si="1"/>
        <v>0</v>
      </c>
      <c r="S19" s="73">
        <v>0.2</v>
      </c>
      <c r="T19" s="73">
        <f t="shared" si="2"/>
        <v>0.33333333333333337</v>
      </c>
      <c r="U19" s="12" t="str">
        <f t="shared" si="10"/>
        <v/>
      </c>
      <c r="V19" s="372" t="e">
        <f t="shared" si="11"/>
        <v>#VALUE!</v>
      </c>
      <c r="W19" s="114" t="str">
        <f t="shared" si="12"/>
        <v/>
      </c>
      <c r="X19" s="161">
        <f>+IF(D19="cp",(I19*'Récapitulatif '!$AJ$3),"")</f>
        <v>6.9</v>
      </c>
      <c r="Y19" s="163" t="str">
        <f t="shared" si="3"/>
        <v/>
      </c>
      <c r="Z19" s="154">
        <f t="shared" si="13"/>
        <v>1</v>
      </c>
      <c r="AA19" s="154">
        <f t="shared" si="4"/>
        <v>1</v>
      </c>
      <c r="AB19" s="479" t="str">
        <f t="shared" si="20"/>
        <v/>
      </c>
      <c r="AC19" s="475" t="str">
        <f t="shared" si="14"/>
        <v/>
      </c>
      <c r="AD19" s="118" t="str">
        <f t="shared" si="15"/>
        <v/>
      </c>
      <c r="AE19" s="261" t="str">
        <f t="shared" si="16"/>
        <v/>
      </c>
      <c r="AF19" s="220" t="str">
        <f>+IF(AND(WEEKDAY(C19)=7,$C$4:$C$43=$C$64),"",IF(AND(WEEKDAY(C19)=1,$C$4:$C$43=$C$64),"",IF($C$4:$C$43=$C$64,'Récapitulatif '!$AJ$3,IF(AND(WEEKDAY(C19)=7,$C$4:$C$43=$C$64),"",IF(AND(WEEKDAY(C19)=1,$C$4:$C$43=$C$65),"",IF($C$4:$C$43=$C$65,'Récapitulatif '!$AJ$3,IF($C$4:$C$43=$C$66,'Récapitulatif '!$AJ$3,"")))))))</f>
        <v/>
      </c>
      <c r="AG19" s="118" t="str">
        <f t="shared" si="17"/>
        <v/>
      </c>
      <c r="AH19" s="261" t="str">
        <f t="shared" si="18"/>
        <v/>
      </c>
      <c r="AI19" s="328" t="str">
        <f t="shared" si="5"/>
        <v/>
      </c>
      <c r="AJ19" s="13" t="str">
        <f t="shared" si="6"/>
        <v/>
      </c>
    </row>
    <row r="20" spans="1:39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215">
        <f t="shared" si="19"/>
        <v>43602</v>
      </c>
      <c r="D20" s="643" t="s">
        <v>18</v>
      </c>
      <c r="E20" s="633" t="str">
        <f t="shared" si="7"/>
        <v/>
      </c>
      <c r="F20" s="634" t="str">
        <f t="shared" si="8"/>
        <v/>
      </c>
      <c r="G20" s="626"/>
      <c r="H20" s="128" t="str">
        <f t="shared" si="0"/>
        <v/>
      </c>
      <c r="I20" s="127">
        <f t="shared" si="9"/>
        <v>1</v>
      </c>
      <c r="J20" s="299"/>
      <c r="K20" s="86"/>
      <c r="L20" s="11"/>
      <c r="M20" s="11"/>
      <c r="N20" s="369"/>
      <c r="O20" s="371">
        <f t="shared" si="1"/>
        <v>0</v>
      </c>
      <c r="P20" s="73">
        <f t="shared" si="1"/>
        <v>0</v>
      </c>
      <c r="Q20" s="73">
        <f t="shared" si="1"/>
        <v>0</v>
      </c>
      <c r="R20" s="73">
        <f t="shared" si="1"/>
        <v>0</v>
      </c>
      <c r="S20" s="73">
        <v>0.2</v>
      </c>
      <c r="T20" s="73">
        <f t="shared" si="2"/>
        <v>0.33333333333333337</v>
      </c>
      <c r="U20" s="12" t="str">
        <f t="shared" si="10"/>
        <v/>
      </c>
      <c r="V20" s="372" t="e">
        <f t="shared" si="11"/>
        <v>#VALUE!</v>
      </c>
      <c r="W20" s="114" t="str">
        <f t="shared" si="12"/>
        <v/>
      </c>
      <c r="X20" s="161">
        <f>+IF(D20="cp",(I20*'Récapitulatif '!$AJ$3),"")</f>
        <v>6.9</v>
      </c>
      <c r="Y20" s="163" t="str">
        <f t="shared" si="3"/>
        <v/>
      </c>
      <c r="Z20" s="154">
        <f t="shared" si="13"/>
        <v>1</v>
      </c>
      <c r="AA20" s="154">
        <f t="shared" si="4"/>
        <v>1</v>
      </c>
      <c r="AB20" s="479" t="str">
        <f t="shared" si="20"/>
        <v/>
      </c>
      <c r="AC20" s="475" t="str">
        <f t="shared" si="14"/>
        <v/>
      </c>
      <c r="AD20" s="118" t="str">
        <f t="shared" si="15"/>
        <v/>
      </c>
      <c r="AE20" s="261" t="str">
        <f t="shared" si="16"/>
        <v/>
      </c>
      <c r="AF20" s="220" t="str">
        <f>+IF(AND(WEEKDAY(C20)=7,$C$4:$C$43=$C$64),"",IF(AND(WEEKDAY(C20)=1,$C$4:$C$43=$C$64),"",IF($C$4:$C$43=$C$64,'Récapitulatif '!$AJ$3,IF(AND(WEEKDAY(C20)=7,$C$4:$C$43=$C$64),"",IF(AND(WEEKDAY(C20)=1,$C$4:$C$43=$C$65),"",IF($C$4:$C$43=$C$65,'Récapitulatif '!$AJ$3,IF($C$4:$C$43=$C$66,'Récapitulatif '!$AJ$3,"")))))))</f>
        <v/>
      </c>
      <c r="AG20" s="118" t="str">
        <f t="shared" si="17"/>
        <v/>
      </c>
      <c r="AH20" s="261" t="str">
        <f t="shared" si="18"/>
        <v/>
      </c>
      <c r="AI20" s="328" t="str">
        <f t="shared" si="5"/>
        <v/>
      </c>
      <c r="AJ20" s="13" t="str">
        <f t="shared" si="6"/>
        <v/>
      </c>
    </row>
    <row r="21" spans="1:39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215">
        <f t="shared" si="19"/>
        <v>43603</v>
      </c>
      <c r="D21" s="642"/>
      <c r="E21" s="633" t="str">
        <f t="shared" si="7"/>
        <v/>
      </c>
      <c r="F21" s="634" t="str">
        <f t="shared" si="8"/>
        <v/>
      </c>
      <c r="G21" s="626"/>
      <c r="H21" s="128" t="str">
        <f t="shared" si="0"/>
        <v/>
      </c>
      <c r="I21" s="127" t="str">
        <f t="shared" si="9"/>
        <v/>
      </c>
      <c r="J21" s="299"/>
      <c r="K21" s="86"/>
      <c r="L21" s="11"/>
      <c r="M21" s="11"/>
      <c r="N21" s="369"/>
      <c r="O21" s="371">
        <f t="shared" si="1"/>
        <v>0</v>
      </c>
      <c r="P21" s="73">
        <f t="shared" si="1"/>
        <v>0</v>
      </c>
      <c r="Q21" s="73">
        <f t="shared" si="1"/>
        <v>0</v>
      </c>
      <c r="R21" s="73">
        <f t="shared" si="1"/>
        <v>0</v>
      </c>
      <c r="S21" s="73">
        <v>0.2</v>
      </c>
      <c r="T21" s="73">
        <f t="shared" si="2"/>
        <v>0.33333333333333337</v>
      </c>
      <c r="U21" s="12" t="str">
        <f t="shared" si="10"/>
        <v/>
      </c>
      <c r="V21" s="372" t="e">
        <f t="shared" si="11"/>
        <v>#VALUE!</v>
      </c>
      <c r="W21" s="114" t="str">
        <f t="shared" si="12"/>
        <v/>
      </c>
      <c r="X21" s="161" t="str">
        <f>+IF(D21="cp",(I21*'Récapitulatif '!$AJ$3),"")</f>
        <v/>
      </c>
      <c r="Y21" s="163" t="str">
        <f t="shared" si="3"/>
        <v/>
      </c>
      <c r="Z21" s="154" t="str">
        <f t="shared" si="13"/>
        <v/>
      </c>
      <c r="AA21" s="154" t="str">
        <f t="shared" si="4"/>
        <v/>
      </c>
      <c r="AB21" s="479" t="str">
        <f t="shared" si="20"/>
        <v/>
      </c>
      <c r="AC21" s="475" t="str">
        <f t="shared" si="14"/>
        <v/>
      </c>
      <c r="AD21" s="118" t="str">
        <f t="shared" si="15"/>
        <v/>
      </c>
      <c r="AE21" s="261" t="str">
        <f t="shared" si="16"/>
        <v/>
      </c>
      <c r="AF21" s="220" t="str">
        <f>+IF(AND(WEEKDAY(C21)=7,$C$4:$C$43=$C$64),"",IF(AND(WEEKDAY(C21)=1,$C$4:$C$43=$C$64),"",IF($C$4:$C$43=$C$64,'Récapitulatif '!$AJ$3,IF(AND(WEEKDAY(C21)=7,$C$4:$C$43=$C$64),"",IF(AND(WEEKDAY(C21)=1,$C$4:$C$43=$C$65),"",IF($C$4:$C$43=$C$65,'Récapitulatif '!$AJ$3,IF($C$4:$C$43=$C$66,'Récapitulatif '!$AJ$3,"")))))))</f>
        <v/>
      </c>
      <c r="AG21" s="118" t="str">
        <f t="shared" si="17"/>
        <v/>
      </c>
      <c r="AH21" s="261" t="str">
        <f t="shared" si="18"/>
        <v/>
      </c>
      <c r="AI21" s="328" t="str">
        <f t="shared" si="5"/>
        <v/>
      </c>
      <c r="AJ21" s="13" t="str">
        <f t="shared" si="6"/>
        <v/>
      </c>
    </row>
    <row r="22" spans="1:39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215">
        <f t="shared" si="19"/>
        <v>43604</v>
      </c>
      <c r="D22" s="643"/>
      <c r="E22" s="633" t="str">
        <f t="shared" si="7"/>
        <v/>
      </c>
      <c r="F22" s="634" t="str">
        <f t="shared" si="8"/>
        <v/>
      </c>
      <c r="G22" s="626"/>
      <c r="H22" s="128" t="str">
        <f t="shared" si="0"/>
        <v/>
      </c>
      <c r="I22" s="127" t="str">
        <f t="shared" si="9"/>
        <v/>
      </c>
      <c r="J22" s="299"/>
      <c r="K22" s="86"/>
      <c r="L22" s="11"/>
      <c r="M22" s="11"/>
      <c r="N22" s="369"/>
      <c r="O22" s="371">
        <f t="shared" si="1"/>
        <v>0</v>
      </c>
      <c r="P22" s="73">
        <f t="shared" si="1"/>
        <v>0</v>
      </c>
      <c r="Q22" s="73">
        <f t="shared" si="1"/>
        <v>0</v>
      </c>
      <c r="R22" s="73">
        <f t="shared" si="1"/>
        <v>0</v>
      </c>
      <c r="S22" s="73">
        <v>0.2</v>
      </c>
      <c r="T22" s="73">
        <f t="shared" si="2"/>
        <v>0.33333333333333337</v>
      </c>
      <c r="U22" s="12" t="str">
        <f t="shared" si="10"/>
        <v/>
      </c>
      <c r="V22" s="372" t="e">
        <f t="shared" si="11"/>
        <v>#VALUE!</v>
      </c>
      <c r="W22" s="114" t="str">
        <f t="shared" si="12"/>
        <v/>
      </c>
      <c r="X22" s="161" t="str">
        <f>+IF(D22="cp",(I22*'Récapitulatif '!$AJ$3),"")</f>
        <v/>
      </c>
      <c r="Y22" s="163" t="str">
        <f t="shared" si="3"/>
        <v/>
      </c>
      <c r="Z22" s="154" t="str">
        <f t="shared" si="13"/>
        <v/>
      </c>
      <c r="AA22" s="154" t="str">
        <f t="shared" si="4"/>
        <v/>
      </c>
      <c r="AB22" s="479">
        <f t="shared" si="20"/>
        <v>34.5</v>
      </c>
      <c r="AC22" s="475" t="str">
        <f t="shared" si="14"/>
        <v/>
      </c>
      <c r="AD22" s="118" t="str">
        <f t="shared" si="15"/>
        <v/>
      </c>
      <c r="AE22" s="261" t="str">
        <f t="shared" si="16"/>
        <v/>
      </c>
      <c r="AF22" s="220" t="str">
        <f>+IF(AND(WEEKDAY(C22)=7,$C$4:$C$43=$C$64),"",IF(AND(WEEKDAY(C22)=1,$C$4:$C$43=$C$64),"",IF($C$4:$C$43=$C$64,'Récapitulatif '!$AJ$3,IF(AND(WEEKDAY(C22)=7,$C$4:$C$43=$C$64),"",IF(AND(WEEKDAY(C22)=1,$C$4:$C$43=$C$65),"",IF($C$4:$C$43=$C$65,'Récapitulatif '!$AJ$3,IF($C$4:$C$43=$C$66,'Récapitulatif '!$AJ$3,"")))))))</f>
        <v/>
      </c>
      <c r="AG22" s="118" t="str">
        <f t="shared" si="17"/>
        <v/>
      </c>
      <c r="AH22" s="261" t="str">
        <f t="shared" si="18"/>
        <v/>
      </c>
      <c r="AI22" s="328" t="str">
        <f t="shared" si="5"/>
        <v/>
      </c>
      <c r="AJ22" s="13" t="str">
        <f t="shared" si="6"/>
        <v/>
      </c>
    </row>
    <row r="23" spans="1:39">
      <c r="A23" s="482">
        <f>IF(WEEKDAY(C23,2)=1,INT((C23-SUM(MOD(DATE(YEAR(C23-MOD(C23-2,7)+3),1,2),{1E+99;7})*{1;-1})+5)/7),"")</f>
        <v>21</v>
      </c>
      <c r="B23" s="482" t="str">
        <f>IF(A23&lt;&gt;"",VLOOKUP(A23,juin!$L$49:$M$101,2,FALSE),"")</f>
        <v>Nuit</v>
      </c>
      <c r="C23" s="215">
        <f t="shared" si="19"/>
        <v>43605</v>
      </c>
      <c r="D23" s="643" t="s">
        <v>202</v>
      </c>
      <c r="E23" s="633" t="str">
        <f t="shared" si="7"/>
        <v/>
      </c>
      <c r="F23" s="634" t="str">
        <f t="shared" si="8"/>
        <v/>
      </c>
      <c r="G23" s="626" t="s">
        <v>186</v>
      </c>
      <c r="H23" s="128">
        <f t="shared" si="0"/>
        <v>1</v>
      </c>
      <c r="I23" s="127" t="str">
        <f t="shared" si="9"/>
        <v/>
      </c>
      <c r="J23" s="299"/>
      <c r="K23" s="86">
        <v>12.55</v>
      </c>
      <c r="L23" s="11">
        <v>21</v>
      </c>
      <c r="M23" s="11"/>
      <c r="N23" s="369"/>
      <c r="O23" s="371">
        <f t="shared" si="1"/>
        <v>12.916666666666668</v>
      </c>
      <c r="P23" s="73">
        <f t="shared" si="1"/>
        <v>21</v>
      </c>
      <c r="Q23" s="73">
        <f t="shared" si="1"/>
        <v>0</v>
      </c>
      <c r="R23" s="73">
        <f t="shared" si="1"/>
        <v>0</v>
      </c>
      <c r="S23" s="73">
        <v>0.2</v>
      </c>
      <c r="T23" s="73">
        <f t="shared" si="2"/>
        <v>0.33333333333333337</v>
      </c>
      <c r="U23" s="12">
        <f t="shared" si="10"/>
        <v>7.7499999999999991</v>
      </c>
      <c r="V23" s="372">
        <f t="shared" si="11"/>
        <v>0</v>
      </c>
      <c r="W23" s="114">
        <f t="shared" si="12"/>
        <v>7.7499999999999991</v>
      </c>
      <c r="X23" s="161" t="str">
        <f>+IF(D23="cp",(I23*'Récapitulatif '!$AJ$3),"")</f>
        <v/>
      </c>
      <c r="Y23" s="163">
        <f t="shared" si="3"/>
        <v>0</v>
      </c>
      <c r="Z23" s="154" t="str">
        <f t="shared" si="13"/>
        <v/>
      </c>
      <c r="AA23" s="154" t="str">
        <f t="shared" si="4"/>
        <v/>
      </c>
      <c r="AB23" s="479" t="str">
        <f t="shared" si="20"/>
        <v/>
      </c>
      <c r="AC23" s="475" t="str">
        <f t="shared" si="14"/>
        <v/>
      </c>
      <c r="AD23" s="118" t="str">
        <f t="shared" si="15"/>
        <v/>
      </c>
      <c r="AE23" s="261" t="str">
        <f t="shared" si="16"/>
        <v/>
      </c>
      <c r="AF23" s="220" t="str">
        <f>+IF(AND(WEEKDAY(C23)=7,$C$4:$C$43=$C$64),"",IF(AND(WEEKDAY(C23)=1,$C$4:$C$43=$C$64),"",IF($C$4:$C$43=$C$64,'Récapitulatif '!$AJ$3,IF(AND(WEEKDAY(C23)=7,$C$4:$C$43=$C$64),"",IF(AND(WEEKDAY(C23)=1,$C$4:$C$43=$C$65),"",IF($C$4:$C$43=$C$65,'Récapitulatif '!$AJ$3,IF($C$4:$C$43=$C$66,'Récapitulatif '!$AJ$3,"")))))))</f>
        <v/>
      </c>
      <c r="AG23" s="118" t="str">
        <f t="shared" si="17"/>
        <v/>
      </c>
      <c r="AH23" s="261" t="str">
        <f t="shared" si="18"/>
        <v/>
      </c>
      <c r="AI23" s="328">
        <f t="shared" si="5"/>
        <v>1</v>
      </c>
      <c r="AJ23" s="13" t="str">
        <f t="shared" si="6"/>
        <v/>
      </c>
    </row>
    <row r="24" spans="1:39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215">
        <f t="shared" si="19"/>
        <v>43606</v>
      </c>
      <c r="D24" s="643" t="s">
        <v>202</v>
      </c>
      <c r="E24" s="633" t="str">
        <f t="shared" si="7"/>
        <v/>
      </c>
      <c r="F24" s="634" t="str">
        <f t="shared" si="8"/>
        <v/>
      </c>
      <c r="G24" s="626" t="s">
        <v>186</v>
      </c>
      <c r="H24" s="128">
        <f t="shared" si="0"/>
        <v>1</v>
      </c>
      <c r="I24" s="127" t="str">
        <f t="shared" si="9"/>
        <v/>
      </c>
      <c r="J24" s="299"/>
      <c r="K24" s="86">
        <v>12.55</v>
      </c>
      <c r="L24" s="11">
        <v>21</v>
      </c>
      <c r="M24" s="11"/>
      <c r="N24" s="369"/>
      <c r="O24" s="371">
        <f t="shared" si="1"/>
        <v>12.916666666666668</v>
      </c>
      <c r="P24" s="73">
        <f t="shared" si="1"/>
        <v>21</v>
      </c>
      <c r="Q24" s="73">
        <f t="shared" si="1"/>
        <v>0</v>
      </c>
      <c r="R24" s="73">
        <f t="shared" si="1"/>
        <v>0</v>
      </c>
      <c r="S24" s="73">
        <v>0.2</v>
      </c>
      <c r="T24" s="73">
        <f t="shared" si="2"/>
        <v>0.33333333333333337</v>
      </c>
      <c r="U24" s="12">
        <f t="shared" si="10"/>
        <v>7.7499999999999991</v>
      </c>
      <c r="V24" s="372">
        <f t="shared" si="11"/>
        <v>0</v>
      </c>
      <c r="W24" s="114">
        <f t="shared" si="12"/>
        <v>7.7499999999999991</v>
      </c>
      <c r="X24" s="161" t="str">
        <f>+IF(D24="cp",(I24*'Récapitulatif '!$AJ$3),"")</f>
        <v/>
      </c>
      <c r="Y24" s="163">
        <f t="shared" si="3"/>
        <v>0</v>
      </c>
      <c r="Z24" s="154" t="str">
        <f t="shared" si="13"/>
        <v/>
      </c>
      <c r="AA24" s="154" t="str">
        <f t="shared" si="4"/>
        <v/>
      </c>
      <c r="AB24" s="479" t="str">
        <f t="shared" si="20"/>
        <v/>
      </c>
      <c r="AC24" s="475" t="str">
        <f t="shared" si="14"/>
        <v/>
      </c>
      <c r="AD24" s="118" t="str">
        <f t="shared" si="15"/>
        <v/>
      </c>
      <c r="AE24" s="261" t="str">
        <f t="shared" si="16"/>
        <v/>
      </c>
      <c r="AF24" s="220" t="str">
        <f>+IF(AND(WEEKDAY(C24)=7,$C$4:$C$43=$C$64),"",IF(AND(WEEKDAY(C24)=1,$C$4:$C$43=$C$64),"",IF($C$4:$C$43=$C$64,'Récapitulatif '!$AJ$3,IF(AND(WEEKDAY(C24)=7,$C$4:$C$43=$C$64),"",IF(AND(WEEKDAY(C24)=1,$C$4:$C$43=$C$65),"",IF($C$4:$C$43=$C$65,'Récapitulatif '!$AJ$3,IF($C$4:$C$43=$C$66,'Récapitulatif '!$AJ$3,"")))))))</f>
        <v/>
      </c>
      <c r="AG24" s="118" t="str">
        <f t="shared" si="17"/>
        <v/>
      </c>
      <c r="AH24" s="261" t="str">
        <f t="shared" si="18"/>
        <v/>
      </c>
      <c r="AI24" s="328">
        <f t="shared" si="5"/>
        <v>1</v>
      </c>
      <c r="AJ24" s="13" t="str">
        <f t="shared" si="6"/>
        <v/>
      </c>
    </row>
    <row r="25" spans="1:39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215">
        <f t="shared" si="19"/>
        <v>43607</v>
      </c>
      <c r="D25" s="643" t="s">
        <v>202</v>
      </c>
      <c r="E25" s="633" t="str">
        <f t="shared" si="7"/>
        <v/>
      </c>
      <c r="F25" s="634" t="str">
        <f t="shared" si="8"/>
        <v/>
      </c>
      <c r="G25" s="626" t="s">
        <v>186</v>
      </c>
      <c r="H25" s="128">
        <f t="shared" si="0"/>
        <v>1</v>
      </c>
      <c r="I25" s="127" t="str">
        <f t="shared" si="9"/>
        <v/>
      </c>
      <c r="J25" s="299"/>
      <c r="K25" s="86">
        <v>12.55</v>
      </c>
      <c r="L25" s="11">
        <v>21</v>
      </c>
      <c r="M25" s="11"/>
      <c r="N25" s="369"/>
      <c r="O25" s="371">
        <f t="shared" si="1"/>
        <v>12.916666666666668</v>
      </c>
      <c r="P25" s="73">
        <f t="shared" si="1"/>
        <v>21</v>
      </c>
      <c r="Q25" s="73">
        <f t="shared" si="1"/>
        <v>0</v>
      </c>
      <c r="R25" s="73">
        <f t="shared" si="1"/>
        <v>0</v>
      </c>
      <c r="S25" s="73">
        <v>0.2</v>
      </c>
      <c r="T25" s="73">
        <f t="shared" si="2"/>
        <v>0.33333333333333337</v>
      </c>
      <c r="U25" s="12">
        <f>+IF(D25="","",IF(D25="CP","",IF(D25="J2",((N25-M25)+(L25-K25)),IF(O25&lt;P25,P25-O25,P25+24-O25)-T25)))</f>
        <v>7.7499999999999991</v>
      </c>
      <c r="V25" s="372">
        <f>IF(O25&lt;P25,IF(K25="","",IF(O25&gt;$D$75,24-O25,IF(O25&lt;$D$76,$D$76-O25,0)))+IF(P25&lt;$D$76,P25,IF(P25&gt;$D$75,P25-$D$75,0)),IF(K25="","",IF(O25&gt;$D$75,24-O25,IF(O25&lt;$D$76,$D$76-O25,3)))+IF(P25&lt;$D$76,P25,IF(P25&gt;$D$75,24-P25,P25)))</f>
        <v>0</v>
      </c>
      <c r="W25" s="114">
        <f>+IF(U25&gt;=6,U25,IF(D25="J2",((N25-M25)+(L25-K25)),IF(O25&lt;P25,P25-O25,P25+24-O25)))</f>
        <v>7.7499999999999991</v>
      </c>
      <c r="X25" s="161" t="str">
        <f>+IF(D25="cp",(I25*'Récapitulatif '!$AJ$3),"")</f>
        <v/>
      </c>
      <c r="Y25" s="163">
        <f t="shared" si="3"/>
        <v>0</v>
      </c>
      <c r="Z25" s="154" t="str">
        <f t="shared" si="13"/>
        <v/>
      </c>
      <c r="AA25" s="154" t="str">
        <f t="shared" si="4"/>
        <v/>
      </c>
      <c r="AB25" s="479" t="str">
        <f t="shared" si="20"/>
        <v/>
      </c>
      <c r="AC25" s="475" t="str">
        <f>+IF(AND(WEEKDAY(C25)=7,D25="N"),(24-O25),IF(WEEKDAY(C25)=7,W25,IF(AND(WEEKDAY(C25)=6,D25="N"),(L25-0.33),IF(WEEKDAY(C25)=7,W25,""))))</f>
        <v/>
      </c>
      <c r="AD25" s="118" t="str">
        <f>+IF(AND(WEEKDAY(C25)=1,D25="N"),(24-O25),IF(WEEKDAY(C25)=1,W25,IF(AND(WEEKDAY(C25)=7,D25="N"),(L25-0.33),IF(WEEKDAY(C25)=1,W25,""))))</f>
        <v/>
      </c>
      <c r="AE25" s="261" t="str">
        <f t="shared" si="16"/>
        <v/>
      </c>
      <c r="AF25" s="220" t="str">
        <f>+IF(AND(WEEKDAY(C25)=7,$C$4:$C$43=$C$64),"",IF(AND(WEEKDAY(C25)=1,$C$4:$C$43=$C$64),"",IF($C$4:$C$43=$C$64,'Récapitulatif '!$AJ$3,IF(AND(WEEKDAY(C25)=7,$C$4:$C$43=$C$64),"",IF(AND(WEEKDAY(C25)=1,$C$4:$C$43=$C$65),"",IF($C$4:$C$43=$C$65,'Récapitulatif '!$AJ$3,IF($C$4:$C$43=$C$66,'Récapitulatif '!$AJ$3,"")))))))</f>
        <v/>
      </c>
      <c r="AG25" s="118" t="str">
        <f>+IF(AND($C$4:$C$43=($C$64-1),$D$4:$D$43="N"),($L25-$T25),IF(AND($C$4:$C$43=($C$64),$D$4:$D$43="N"),(24-$K25),IF(AND($C$4:$C$43=($C$65-1),$D$4:$D$43="N"),($L25-$T25),IF(AND($C$4:$C$43=($C$65),$D$4:$D$43="N"),(24-$K25),IF(OR($C$4:$C$43=($C$64),$C$4:$C$43=$C$65),$W25,"")))))</f>
        <v/>
      </c>
      <c r="AH25" s="261" t="str">
        <f>+IF(AND($C$4:$C$43=($C$66-1),$D$4:$D$43="N"),($L25-$T25),IF(AND($C$4:$C$43=($C$66),$D$4:$D$43="N"),(24-$K25),IF(AND($C$4:$C$43=($C$67-1),$D$4:$D$43="N"),($L25-$T25),IF(AND($C$4:$C$43=($C$67),$D$4:$D$43="N"),(24-$K25),IF(OR($C$4:$C$43=($C$66),$C$4:$C$43=$C$67),$W25,"")))))</f>
        <v/>
      </c>
      <c r="AI25" s="328">
        <f>IF(K25="","",IF(D25="J2","",IF(AJ25=1,"",IF(U25&gt;=6,1,""))))</f>
        <v>1</v>
      </c>
      <c r="AJ25" s="13" t="str">
        <f>+IF(K25="","",IF(Y25&gt;=4,1,""))</f>
        <v/>
      </c>
    </row>
    <row r="26" spans="1:39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215">
        <f t="shared" si="19"/>
        <v>43608</v>
      </c>
      <c r="D26" s="643" t="s">
        <v>202</v>
      </c>
      <c r="E26" s="633" t="str">
        <f t="shared" si="7"/>
        <v/>
      </c>
      <c r="F26" s="634" t="str">
        <f t="shared" si="8"/>
        <v/>
      </c>
      <c r="G26" s="626" t="s">
        <v>186</v>
      </c>
      <c r="H26" s="128">
        <f t="shared" si="0"/>
        <v>1</v>
      </c>
      <c r="I26" s="127" t="str">
        <f t="shared" si="9"/>
        <v/>
      </c>
      <c r="J26" s="299"/>
      <c r="K26" s="86">
        <v>12.55</v>
      </c>
      <c r="L26" s="11">
        <v>21</v>
      </c>
      <c r="M26" s="11"/>
      <c r="N26" s="369"/>
      <c r="O26" s="371">
        <f t="shared" si="1"/>
        <v>12.916666666666668</v>
      </c>
      <c r="P26" s="73">
        <f t="shared" si="1"/>
        <v>21</v>
      </c>
      <c r="Q26" s="73">
        <f t="shared" si="1"/>
        <v>0</v>
      </c>
      <c r="R26" s="73">
        <f t="shared" si="1"/>
        <v>0</v>
      </c>
      <c r="S26" s="73">
        <v>0.2</v>
      </c>
      <c r="T26" s="73">
        <f t="shared" si="2"/>
        <v>0.33333333333333337</v>
      </c>
      <c r="U26" s="12">
        <f>+IF(D26="","",IF(D26="CP","",IF(D26="J2",((N26-M26)+(L26-K26)),IF(O26&lt;P26,P26-O26,P26+24-O26)-T26)))</f>
        <v>7.7499999999999991</v>
      </c>
      <c r="V26" s="372">
        <f>IF(O26&lt;P26,IF(K26="","",IF(O26&gt;$D$75,24-O26,IF(O26&lt;$D$76,$D$76-O26,0)))+IF(P26&lt;$D$76,P26,IF(P26&gt;$D$75,P26-$D$75,0)),IF(K26="","",IF(O26&gt;$D$75,24-O26,IF(O26&lt;$D$76,$D$76-O26,3)))+IF(P26&lt;$D$76,P26,IF(P26&gt;$D$75,24-P26,P26)))</f>
        <v>0</v>
      </c>
      <c r="W26" s="114">
        <f>+IF(U26&gt;=6,U26,IF(D26="J2",((N26-M26)+(L26-K26)),IF(O26&lt;P26,P26-O26,P26+24-O26)))</f>
        <v>7.7499999999999991</v>
      </c>
      <c r="X26" s="161" t="str">
        <f>+IF(D26="cp",(I26*'Récapitulatif '!$AJ$3),"")</f>
        <v/>
      </c>
      <c r="Y26" s="163">
        <f t="shared" si="3"/>
        <v>0</v>
      </c>
      <c r="Z26" s="154" t="str">
        <f t="shared" si="13"/>
        <v/>
      </c>
      <c r="AA26" s="154" t="str">
        <f t="shared" si="4"/>
        <v/>
      </c>
      <c r="AB26" s="479" t="str">
        <f t="shared" si="20"/>
        <v/>
      </c>
      <c r="AC26" s="475" t="str">
        <f>+IF(AND(WEEKDAY(C26)=7,D26="N"),(24-O26),IF(WEEKDAY(C26)=7,W26,IF(AND(WEEKDAY(C26)=6,D26="N"),(L26-0.33),IF(WEEKDAY(C26)=7,W26,""))))</f>
        <v/>
      </c>
      <c r="AD26" s="118" t="str">
        <f>+IF(AND(WEEKDAY(C26)=1,D26="N"),(24-O26),IF(WEEKDAY(C26)=1,W26,IF(AND(WEEKDAY(C26)=7,D26="N"),(L26-0.33),IF(WEEKDAY(C26)=1,W26,""))))</f>
        <v/>
      </c>
      <c r="AE26" s="261" t="str">
        <f t="shared" si="16"/>
        <v/>
      </c>
      <c r="AF26" s="220" t="str">
        <f>+IF(AND(WEEKDAY(C26)=7,$C$4:$C$43=$C$64),"",IF(AND(WEEKDAY(C26)=1,$C$4:$C$43=$C$64),"",IF($C$4:$C$43=$C$64,'Récapitulatif '!$AJ$3,IF(AND(WEEKDAY(C26)=7,$C$4:$C$43=$C$64),"",IF(AND(WEEKDAY(C26)=1,$C$4:$C$43=$C$65),"",IF($C$4:$C$43=$C$65,'Récapitulatif '!$AJ$3,IF($C$4:$C$43=$C$66,'Récapitulatif '!$AJ$3,"")))))))</f>
        <v/>
      </c>
      <c r="AG26" s="118" t="str">
        <f>+IF(AND($C$4:$C$43=($C$64-1),$D$4:$D$43="N"),($L26-$T26),IF(AND($C$4:$C$43=($C$64),$D$4:$D$43="N"),(24-$K26),IF(AND($C$4:$C$43=($C$65-1),$D$4:$D$43="N"),($L26-$T26),IF(AND($C$4:$C$43=($C$65),$D$4:$D$43="N"),(24-$K26),IF(OR($C$4:$C$43=($C$64),$C$4:$C$43=$C$65),$W26,"")))))</f>
        <v/>
      </c>
      <c r="AH26" s="261" t="str">
        <f>+IF(AND($C$4:$C$43=($C$66-1),$D$4:$D$43="N"),($L26-$T26),IF(AND($C$4:$C$43=($C$66),$D$4:$D$43="N"),(24-$K26),IF(AND($C$4:$C$43=($C$67-1),$D$4:$D$43="N"),($L26-$T26),IF(AND($C$4:$C$43=($C$67),$D$4:$D$43="N"),(24-$K26),IF(OR($C$4:$C$43=($C$66),$C$4:$C$43=$C$67),$W26,"")))))</f>
        <v/>
      </c>
      <c r="AI26" s="328">
        <f>IF(K26="","",IF(D26="J2","",IF(AJ26=1,"",IF(U26&gt;=6,1,""))))</f>
        <v>1</v>
      </c>
      <c r="AJ26" s="13" t="str">
        <f>+IF(K26="","",IF(Y26&gt;=4,1,""))</f>
        <v/>
      </c>
    </row>
    <row r="27" spans="1:39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215">
        <f t="shared" si="19"/>
        <v>43609</v>
      </c>
      <c r="D27" s="642"/>
      <c r="E27" s="633" t="str">
        <f t="shared" si="7"/>
        <v/>
      </c>
      <c r="F27" s="634" t="str">
        <f t="shared" si="8"/>
        <v/>
      </c>
      <c r="G27" s="626"/>
      <c r="H27" s="128" t="str">
        <f t="shared" si="0"/>
        <v/>
      </c>
      <c r="I27" s="127" t="str">
        <f t="shared" si="9"/>
        <v/>
      </c>
      <c r="J27" s="299"/>
      <c r="K27" s="86"/>
      <c r="L27" s="11"/>
      <c r="M27" s="11"/>
      <c r="N27" s="369"/>
      <c r="O27" s="371">
        <f t="shared" si="1"/>
        <v>0</v>
      </c>
      <c r="P27" s="73">
        <f t="shared" si="1"/>
        <v>0</v>
      </c>
      <c r="Q27" s="73">
        <f t="shared" si="1"/>
        <v>0</v>
      </c>
      <c r="R27" s="73">
        <f t="shared" si="1"/>
        <v>0</v>
      </c>
      <c r="S27" s="73">
        <v>0.2</v>
      </c>
      <c r="T27" s="73">
        <f t="shared" si="2"/>
        <v>0.33333333333333337</v>
      </c>
      <c r="U27" s="12" t="str">
        <f t="shared" si="10"/>
        <v/>
      </c>
      <c r="V27" s="372" t="e">
        <f t="shared" si="11"/>
        <v>#VALUE!</v>
      </c>
      <c r="W27" s="114" t="str">
        <f t="shared" si="12"/>
        <v/>
      </c>
      <c r="X27" s="161" t="str">
        <f>+IF(D27="cp",(I27*'Récapitulatif '!$AJ$3),"")</f>
        <v/>
      </c>
      <c r="Y27" s="163" t="str">
        <f t="shared" si="3"/>
        <v/>
      </c>
      <c r="Z27" s="154" t="str">
        <f t="shared" si="13"/>
        <v/>
      </c>
      <c r="AA27" s="154" t="str">
        <f t="shared" si="4"/>
        <v/>
      </c>
      <c r="AB27" s="479" t="str">
        <f t="shared" si="20"/>
        <v/>
      </c>
      <c r="AC27" s="475" t="str">
        <f t="shared" si="14"/>
        <v/>
      </c>
      <c r="AD27" s="118" t="str">
        <f t="shared" si="15"/>
        <v/>
      </c>
      <c r="AE27" s="261" t="str">
        <f t="shared" si="16"/>
        <v/>
      </c>
      <c r="AF27" s="220" t="str">
        <f>+IF(AND(WEEKDAY(C27)=7,$C$4:$C$43=$C$64),"",IF(AND(WEEKDAY(C27)=1,$C$4:$C$43=$C$64),"",IF($C$4:$C$43=$C$64,'Récapitulatif '!$AJ$3,IF(AND(WEEKDAY(C27)=7,$C$4:$C$43=$C$64),"",IF(AND(WEEKDAY(C27)=1,$C$4:$C$43=$C$65),"",IF($C$4:$C$43=$C$65,'Récapitulatif '!$AJ$3,IF($C$4:$C$43=$C$66,'Récapitulatif '!$AJ$3,"")))))))</f>
        <v/>
      </c>
      <c r="AG27" s="118" t="str">
        <f t="shared" si="17"/>
        <v/>
      </c>
      <c r="AH27" s="261" t="str">
        <f t="shared" si="18"/>
        <v/>
      </c>
      <c r="AI27" s="328" t="str">
        <f t="shared" si="5"/>
        <v/>
      </c>
      <c r="AJ27" s="13" t="str">
        <f t="shared" si="6"/>
        <v/>
      </c>
    </row>
    <row r="28" spans="1:39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215">
        <f t="shared" si="19"/>
        <v>43610</v>
      </c>
      <c r="D28" s="642"/>
      <c r="E28" s="633" t="str">
        <f t="shared" si="7"/>
        <v/>
      </c>
      <c r="F28" s="634" t="str">
        <f t="shared" si="8"/>
        <v/>
      </c>
      <c r="G28" s="626"/>
      <c r="H28" s="128" t="str">
        <f t="shared" si="0"/>
        <v/>
      </c>
      <c r="I28" s="127" t="str">
        <f t="shared" si="9"/>
        <v/>
      </c>
      <c r="J28" s="299"/>
      <c r="K28" s="86"/>
      <c r="L28" s="11"/>
      <c r="M28" s="11"/>
      <c r="N28" s="369"/>
      <c r="O28" s="371">
        <f t="shared" si="1"/>
        <v>0</v>
      </c>
      <c r="P28" s="73">
        <f t="shared" si="1"/>
        <v>0</v>
      </c>
      <c r="Q28" s="73">
        <f t="shared" si="1"/>
        <v>0</v>
      </c>
      <c r="R28" s="73">
        <f t="shared" si="1"/>
        <v>0</v>
      </c>
      <c r="S28" s="73">
        <v>0.2</v>
      </c>
      <c r="T28" s="73">
        <f t="shared" si="2"/>
        <v>0.33333333333333337</v>
      </c>
      <c r="U28" s="12" t="str">
        <f t="shared" si="10"/>
        <v/>
      </c>
      <c r="V28" s="372" t="e">
        <f t="shared" si="11"/>
        <v>#VALUE!</v>
      </c>
      <c r="W28" s="114" t="str">
        <f t="shared" si="12"/>
        <v/>
      </c>
      <c r="X28" s="161" t="str">
        <f>+IF(D28="cp",(I28*'Récapitulatif '!$AJ$3),"")</f>
        <v/>
      </c>
      <c r="Y28" s="163" t="str">
        <f t="shared" si="3"/>
        <v/>
      </c>
      <c r="Z28" s="154" t="str">
        <f t="shared" si="13"/>
        <v/>
      </c>
      <c r="AA28" s="154" t="str">
        <f t="shared" si="4"/>
        <v/>
      </c>
      <c r="AB28" s="479" t="str">
        <f t="shared" si="20"/>
        <v/>
      </c>
      <c r="AC28" s="475" t="str">
        <f t="shared" si="14"/>
        <v/>
      </c>
      <c r="AD28" s="118" t="str">
        <f t="shared" si="15"/>
        <v/>
      </c>
      <c r="AE28" s="261" t="str">
        <f t="shared" si="16"/>
        <v/>
      </c>
      <c r="AF28" s="220" t="str">
        <f>+IF(AND(WEEKDAY(C28)=7,$C$4:$C$43=$C$64),"",IF(AND(WEEKDAY(C28)=1,$C$4:$C$43=$C$64),"",IF($C$4:$C$43=$C$64,'Récapitulatif '!$AJ$3,IF(AND(WEEKDAY(C28)=7,$C$4:$C$43=$C$64),"",IF(AND(WEEKDAY(C28)=1,$C$4:$C$43=$C$65),"",IF($C$4:$C$43=$C$65,'Récapitulatif '!$AJ$3,IF($C$4:$C$43=$C$66,'Récapitulatif '!$AJ$3,"")))))))</f>
        <v/>
      </c>
      <c r="AG28" s="118" t="str">
        <f t="shared" si="17"/>
        <v/>
      </c>
      <c r="AH28" s="261" t="str">
        <f t="shared" si="18"/>
        <v/>
      </c>
      <c r="AI28" s="328" t="str">
        <f t="shared" si="5"/>
        <v/>
      </c>
      <c r="AJ28" s="13" t="str">
        <f t="shared" si="6"/>
        <v/>
      </c>
    </row>
    <row r="29" spans="1:39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215">
        <f t="shared" si="19"/>
        <v>43611</v>
      </c>
      <c r="D29" s="643" t="s">
        <v>203</v>
      </c>
      <c r="E29" s="633" t="str">
        <f t="shared" si="7"/>
        <v/>
      </c>
      <c r="F29" s="634">
        <f t="shared" si="8"/>
        <v>1</v>
      </c>
      <c r="G29" s="626" t="s">
        <v>184</v>
      </c>
      <c r="H29" s="128">
        <f t="shared" si="0"/>
        <v>1</v>
      </c>
      <c r="I29" s="127" t="str">
        <f t="shared" si="9"/>
        <v/>
      </c>
      <c r="J29" s="299"/>
      <c r="K29" s="86">
        <v>21</v>
      </c>
      <c r="L29" s="11">
        <v>5</v>
      </c>
      <c r="M29" s="11"/>
      <c r="N29" s="369"/>
      <c r="O29" s="371">
        <f t="shared" si="1"/>
        <v>21</v>
      </c>
      <c r="P29" s="73">
        <f t="shared" si="1"/>
        <v>5</v>
      </c>
      <c r="Q29" s="73">
        <f t="shared" si="1"/>
        <v>0</v>
      </c>
      <c r="R29" s="73">
        <f t="shared" si="1"/>
        <v>0</v>
      </c>
      <c r="S29" s="73">
        <v>0.2</v>
      </c>
      <c r="T29" s="73">
        <f t="shared" si="2"/>
        <v>0.33333333333333337</v>
      </c>
      <c r="U29" s="12">
        <f t="shared" si="10"/>
        <v>7.666666666666667</v>
      </c>
      <c r="V29" s="372">
        <f t="shared" si="11"/>
        <v>8</v>
      </c>
      <c r="W29" s="114">
        <f t="shared" si="12"/>
        <v>7.666666666666667</v>
      </c>
      <c r="X29" s="161" t="str">
        <f>+IF(D29="cp",(I29*'Récapitulatif '!$AJ$3),"")</f>
        <v/>
      </c>
      <c r="Y29" s="163">
        <f t="shared" si="3"/>
        <v>7.666666666666667</v>
      </c>
      <c r="Z29" s="154" t="str">
        <f t="shared" si="13"/>
        <v/>
      </c>
      <c r="AA29" s="154">
        <f t="shared" si="4"/>
        <v>1</v>
      </c>
      <c r="AB29" s="479">
        <f t="shared" si="20"/>
        <v>38.666666666666664</v>
      </c>
      <c r="AC29" s="475" t="str">
        <f t="shared" si="14"/>
        <v/>
      </c>
      <c r="AD29" s="118">
        <f t="shared" si="15"/>
        <v>3</v>
      </c>
      <c r="AE29" s="261" t="str">
        <f t="shared" si="16"/>
        <v/>
      </c>
      <c r="AF29" s="220" t="str">
        <f>+IF(AND(WEEKDAY(C29)=7,$C$4:$C$43=$C$64),"",IF(AND(WEEKDAY(C29)=1,$C$4:$C$43=$C$64),"",IF($C$4:$C$43=$C$64,'Récapitulatif '!$AJ$3,IF(AND(WEEKDAY(C29)=7,$C$4:$C$43=$C$64),"",IF(AND(WEEKDAY(C29)=1,$C$4:$C$43=$C$65),"",IF($C$4:$C$43=$C$65,'Récapitulatif '!$AJ$3,IF($C$4:$C$43=$C$66,'Récapitulatif '!$AJ$3,"")))))))</f>
        <v/>
      </c>
      <c r="AG29" s="118" t="str">
        <f t="shared" si="17"/>
        <v/>
      </c>
      <c r="AH29" s="261" t="str">
        <f t="shared" si="18"/>
        <v/>
      </c>
      <c r="AI29" s="328" t="str">
        <f t="shared" si="5"/>
        <v/>
      </c>
      <c r="AJ29" s="13">
        <f t="shared" si="6"/>
        <v>1</v>
      </c>
    </row>
    <row r="30" spans="1:39">
      <c r="A30" s="482">
        <f>IF(WEEKDAY(C30,2)=1,INT((C30-SUM(MOD(DATE(YEAR(C30-MOD(C30-2,7)+3),1,2),{1E+99;7})*{1;-1})+5)/7),"")</f>
        <v>22</v>
      </c>
      <c r="B30" s="482" t="str">
        <f>IF(A30&lt;&gt;"",VLOOKUP(A30,juin!$L$49:$M$101,2,FALSE),"")</f>
        <v>A - Midi</v>
      </c>
      <c r="C30" s="215">
        <f t="shared" si="19"/>
        <v>43612</v>
      </c>
      <c r="D30" s="643" t="s">
        <v>203</v>
      </c>
      <c r="E30" s="633" t="str">
        <f t="shared" si="7"/>
        <v/>
      </c>
      <c r="F30" s="634" t="str">
        <f t="shared" si="8"/>
        <v/>
      </c>
      <c r="G30" s="626" t="s">
        <v>184</v>
      </c>
      <c r="H30" s="128">
        <f t="shared" si="0"/>
        <v>1</v>
      </c>
      <c r="I30" s="127" t="str">
        <f t="shared" si="9"/>
        <v/>
      </c>
      <c r="J30" s="299"/>
      <c r="K30" s="86">
        <v>20.55</v>
      </c>
      <c r="L30" s="11">
        <v>5</v>
      </c>
      <c r="M30" s="11"/>
      <c r="N30" s="369"/>
      <c r="O30" s="371">
        <f t="shared" si="1"/>
        <v>20.916666666666668</v>
      </c>
      <c r="P30" s="73">
        <f t="shared" si="1"/>
        <v>5</v>
      </c>
      <c r="Q30" s="73">
        <f t="shared" si="1"/>
        <v>0</v>
      </c>
      <c r="R30" s="73">
        <f t="shared" si="1"/>
        <v>0</v>
      </c>
      <c r="S30" s="73">
        <v>0.2</v>
      </c>
      <c r="T30" s="73">
        <f t="shared" si="2"/>
        <v>0.33333333333333337</v>
      </c>
      <c r="U30" s="12">
        <f t="shared" si="10"/>
        <v>7.7499999999999991</v>
      </c>
      <c r="V30" s="372">
        <f t="shared" si="11"/>
        <v>8</v>
      </c>
      <c r="W30" s="114">
        <f t="shared" si="12"/>
        <v>7.7499999999999991</v>
      </c>
      <c r="X30" s="161" t="str">
        <f>+IF(D30="cp",(I30*'Récapitulatif '!$AJ$3),"")</f>
        <v/>
      </c>
      <c r="Y30" s="163">
        <f t="shared" si="3"/>
        <v>7.666666666666667</v>
      </c>
      <c r="Z30" s="154" t="str">
        <f t="shared" si="13"/>
        <v/>
      </c>
      <c r="AA30" s="154">
        <f t="shared" si="4"/>
        <v>1</v>
      </c>
      <c r="AB30" s="479" t="str">
        <f t="shared" si="20"/>
        <v/>
      </c>
      <c r="AC30" s="475" t="str">
        <f t="shared" si="14"/>
        <v/>
      </c>
      <c r="AD30" s="118" t="str">
        <f t="shared" si="15"/>
        <v/>
      </c>
      <c r="AE30" s="261" t="str">
        <f t="shared" si="16"/>
        <v/>
      </c>
      <c r="AF30" s="220" t="str">
        <f>+IF(AND(WEEKDAY(C30)=7,$C$4:$C$43=$C$64),"",IF(AND(WEEKDAY(C30)=1,$C$4:$C$43=$C$64),"",IF($C$4:$C$43=$C$64,'Récapitulatif '!$AJ$3,IF(AND(WEEKDAY(C30)=7,$C$4:$C$43=$C$64),"",IF(AND(WEEKDAY(C30)=1,$C$4:$C$43=$C$65),"",IF($C$4:$C$43=$C$65,'Récapitulatif '!$AJ$3,IF($C$4:$C$43=$C$66,'Récapitulatif '!$AJ$3,"")))))))</f>
        <v/>
      </c>
      <c r="AG30" s="118" t="str">
        <f t="shared" si="17"/>
        <v/>
      </c>
      <c r="AH30" s="261" t="str">
        <f t="shared" si="18"/>
        <v/>
      </c>
      <c r="AI30" s="328" t="str">
        <f t="shared" si="5"/>
        <v/>
      </c>
      <c r="AJ30" s="13">
        <f t="shared" si="6"/>
        <v>1</v>
      </c>
    </row>
    <row r="31" spans="1:39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215">
        <f t="shared" si="19"/>
        <v>43613</v>
      </c>
      <c r="D31" s="643" t="s">
        <v>203</v>
      </c>
      <c r="E31" s="633" t="str">
        <f t="shared" si="7"/>
        <v/>
      </c>
      <c r="F31" s="634" t="str">
        <f t="shared" si="8"/>
        <v/>
      </c>
      <c r="G31" s="626" t="s">
        <v>184</v>
      </c>
      <c r="H31" s="128">
        <f t="shared" si="0"/>
        <v>1</v>
      </c>
      <c r="I31" s="127" t="str">
        <f t="shared" si="9"/>
        <v/>
      </c>
      <c r="J31" s="299"/>
      <c r="K31" s="86">
        <v>20.55</v>
      </c>
      <c r="L31" s="11">
        <v>5</v>
      </c>
      <c r="M31" s="11"/>
      <c r="N31" s="369"/>
      <c r="O31" s="371">
        <f t="shared" si="1"/>
        <v>20.916666666666668</v>
      </c>
      <c r="P31" s="73">
        <f t="shared" si="1"/>
        <v>5</v>
      </c>
      <c r="Q31" s="73">
        <f t="shared" si="1"/>
        <v>0</v>
      </c>
      <c r="R31" s="73">
        <f t="shared" si="1"/>
        <v>0</v>
      </c>
      <c r="S31" s="73">
        <v>0.2</v>
      </c>
      <c r="T31" s="73">
        <f t="shared" si="2"/>
        <v>0.33333333333333337</v>
      </c>
      <c r="U31" s="12">
        <f t="shared" si="10"/>
        <v>7.7499999999999991</v>
      </c>
      <c r="V31" s="372">
        <f t="shared" si="11"/>
        <v>8</v>
      </c>
      <c r="W31" s="114">
        <f t="shared" si="12"/>
        <v>7.7499999999999991</v>
      </c>
      <c r="X31" s="161" t="str">
        <f>+IF(D31="cp",(I31*'Récapitulatif '!$AJ$3),"")</f>
        <v/>
      </c>
      <c r="Y31" s="163">
        <f t="shared" si="3"/>
        <v>7.666666666666667</v>
      </c>
      <c r="Z31" s="154" t="str">
        <f t="shared" si="13"/>
        <v/>
      </c>
      <c r="AA31" s="154">
        <f t="shared" si="4"/>
        <v>1</v>
      </c>
      <c r="AB31" s="479" t="str">
        <f t="shared" si="20"/>
        <v/>
      </c>
      <c r="AC31" s="475" t="str">
        <f t="shared" si="14"/>
        <v/>
      </c>
      <c r="AD31" s="118" t="str">
        <f t="shared" si="15"/>
        <v/>
      </c>
      <c r="AE31" s="261" t="str">
        <f t="shared" si="16"/>
        <v/>
      </c>
      <c r="AF31" s="220" t="str">
        <f>+IF(AND(WEEKDAY(C31)=7,$C$4:$C$43=$C$64),"",IF(AND(WEEKDAY(C31)=1,$C$4:$C$43=$C$64),"",IF($C$4:$C$43=$C$64,'Récapitulatif '!$AJ$3,IF(AND(WEEKDAY(C31)=7,$C$4:$C$43=$C$64),"",IF(AND(WEEKDAY(C31)=1,$C$4:$C$43=$C$65),"",IF($C$4:$C$43=$C$65,'Récapitulatif '!$AJ$3,IF($C$4:$C$43=$C$66,'Récapitulatif '!$AJ$3,"")))))))</f>
        <v/>
      </c>
      <c r="AG31" s="118" t="str">
        <f t="shared" si="17"/>
        <v/>
      </c>
      <c r="AH31" s="261" t="str">
        <f t="shared" si="18"/>
        <v/>
      </c>
      <c r="AI31" s="328" t="str">
        <f t="shared" si="5"/>
        <v/>
      </c>
      <c r="AJ31" s="13">
        <f t="shared" si="6"/>
        <v>1</v>
      </c>
    </row>
    <row r="32" spans="1:39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215">
        <f>+IF(MONTH(C$31+1)=MONTH(C$31)+1,"",C$31+1)</f>
        <v>43614</v>
      </c>
      <c r="D32" s="643"/>
      <c r="E32" s="633" t="str">
        <f t="shared" si="7"/>
        <v/>
      </c>
      <c r="F32" s="634" t="str">
        <f t="shared" si="8"/>
        <v/>
      </c>
      <c r="G32" s="626"/>
      <c r="H32" s="128" t="str">
        <f t="shared" si="0"/>
        <v/>
      </c>
      <c r="I32" s="127" t="str">
        <f t="shared" si="9"/>
        <v/>
      </c>
      <c r="J32" s="299"/>
      <c r="K32" s="86"/>
      <c r="L32" s="11"/>
      <c r="M32" s="11"/>
      <c r="N32" s="369"/>
      <c r="O32" s="371">
        <f t="shared" si="1"/>
        <v>0</v>
      </c>
      <c r="P32" s="73">
        <f t="shared" si="1"/>
        <v>0</v>
      </c>
      <c r="Q32" s="73">
        <f t="shared" si="1"/>
        <v>0</v>
      </c>
      <c r="R32" s="73">
        <f t="shared" si="1"/>
        <v>0</v>
      </c>
      <c r="S32" s="73">
        <v>0.2</v>
      </c>
      <c r="T32" s="73">
        <f t="shared" si="2"/>
        <v>0.33333333333333337</v>
      </c>
      <c r="U32" s="12" t="str">
        <f t="shared" si="10"/>
        <v/>
      </c>
      <c r="V32" s="372" t="e">
        <f t="shared" si="11"/>
        <v>#VALUE!</v>
      </c>
      <c r="W32" s="114" t="str">
        <f t="shared" si="12"/>
        <v/>
      </c>
      <c r="X32" s="161" t="str">
        <f>+IF(D32="cp",(I32*'Récapitulatif '!$AJ$3),"")</f>
        <v/>
      </c>
      <c r="Y32" s="163" t="str">
        <f t="shared" si="3"/>
        <v/>
      </c>
      <c r="Z32" s="154" t="str">
        <f t="shared" si="13"/>
        <v/>
      </c>
      <c r="AA32" s="154" t="str">
        <f t="shared" si="4"/>
        <v/>
      </c>
      <c r="AB32" s="479" t="str">
        <f t="shared" si="20"/>
        <v/>
      </c>
      <c r="AC32" s="475" t="str">
        <f t="shared" si="14"/>
        <v/>
      </c>
      <c r="AD32" s="118" t="str">
        <f t="shared" si="15"/>
        <v/>
      </c>
      <c r="AE32" s="261" t="str">
        <f t="shared" si="16"/>
        <v/>
      </c>
      <c r="AF32" s="220" t="str">
        <f>+IF(AND(WEEKDAY(C32)=7,$C$4:$C$43=$C$64),"",IF(AND(WEEKDAY(C32)=1,$C$4:$C$43=$C$64),"",IF($C$4:$C$43=$C$64,'Récapitulatif '!$AJ$3,IF(AND(WEEKDAY(C32)=7,$C$4:$C$43=$C$64),"",IF(AND(WEEKDAY(C32)=1,$C$4:$C$43=$C$65),"",IF($C$4:$C$43=$C$65,'Récapitulatif '!$AJ$3,IF($C$4:$C$43=$C$66,'Récapitulatif '!$AJ$3,"")))))))</f>
        <v/>
      </c>
      <c r="AG32" s="118" t="str">
        <f t="shared" si="17"/>
        <v/>
      </c>
      <c r="AH32" s="261" t="str">
        <f t="shared" si="18"/>
        <v/>
      </c>
      <c r="AI32" s="328" t="str">
        <f t="shared" si="5"/>
        <v/>
      </c>
      <c r="AJ32" s="13" t="str">
        <f t="shared" si="6"/>
        <v/>
      </c>
    </row>
    <row r="33" spans="1:40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215">
        <f>+IF(MONTH(C$31+2)=MONTH(C$31)+1,"",C$31+2)</f>
        <v>43615</v>
      </c>
      <c r="D33" s="643" t="s">
        <v>203</v>
      </c>
      <c r="E33" s="633" t="str">
        <f t="shared" si="7"/>
        <v/>
      </c>
      <c r="F33" s="634" t="str">
        <f t="shared" si="8"/>
        <v/>
      </c>
      <c r="G33" s="626" t="s">
        <v>184</v>
      </c>
      <c r="H33" s="128">
        <f t="shared" si="0"/>
        <v>1</v>
      </c>
      <c r="I33" s="127" t="str">
        <f t="shared" si="9"/>
        <v/>
      </c>
      <c r="J33" s="299"/>
      <c r="K33" s="86">
        <v>21</v>
      </c>
      <c r="L33" s="11">
        <v>4.5</v>
      </c>
      <c r="M33" s="11"/>
      <c r="N33" s="369"/>
      <c r="O33" s="371">
        <f t="shared" si="1"/>
        <v>21</v>
      </c>
      <c r="P33" s="73">
        <f t="shared" si="1"/>
        <v>4.833333333333333</v>
      </c>
      <c r="Q33" s="73">
        <f t="shared" si="1"/>
        <v>0</v>
      </c>
      <c r="R33" s="73">
        <f t="shared" si="1"/>
        <v>0</v>
      </c>
      <c r="S33" s="73">
        <v>0.2</v>
      </c>
      <c r="T33" s="73">
        <f t="shared" si="2"/>
        <v>0.33333333333333337</v>
      </c>
      <c r="U33" s="12">
        <f t="shared" si="10"/>
        <v>7.4999999999999991</v>
      </c>
      <c r="V33" s="372">
        <f t="shared" si="11"/>
        <v>7.833333333333333</v>
      </c>
      <c r="W33" s="114">
        <f t="shared" si="12"/>
        <v>7.4999999999999991</v>
      </c>
      <c r="X33" s="161" t="str">
        <f>+IF(D33="cp",(I33*'Récapitulatif '!$AJ$3),"")</f>
        <v/>
      </c>
      <c r="Y33" s="163">
        <f t="shared" si="3"/>
        <v>7.5</v>
      </c>
      <c r="Z33" s="154" t="str">
        <f t="shared" si="13"/>
        <v/>
      </c>
      <c r="AA33" s="154">
        <f t="shared" si="4"/>
        <v>1</v>
      </c>
      <c r="AB33" s="479" t="str">
        <f t="shared" si="20"/>
        <v/>
      </c>
      <c r="AC33" s="475" t="str">
        <f t="shared" si="14"/>
        <v/>
      </c>
      <c r="AD33" s="118" t="str">
        <f t="shared" si="15"/>
        <v/>
      </c>
      <c r="AE33" s="261">
        <f t="shared" si="16"/>
        <v>3</v>
      </c>
      <c r="AF33" s="220">
        <f>+IF(AND(WEEKDAY(C33)=7,$C$4:$C$43=$C$64),"",IF(AND(WEEKDAY(C33)=1,$C$4:$C$43=$C$64),"",IF($C$4:$C$43=$C$64,'Récapitulatif '!$AJ$3,IF(AND(WEEKDAY(C33)=7,$C$4:$C$43=$C$64),"",IF(AND(WEEKDAY(C33)=1,$C$4:$C$43=$C$65),"",IF($C$4:$C$43=$C$65,'Récapitulatif '!$AJ$3,IF($C$4:$C$43=$C$66,'Récapitulatif '!$AJ$3,"")))))))</f>
        <v>6.9</v>
      </c>
      <c r="AG33" s="118" t="str">
        <f t="shared" si="17"/>
        <v/>
      </c>
      <c r="AH33" s="261">
        <f t="shared" si="18"/>
        <v>3</v>
      </c>
      <c r="AI33" s="328" t="str">
        <f t="shared" si="5"/>
        <v/>
      </c>
      <c r="AJ33" s="13">
        <f t="shared" si="6"/>
        <v>1</v>
      </c>
    </row>
    <row r="34" spans="1:40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216">
        <f>+IF(MONTH(C$31+3)=MONTH(C$31)+1,"",C$31+3)</f>
        <v>43616</v>
      </c>
      <c r="D34" s="644"/>
      <c r="E34" s="635" t="str">
        <f t="shared" si="7"/>
        <v/>
      </c>
      <c r="F34" s="636" t="str">
        <f t="shared" si="8"/>
        <v/>
      </c>
      <c r="G34" s="627"/>
      <c r="H34" s="128" t="str">
        <f t="shared" si="0"/>
        <v/>
      </c>
      <c r="I34" s="127" t="str">
        <f t="shared" si="9"/>
        <v/>
      </c>
      <c r="J34" s="300"/>
      <c r="K34" s="87"/>
      <c r="L34" s="14"/>
      <c r="M34" s="14"/>
      <c r="N34" s="370"/>
      <c r="O34" s="373">
        <f>+((K34-INT(K34))/60*100)+INT(K34)</f>
        <v>0</v>
      </c>
      <c r="P34" s="202">
        <f>+((L34-INT(L34))/60*100)+INT(L34)</f>
        <v>0</v>
      </c>
      <c r="Q34" s="202">
        <f>+((M34-INT(M34))/60*100)+INT(M34)</f>
        <v>0</v>
      </c>
      <c r="R34" s="202">
        <f>+((N34-INT(N34))/60*100)+INT(N34)</f>
        <v>0</v>
      </c>
      <c r="S34" s="73">
        <v>0.2</v>
      </c>
      <c r="T34" s="202">
        <f t="shared" si="2"/>
        <v>0.33333333333333337</v>
      </c>
      <c r="U34" s="203" t="str">
        <f>+IF(D34="","",IF(D34="CP","",IF(D34="J2",((N34-M34)+(L34-K34)),IF(O34&lt;P34,P34-O34,P34+24-O34)-T34)))</f>
        <v/>
      </c>
      <c r="V34" s="374" t="e">
        <f t="shared" si="11"/>
        <v>#VALUE!</v>
      </c>
      <c r="W34" s="115" t="str">
        <f>+IF(U34&gt;=6,U34,IF(D34="J2",((N34-M34)+(L34-K34)),IF(O34&lt;P34,P34-O34,P34+24-O34)))</f>
        <v/>
      </c>
      <c r="X34" s="204" t="str">
        <f>+IF(D34="cp",(I34*'Récapitulatif '!$AJ$3),"")</f>
        <v/>
      </c>
      <c r="Y34" s="164" t="str">
        <f>+IF(OR(D34="CP",D34=""),"",(IF(V34&gt;6,V34-T34,V34)))</f>
        <v/>
      </c>
      <c r="Z34" s="154" t="str">
        <f t="shared" si="13"/>
        <v/>
      </c>
      <c r="AA34" s="154" t="str">
        <f t="shared" si="4"/>
        <v/>
      </c>
      <c r="AB34" s="480" t="str">
        <f t="shared" si="20"/>
        <v/>
      </c>
      <c r="AC34" s="476" t="str">
        <f t="shared" si="14"/>
        <v/>
      </c>
      <c r="AD34" s="120" t="str">
        <f t="shared" si="15"/>
        <v/>
      </c>
      <c r="AE34" s="262" t="str">
        <f t="shared" si="16"/>
        <v/>
      </c>
      <c r="AF34" s="221" t="str">
        <f>+IF(AND(WEEKDAY(C34)=7,$C$4:$C$43=$C$64),"",IF(AND(WEEKDAY(C34)=1,$C$4:$C$43=$C$64),"",IF($C$4:$C$43=$C$64,'Récapitulatif '!$AJ$3,IF(AND(WEEKDAY(C34)=7,$C$4:$C$43=$C$64),"",IF(AND(WEEKDAY(C34)=1,$C$4:$C$43=$C$65),"",IF($C$4:$C$43=$C$65,'Récapitulatif '!$AJ$3,IF($C$4:$C$43=$C$66,'Récapitulatif '!$AJ$3,"")))))))</f>
        <v/>
      </c>
      <c r="AG34" s="120" t="str">
        <f t="shared" si="17"/>
        <v/>
      </c>
      <c r="AH34" s="262" t="str">
        <f t="shared" si="18"/>
        <v/>
      </c>
      <c r="AI34" s="329" t="str">
        <f t="shared" si="5"/>
        <v/>
      </c>
      <c r="AJ34" s="15" t="str">
        <f t="shared" si="6"/>
        <v/>
      </c>
      <c r="AM34" s="139"/>
    </row>
    <row r="35" spans="1:40" ht="13.5" hidden="1" thickBot="1">
      <c r="A35" s="481" t="str">
        <f>IF(WEEKDAY(C35,2)=1,NO.SEMAINE(C35),"")</f>
        <v/>
      </c>
      <c r="B35" s="482" t="str">
        <f>IF(A35&lt;&gt;"",VLOOKUP(A35,juin!$L$49:$M$101,2,FALSE),"")</f>
        <v/>
      </c>
      <c r="C35" s="205"/>
      <c r="D35" s="192"/>
      <c r="E35" s="192"/>
      <c r="F35" s="622" t="str">
        <f t="shared" si="8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73" t="e">
        <f t="shared" si="11"/>
        <v>#VALUE!</v>
      </c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22.999999999999996</v>
      </c>
      <c r="AC35" s="199"/>
      <c r="AD35" s="199"/>
      <c r="AE35" s="331" t="str">
        <f t="shared" si="16"/>
        <v/>
      </c>
      <c r="AF35" s="293" t="str">
        <f>+IF($C$4:$C$43=($C$69),'Récapitulatif '!$AJ$3,"")</f>
        <v/>
      </c>
      <c r="AG35" s="270" t="str">
        <f>+IF(AND($C$4:$C$43=($C$64-1),$D$4:$D$43="N"),(L35-T35),IF(AND($C$4:$C$43=($C$64),$D$4:$D$43="N"),(24-K35),IF(AND($C$4:$C$43=($C$65-1),$D$4:$D$43="N"),(L35-T35),IF(AND($C$4:$C$43=($C$65),$D$4:$D$43="N"),(24-K35),IF(OR($C$4:$C$43=($C$64),$C$4:$C$43=$C$65),$W35,"")))))</f>
        <v/>
      </c>
      <c r="AH35" s="199"/>
      <c r="AI35" s="200"/>
      <c r="AJ35" s="200"/>
      <c r="AM35" s="16"/>
    </row>
    <row r="36" spans="1:40" s="139" customFormat="1" ht="13.5" thickBot="1">
      <c r="A36" s="16"/>
      <c r="B36" s="16"/>
      <c r="C36" s="493"/>
      <c r="D36" s="132"/>
      <c r="E36" s="132"/>
      <c r="F36" s="132"/>
      <c r="G36" s="132"/>
      <c r="H36" s="133"/>
      <c r="I36" s="133"/>
      <c r="J36" s="133"/>
      <c r="K36" s="134"/>
      <c r="L36" s="134"/>
      <c r="M36" s="134"/>
      <c r="N36" s="134"/>
      <c r="O36" s="135"/>
      <c r="P36" s="135"/>
      <c r="Q36" s="135"/>
      <c r="R36" s="135"/>
      <c r="S36" s="135"/>
      <c r="T36" s="135"/>
      <c r="U36" s="108"/>
      <c r="V36" s="108"/>
      <c r="W36" s="136"/>
      <c r="X36" s="136"/>
      <c r="Y36" s="136"/>
      <c r="Z36" s="136"/>
      <c r="AA36" s="136"/>
      <c r="AB36" s="108"/>
      <c r="AC36" s="137"/>
      <c r="AD36" s="137"/>
      <c r="AE36" s="138"/>
      <c r="AF36" s="138"/>
      <c r="AG36" s="138"/>
      <c r="AH36" s="138"/>
      <c r="AI36" s="25"/>
      <c r="AJ36" s="25"/>
      <c r="AM36" s="1"/>
    </row>
    <row r="37" spans="1:40" ht="18.75" thickBot="1">
      <c r="A37" s="16"/>
      <c r="B37" s="16"/>
      <c r="C37" s="494" t="s">
        <v>85</v>
      </c>
      <c r="D37" s="18">
        <f>+SUM(I4:I34)</f>
        <v>9</v>
      </c>
      <c r="E37" s="609"/>
      <c r="F37" s="609"/>
      <c r="G37" s="836" t="s">
        <v>206</v>
      </c>
      <c r="H37" s="837"/>
      <c r="I37" s="837"/>
      <c r="J37" s="837"/>
      <c r="K37" s="616">
        <f>SUM(E4:E34)</f>
        <v>0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77.083333333333329</v>
      </c>
      <c r="X37" s="151">
        <f>SUM(X4:X34)</f>
        <v>62.099999999999994</v>
      </c>
      <c r="Y37" s="117">
        <f>SUM(Y4:Y34)</f>
        <v>45.833333333333336</v>
      </c>
      <c r="Z37" s="155">
        <f>SUM(Z4:Z34)</f>
        <v>9</v>
      </c>
      <c r="AA37" s="155">
        <f>SUM(AA4:AA34)-Z37</f>
        <v>6</v>
      </c>
      <c r="AC37" s="121">
        <f>SUM(AC4:AC33)</f>
        <v>0</v>
      </c>
      <c r="AD37" s="122">
        <f>SUM(AD4:AD33)</f>
        <v>3</v>
      </c>
      <c r="AE37" s="123">
        <f>SUM(AE4:AE33)</f>
        <v>6</v>
      </c>
      <c r="AF37" s="121">
        <f>SUM(AF4:AF34)</f>
        <v>20.700000000000003</v>
      </c>
      <c r="AG37" s="123">
        <f>SUM(AG4:AG34)</f>
        <v>3</v>
      </c>
      <c r="AH37" s="123">
        <f>SUM(AH4:AH34)</f>
        <v>3</v>
      </c>
      <c r="AI37" s="314">
        <f>SUM(AI4:AI33)</f>
        <v>4</v>
      </c>
      <c r="AJ37" s="23">
        <f>SUM(AJ4:AJ33)</f>
        <v>6</v>
      </c>
      <c r="AM37" s="111"/>
    </row>
    <row r="38" spans="1:40" ht="6" customHeight="1" thickBot="1">
      <c r="A38" s="16"/>
      <c r="B38" s="16"/>
      <c r="C38" s="92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M38" s="764"/>
    </row>
    <row r="39" spans="1:40" ht="18" customHeight="1" thickBot="1">
      <c r="A39" s="16"/>
      <c r="B39" s="16"/>
      <c r="C39" s="494" t="s">
        <v>92</v>
      </c>
      <c r="D39" s="18">
        <f>+SUM(H4:H34)</f>
        <v>10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760"/>
      <c r="AD39" s="24"/>
      <c r="AE39" s="1"/>
      <c r="AF39" s="1"/>
      <c r="AG39" s="1"/>
      <c r="AH39" s="1"/>
    </row>
    <row r="40" spans="1:40" ht="13.5" thickBot="1">
      <c r="A40" s="16"/>
      <c r="B40" s="16"/>
      <c r="C40" s="309"/>
      <c r="D40" s="310"/>
      <c r="E40" s="310"/>
      <c r="F40" s="310"/>
      <c r="G40" s="310"/>
      <c r="AK40" s="764"/>
      <c r="AL40" s="764"/>
      <c r="AN40" s="110"/>
    </row>
    <row r="41" spans="1:40" ht="13.5" thickBot="1">
      <c r="A41" s="16"/>
      <c r="B41" s="16"/>
      <c r="C41" s="455" t="s">
        <v>187</v>
      </c>
      <c r="D41" s="456">
        <f ca="1">SUMIF(G4:J34,"Pasto",W4:W34)</f>
        <v>46.083333333333329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759"/>
      <c r="Y41" s="81">
        <f>+($AA$37*10)/60</f>
        <v>1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+Avril!AE41+Y41-AC41</f>
        <v>56.896666666666675</v>
      </c>
      <c r="AF41" s="108"/>
      <c r="AG41" s="108"/>
      <c r="AH41" s="108"/>
      <c r="AN41" s="111"/>
    </row>
    <row r="42" spans="1:40" s="764" customFormat="1">
      <c r="A42" s="16"/>
      <c r="B42" s="16"/>
      <c r="C42" s="459" t="s">
        <v>188</v>
      </c>
      <c r="D42" s="458">
        <f>SUMIF(G4:G34,"Prépa",W4:W34)</f>
        <v>30.999999999999996</v>
      </c>
      <c r="E42" s="619"/>
      <c r="F42" s="619"/>
      <c r="G42" s="311"/>
      <c r="H42" s="26"/>
      <c r="I42" s="26"/>
      <c r="J42" s="26"/>
      <c r="K42" s="1"/>
      <c r="L42" s="764" t="s">
        <v>15</v>
      </c>
      <c r="M42" s="764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H42" s="24"/>
      <c r="AK42" s="1"/>
      <c r="AL42" s="1"/>
      <c r="AM42" s="1"/>
      <c r="AN42" s="1"/>
    </row>
    <row r="43" spans="1:40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0</v>
      </c>
      <c r="M43" s="505">
        <f>COUNTIF($D$4:$D$34,"M")</f>
        <v>0</v>
      </c>
    </row>
    <row r="44" spans="1:40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30.999999999999996</v>
      </c>
      <c r="M44" s="504">
        <f>COUNTIF($D$4:$D$34,"aM")</f>
        <v>4</v>
      </c>
      <c r="AB44" s="24"/>
      <c r="AE44" s="1"/>
      <c r="AF44" s="1"/>
      <c r="AG44" s="1"/>
      <c r="AH44" s="1"/>
    </row>
    <row r="45" spans="1:40">
      <c r="K45" s="506" t="s">
        <v>5</v>
      </c>
      <c r="L45" s="507">
        <f>SUMIF($D$4:$D$34,"n",$W$4:$W$34)</f>
        <v>46.083333333333329</v>
      </c>
      <c r="M45" s="506">
        <f>COUNTIF($D$4:$D$34,"n")</f>
        <v>6</v>
      </c>
    </row>
    <row r="46" spans="1:40">
      <c r="AB46" s="177"/>
      <c r="AC46" s="177"/>
      <c r="AD46" s="177"/>
      <c r="AE46" s="308"/>
    </row>
    <row r="47" spans="1:40">
      <c r="AD47" s="24"/>
      <c r="AE47" s="1"/>
      <c r="AF47" s="1"/>
      <c r="AG47" s="1"/>
      <c r="AH47" s="1"/>
    </row>
    <row r="48" spans="1:40">
      <c r="G48" s="26"/>
      <c r="H48" s="26"/>
      <c r="I48" s="26"/>
      <c r="J48" s="26"/>
    </row>
    <row r="52" spans="3:14">
      <c r="L52" s="10"/>
      <c r="M52" s="10"/>
      <c r="N52" s="10"/>
    </row>
    <row r="59" spans="3:14" ht="13.5" thickBot="1"/>
    <row r="60" spans="3:14" ht="15" customHeight="1">
      <c r="C60" s="813" t="s">
        <v>108</v>
      </c>
      <c r="D60" s="814"/>
      <c r="E60" s="814"/>
      <c r="F60" s="814"/>
      <c r="G60" s="815"/>
    </row>
    <row r="61" spans="3:14" ht="12.75" customHeight="1" thickBot="1">
      <c r="C61" s="816">
        <f>+juin!C52</f>
        <v>2019</v>
      </c>
      <c r="D61" s="817"/>
      <c r="E61" s="817"/>
      <c r="F61" s="817"/>
      <c r="G61" s="818"/>
    </row>
    <row r="62" spans="3:14" ht="15">
      <c r="C62" s="687">
        <f>+DATE(C61,1,1)</f>
        <v>43466</v>
      </c>
      <c r="D62" s="688" t="s">
        <v>109</v>
      </c>
      <c r="E62" s="689"/>
      <c r="F62" s="689"/>
      <c r="G62" s="690"/>
    </row>
    <row r="63" spans="3:14" ht="15">
      <c r="C63" s="679">
        <f>DATE(C61,IF((25-MOD((11*MOD(C61-1900,19)+4-INT((7*MOD(C61-1900,19)+1)/19)),29)-MOD(C61-1900+INT((C61-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80" t="s">
        <v>110</v>
      </c>
      <c r="E63" s="681"/>
      <c r="F63" s="681"/>
      <c r="G63" s="682"/>
    </row>
    <row r="64" spans="3:14" ht="15">
      <c r="C64" s="669">
        <f>DATE(C61,5,1)</f>
        <v>43586</v>
      </c>
      <c r="D64" s="676" t="s">
        <v>111</v>
      </c>
      <c r="E64" s="670"/>
      <c r="F64" s="670"/>
      <c r="G64" s="671"/>
    </row>
    <row r="65" spans="3:7" ht="15">
      <c r="C65" s="669">
        <f>DATE(C61,5,8)</f>
        <v>43593</v>
      </c>
      <c r="D65" s="676" t="s">
        <v>112</v>
      </c>
      <c r="E65" s="670"/>
      <c r="F65" s="670"/>
      <c r="G65" s="671"/>
    </row>
    <row r="66" spans="3:7" ht="15">
      <c r="C66" s="669">
        <f>+C63+38</f>
        <v>43615</v>
      </c>
      <c r="D66" s="676" t="s">
        <v>113</v>
      </c>
      <c r="E66" s="670"/>
      <c r="F66" s="670"/>
      <c r="G66" s="671"/>
    </row>
    <row r="67" spans="3:7" ht="15">
      <c r="C67" s="669">
        <f>+C66+11</f>
        <v>43626</v>
      </c>
      <c r="D67" s="676" t="s">
        <v>114</v>
      </c>
      <c r="E67" s="670"/>
      <c r="F67" s="670"/>
      <c r="G67" s="671"/>
    </row>
    <row r="68" spans="3:7" ht="15">
      <c r="C68" s="679">
        <f>DATE(C61,7,14)</f>
        <v>43660</v>
      </c>
      <c r="D68" s="680" t="s">
        <v>115</v>
      </c>
      <c r="E68" s="681"/>
      <c r="F68" s="681"/>
      <c r="G68" s="682"/>
    </row>
    <row r="69" spans="3:7" ht="15">
      <c r="C69" s="679">
        <f>DATE(C61,8,15)</f>
        <v>43692</v>
      </c>
      <c r="D69" s="680" t="s">
        <v>116</v>
      </c>
      <c r="E69" s="681"/>
      <c r="F69" s="681"/>
      <c r="G69" s="682"/>
    </row>
    <row r="70" spans="3:7" ht="15">
      <c r="C70" s="679">
        <f>DATE(C61,11,1)</f>
        <v>43770</v>
      </c>
      <c r="D70" s="680" t="s">
        <v>117</v>
      </c>
      <c r="E70" s="681"/>
      <c r="F70" s="681"/>
      <c r="G70" s="682"/>
    </row>
    <row r="71" spans="3:7" ht="15">
      <c r="C71" s="679">
        <f>DATE(C61,11,11)</f>
        <v>43780</v>
      </c>
      <c r="D71" s="680" t="s">
        <v>118</v>
      </c>
      <c r="E71" s="681"/>
      <c r="F71" s="681"/>
      <c r="G71" s="682"/>
    </row>
    <row r="72" spans="3:7" ht="15.75" thickBot="1">
      <c r="C72" s="683">
        <f>DATE(C61,12,25)</f>
        <v>43824</v>
      </c>
      <c r="D72" s="684" t="s">
        <v>119</v>
      </c>
      <c r="E72" s="685"/>
      <c r="F72" s="685"/>
      <c r="G72" s="686"/>
    </row>
    <row r="74" spans="3:7" ht="13.5" thickBot="1"/>
    <row r="75" spans="3:7" ht="13.5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thickBot="1">
      <c r="D76" s="366">
        <f>+juin!D67</f>
        <v>6</v>
      </c>
      <c r="E76" s="440"/>
      <c r="F76" s="440"/>
      <c r="G76" s="440"/>
    </row>
    <row r="77" spans="3:7">
      <c r="D77" s="26"/>
      <c r="E77" s="26"/>
      <c r="F77" s="26"/>
      <c r="G77" s="26"/>
    </row>
  </sheetData>
  <sheetProtection password="C35B" sheet="1" objects="1" scenarios="1"/>
  <mergeCells count="21">
    <mergeCell ref="A1:D1"/>
    <mergeCell ref="K1:Y1"/>
    <mergeCell ref="AC1:AE1"/>
    <mergeCell ref="AF1:AG1"/>
    <mergeCell ref="AI1:AJ1"/>
    <mergeCell ref="K41:M41"/>
    <mergeCell ref="N41:W41"/>
    <mergeCell ref="C60:G60"/>
    <mergeCell ref="C61:G61"/>
    <mergeCell ref="AF2:AH2"/>
    <mergeCell ref="A2:D2"/>
    <mergeCell ref="K2:L2"/>
    <mergeCell ref="M2:N2"/>
    <mergeCell ref="O2:P2"/>
    <mergeCell ref="Q2:R2"/>
    <mergeCell ref="A3:B3"/>
    <mergeCell ref="O3:P3"/>
    <mergeCell ref="S3:T3"/>
    <mergeCell ref="G37:J37"/>
    <mergeCell ref="G39:J39"/>
    <mergeCell ref="N39:Y39"/>
  </mergeCells>
  <conditionalFormatting sqref="C4:AA35">
    <cfRule type="expression" dxfId="146" priority="9" stopIfTrue="1">
      <formula>OR(WEEKDAY($C4)=1)</formula>
    </cfRule>
  </conditionalFormatting>
  <conditionalFormatting sqref="AB4:AB34">
    <cfRule type="expression" dxfId="145" priority="8" stopIfTrue="1">
      <formula>OR(WEEKDAY($C4)=1)</formula>
    </cfRule>
  </conditionalFormatting>
  <conditionalFormatting sqref="A35:B35">
    <cfRule type="expression" dxfId="144" priority="7" stopIfTrue="1">
      <formula>OR(WEEKDAY($C35)=1)</formula>
    </cfRule>
  </conditionalFormatting>
  <conditionalFormatting sqref="A4:B34 B35">
    <cfRule type="expression" dxfId="143" priority="6" stopIfTrue="1">
      <formula>OR(WEEKDAY($C4)=1)</formula>
    </cfRule>
  </conditionalFormatting>
  <conditionalFormatting sqref="A4:B34 B35">
    <cfRule type="expression" dxfId="142" priority="5" stopIfTrue="1">
      <formula>OR(WEEKDAY($C4)=1)</formula>
    </cfRule>
  </conditionalFormatting>
  <conditionalFormatting sqref="C4:C34">
    <cfRule type="cellIs" dxfId="141" priority="1" operator="equal">
      <formula>$C$67</formula>
    </cfRule>
    <cfRule type="cellIs" dxfId="140" priority="2" operator="equal">
      <formula>$C$66</formula>
    </cfRule>
    <cfRule type="cellIs" dxfId="139" priority="3" operator="equal">
      <formula>$C$65</formula>
    </cfRule>
    <cfRule type="cellIs" dxfId="138" priority="4" operator="equal">
      <formula>$C$64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4" orientation="landscape" r:id="rId1"/>
  <headerFooter alignWithMargins="0"/>
  <rowBreaks count="1" manualBreakCount="1">
    <brk id="50" max="16383" man="1"/>
  </rowBreaks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M103"/>
  <sheetViews>
    <sheetView showGridLines="0" view="pageBreakPreview" zoomScaleNormal="75" zoomScaleSheetLayoutView="100" workbookViewId="0">
      <selection activeCell="A2" sqref="A2:D2"/>
    </sheetView>
  </sheetViews>
  <sheetFormatPr baseColWidth="10" defaultRowHeight="12.75"/>
  <cols>
    <col min="1" max="1" width="8" style="7" customWidth="1"/>
    <col min="2" max="2" width="8" style="579" customWidth="1"/>
    <col min="3" max="3" width="14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85546875" style="1" customWidth="1"/>
    <col min="15" max="15" width="10.7109375" style="1" hidden="1" customWidth="1"/>
    <col min="16" max="18" width="8" style="1" hidden="1" customWidth="1"/>
    <col min="19" max="20" width="5.7109375" style="1" hidden="1" customWidth="1"/>
    <col min="21" max="21" width="11.5703125" style="1" hidden="1" customWidth="1"/>
    <col min="22" max="22" width="14.42578125" style="1" hidden="1" customWidth="1"/>
    <col min="23" max="23" width="10.85546875" style="1" customWidth="1"/>
    <col min="24" max="24" width="11.5703125" style="1" hidden="1" customWidth="1"/>
    <col min="25" max="25" width="10.7109375" style="1" customWidth="1"/>
    <col min="26" max="27" width="10.7109375" style="1" hidden="1" customWidth="1"/>
    <col min="28" max="28" width="9.28515625" style="4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22" t="s">
        <v>86</v>
      </c>
      <c r="B1" s="822"/>
      <c r="C1" s="822"/>
      <c r="D1" s="823"/>
      <c r="E1" s="611"/>
      <c r="F1" s="611"/>
      <c r="G1" s="44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82"/>
      <c r="Z1" s="255" t="s">
        <v>18</v>
      </c>
      <c r="AA1" s="143" t="s">
        <v>28</v>
      </c>
      <c r="AB1" s="149" t="s">
        <v>11</v>
      </c>
      <c r="AC1" s="875" t="s">
        <v>6</v>
      </c>
      <c r="AD1" s="876"/>
      <c r="AE1" s="877"/>
      <c r="AF1" s="266"/>
      <c r="AG1" s="266"/>
      <c r="AH1" s="878" t="s">
        <v>9</v>
      </c>
      <c r="AI1" s="849"/>
    </row>
    <row r="2" spans="1:38" ht="16.5" thickBot="1">
      <c r="A2" s="872">
        <v>43617</v>
      </c>
      <c r="B2" s="873"/>
      <c r="C2" s="873"/>
      <c r="D2" s="874"/>
      <c r="E2" s="612"/>
      <c r="F2" s="612"/>
      <c r="G2" s="444"/>
      <c r="H2" s="311"/>
      <c r="I2" s="311"/>
      <c r="J2" s="311"/>
      <c r="K2" s="879" t="s">
        <v>79</v>
      </c>
      <c r="L2" s="880"/>
      <c r="M2" s="880" t="s">
        <v>80</v>
      </c>
      <c r="N2" s="881"/>
      <c r="O2" s="842" t="s">
        <v>79</v>
      </c>
      <c r="P2" s="882"/>
      <c r="Q2" s="841" t="s">
        <v>80</v>
      </c>
      <c r="R2" s="882"/>
      <c r="S2" s="100"/>
      <c r="T2" s="100"/>
      <c r="U2" s="100"/>
      <c r="V2" s="100"/>
      <c r="W2" s="103"/>
      <c r="X2" s="103"/>
      <c r="Y2" s="104"/>
      <c r="Z2" s="256"/>
      <c r="AA2" s="153"/>
      <c r="AB2" s="765" t="s">
        <v>90</v>
      </c>
      <c r="AC2" s="105"/>
      <c r="AD2" s="106"/>
      <c r="AE2" s="107"/>
      <c r="AF2" s="883" t="s">
        <v>149</v>
      </c>
      <c r="AG2" s="884"/>
      <c r="AH2" s="105"/>
      <c r="AI2" s="107"/>
    </row>
    <row r="3" spans="1:38" s="7" customFormat="1" ht="13.5" thickBot="1">
      <c r="A3" s="885" t="s">
        <v>104</v>
      </c>
      <c r="B3" s="886"/>
      <c r="C3" s="770"/>
      <c r="D3" s="624" t="s">
        <v>2</v>
      </c>
      <c r="E3" s="624"/>
      <c r="F3" s="624"/>
      <c r="G3" s="448" t="s">
        <v>185</v>
      </c>
      <c r="H3" s="771" t="s">
        <v>20</v>
      </c>
      <c r="I3" s="772" t="s">
        <v>18</v>
      </c>
      <c r="J3" s="773" t="s">
        <v>28</v>
      </c>
      <c r="K3" s="389" t="s">
        <v>3</v>
      </c>
      <c r="L3" s="774" t="s">
        <v>4</v>
      </c>
      <c r="M3" s="775" t="s">
        <v>3</v>
      </c>
      <c r="N3" s="775" t="s">
        <v>4</v>
      </c>
      <c r="O3" s="887" t="s">
        <v>22</v>
      </c>
      <c r="P3" s="888"/>
      <c r="Q3" s="776"/>
      <c r="R3" s="777"/>
      <c r="S3" s="889" t="s">
        <v>17</v>
      </c>
      <c r="T3" s="890"/>
      <c r="U3" s="390" t="s">
        <v>51</v>
      </c>
      <c r="V3" s="778" t="s">
        <v>5</v>
      </c>
      <c r="W3" s="389" t="s">
        <v>16</v>
      </c>
      <c r="X3" s="777" t="s">
        <v>93</v>
      </c>
      <c r="Y3" s="391" t="s">
        <v>5</v>
      </c>
      <c r="Z3" s="779"/>
      <c r="AA3" s="526"/>
      <c r="AB3" s="779"/>
      <c r="AC3" s="271" t="s">
        <v>0</v>
      </c>
      <c r="AD3" s="527" t="s">
        <v>1</v>
      </c>
      <c r="AE3" s="391" t="s">
        <v>7</v>
      </c>
      <c r="AF3" s="525" t="s">
        <v>150</v>
      </c>
      <c r="AG3" s="526" t="s">
        <v>151</v>
      </c>
      <c r="AH3" s="389" t="s">
        <v>10</v>
      </c>
      <c r="AI3" s="391" t="s">
        <v>5</v>
      </c>
    </row>
    <row r="4" spans="1:38" ht="13.5" thickBot="1">
      <c r="A4" s="482" t="str">
        <f>IF(WEEKDAY(C4,2)=1,INT((C4-SUM(MOD(DATE(YEAR(C4-MOD(C4-2,7)+3),1,2),{1E+99;7})*{1;-1})+5)/7),"")</f>
        <v/>
      </c>
      <c r="B4" s="482" t="str">
        <f t="shared" ref="B4:B33" si="0">+IF(A4&lt;&gt;"",VLOOKUP(A4,$L$49:$M$101,2,FALSE),"")</f>
        <v/>
      </c>
      <c r="C4" s="492">
        <f>+A2</f>
        <v>43617</v>
      </c>
      <c r="D4" s="483"/>
      <c r="E4" s="766" t="str">
        <f t="shared" ref="E4:E34" si="1">+IF(AND(WEEKDAY(C4)=1,D4="M"),1,"")</f>
        <v/>
      </c>
      <c r="F4" s="766" t="str">
        <f t="shared" ref="F4:F33" si="2">+IF(AND(WEEKDAY(C4)=1,D4="N"),1,"")</f>
        <v/>
      </c>
      <c r="G4" s="446"/>
      <c r="H4" s="322" t="str">
        <f t="shared" ref="H4:H33" si="3">+IF(OR(D4="",D4="CP"),"",1)</f>
        <v/>
      </c>
      <c r="I4" s="322" t="str">
        <f t="shared" ref="I4:I34" si="4">+IF(D4="CP",1,"")</f>
        <v/>
      </c>
      <c r="J4" s="322"/>
      <c r="K4" s="167"/>
      <c r="L4" s="168"/>
      <c r="M4" s="168"/>
      <c r="N4" s="169"/>
      <c r="O4" s="170">
        <f t="shared" ref="O4:R4" si="5">+((K4-INT(K4))/60*100)+INT(K4)</f>
        <v>0</v>
      </c>
      <c r="P4" s="171">
        <f t="shared" si="5"/>
        <v>0</v>
      </c>
      <c r="Q4" s="171">
        <f t="shared" si="5"/>
        <v>0</v>
      </c>
      <c r="R4" s="171">
        <f t="shared" si="5"/>
        <v>0</v>
      </c>
      <c r="S4" s="171">
        <v>0.2</v>
      </c>
      <c r="T4" s="171">
        <f t="shared" ref="T4" si="6">+(S4/60*100)</f>
        <v>0.33333333333333337</v>
      </c>
      <c r="U4" s="172" t="str">
        <f t="shared" ref="U4:U33" si="7">+IF(D4="","",IF(D4="CP","",IF(D4="J2",((N4-M4)+(L4-K4)),IF(O4&lt;P4,P4-O4,P4+24-O4)-T4)))</f>
        <v/>
      </c>
      <c r="V4" s="767" t="e">
        <f t="shared" ref="V4:V33" si="8">IF(O4&lt;P4,IF(K4="","",IF(O4&gt;$D$66,24-O4,IF(O4&lt;$D$67,$D$67-O4,0)))+IF(P4&lt;$D$67,P4,IF(P4&gt;$D$66,P4-$D$66,0)),IF(K4="","",IF(O4&gt;$D$66,24-O4,IF(O4&lt;$D$67,$D$67-O4,3)))+IF(P4&lt;$D$67,P4,IF(P4&gt;$D$66,24-P4,P4)))</f>
        <v>#VALUE!</v>
      </c>
      <c r="W4" s="165" t="str">
        <f t="shared" ref="W4:W33" si="9">+IF(U4&gt;=6,U4,IF(D4="J2",((N4-M4)+(L4-K4)),IF(O4&lt;P4,P4-O4,P4+24-O4)))</f>
        <v/>
      </c>
      <c r="X4" s="211" t="str">
        <f>+IF(D4="cp",(I4*'Récapitulatif '!$AJ$3),"")</f>
        <v/>
      </c>
      <c r="Y4" s="254" t="str">
        <f t="shared" ref="Y4:Y33" si="10">+IF(OR(D4="CP",D4=""),"",(IF(V4&gt;6,V4-T4,V4)))</f>
        <v/>
      </c>
      <c r="Z4" s="212" t="str">
        <f t="shared" ref="Z4:Z33" si="11">+IF(D4="CP",1,"")</f>
        <v/>
      </c>
      <c r="AA4" s="213" t="str">
        <f t="shared" ref="AA4:AA33" si="12">+IF(AND(Y4&gt;=3,D4&lt;&gt;""),1,"")</f>
        <v/>
      </c>
      <c r="AB4" s="768" t="str">
        <f>+IF(WEEKDAY(C4)=1,SUM(W4:X4)+'MaiN-1'!$AB$35,"")</f>
        <v/>
      </c>
      <c r="AC4" s="319" t="str">
        <f t="shared" ref="AC4:AC33" si="13">+IF(AND(WEEKDAY(C4)=7,D4="N"),(24-O4),IF(WEEKDAY(C4)=7,W4,IF(AND(WEEKDAY(C4)=6,D4="N"),(L4-0.33),IF(WEEKDAY(C4)=7,W4,""))))</f>
        <v/>
      </c>
      <c r="AD4" s="320" t="str">
        <f t="shared" ref="AD4:AD33" si="14">+IF(AND(WEEKDAY(C4)=1,D4="N"),(24-O4),IF(WEEKDAY(C4)=1,W4,IF(AND(WEEKDAY(C4)=7,D4="N"),(L4-0.33),IF(WEEKDAY(C4)=1,W4,""))))</f>
        <v/>
      </c>
      <c r="AE4" s="769" t="str">
        <f t="shared" ref="AE4:AE33" si="15">+IF(AND($C$4:$C$33=($C$57-1),$D$4:$D$33="N"),(L4-T4),IF(AND($C$4:$C$33=($C$57),$D$4:$D$33="N"),(24-K4),IF(AND($C$4:$C$33=($C$58-1),$D$4:$D$33="N"),(L4-T4),IF(AND($C$4:$C$33=($C$58),$D$4:$D$33="N"),(24-K4),IF(OR($C$4:$C$33=($C$57),$C$4:$C$33=$C$58),$W4,"")))))</f>
        <v/>
      </c>
      <c r="AF4" s="319" t="str">
        <f>+IF(AND(WEEKDAY(C4)=7,$C$4:$C$24=$C$58),"",IF(AND($C$4:$C$33=$C$58,D4=""),'Récapitulatif '!$AJ$3,IF(AND(D4="N",AG4&lt;&gt;""),('Récapitulatif '!$AJ$3-AG4),"")))</f>
        <v/>
      </c>
      <c r="AG4" s="769" t="str">
        <f t="shared" ref="AG4:AG34" si="16">+IF(AND($C$4:$C$33=($C$57-1),$D$4:$D$33="N"),(L4-T4),IF(AND($C$4:$C$33=($C$57),$D$4:$D$33="N"),(24-K4),IF(AND($C$4:$C$33=($C$58-1),$D$4:$D$33="N"),(L4-T4),IF(AND($C$4:$C$33=($C$58),$D$4:$D$33="N"),(24-K4),IF(OR($C$4:$C$33=($C$57),$C$4:$C$33=$C$58),$W4,"")))))</f>
        <v/>
      </c>
      <c r="AH4" s="217" t="str">
        <f t="shared" ref="AH4:AH33" si="17">IF(K4="","",IF(D4="J2","",IF(AI4=1,"",IF(W4&gt;=6,1,""))))</f>
        <v/>
      </c>
      <c r="AI4" s="175" t="str">
        <f t="shared" ref="AI4:AI33" si="18">+IF(K4="","",IF(Y4&gt;=4,1,""))</f>
        <v/>
      </c>
      <c r="AJ4" s="10"/>
      <c r="AL4" s="92" t="s">
        <v>64</v>
      </c>
    </row>
    <row r="5" spans="1:38" ht="13.5" thickBot="1">
      <c r="A5" s="482" t="str">
        <f>IF(WEEKDAY(C5,2)=1,INT((C5-SUM(MOD(DATE(YEAR(C5-MOD(C5-2,7)+3),1,2),{1E+99;7})*{1;-1})+5)/7),"")</f>
        <v/>
      </c>
      <c r="B5" s="482" t="str">
        <f t="shared" si="0"/>
        <v/>
      </c>
      <c r="C5" s="487">
        <f>+C4+1</f>
        <v>43618</v>
      </c>
      <c r="D5" s="484"/>
      <c r="E5" s="613" t="str">
        <f t="shared" si="1"/>
        <v/>
      </c>
      <c r="F5" s="613" t="str">
        <f t="shared" si="2"/>
        <v/>
      </c>
      <c r="G5" s="445"/>
      <c r="H5" s="322" t="str">
        <f t="shared" si="3"/>
        <v/>
      </c>
      <c r="I5" s="322" t="str">
        <f t="shared" si="4"/>
        <v/>
      </c>
      <c r="J5" s="322"/>
      <c r="K5" s="167"/>
      <c r="L5" s="168"/>
      <c r="M5" s="11"/>
      <c r="N5" s="125"/>
      <c r="O5" s="124">
        <f t="shared" ref="O5:P33" si="19">+((K5-INT(K5))/60*100)+INT(K5)</f>
        <v>0</v>
      </c>
      <c r="P5" s="73">
        <f t="shared" si="19"/>
        <v>0</v>
      </c>
      <c r="Q5" s="73">
        <f t="shared" ref="Q5:Q33" si="20">+((M5-INT(M5))/60*100)+INT(M5)</f>
        <v>0</v>
      </c>
      <c r="R5" s="73">
        <f t="shared" ref="R5:R33" si="21">+((N5-INT(N5))/60*100)+INT(N5)</f>
        <v>0</v>
      </c>
      <c r="S5" s="73">
        <v>0.2</v>
      </c>
      <c r="T5" s="73">
        <f t="shared" ref="T5:T33" si="22">+(S5/60*100)</f>
        <v>0.33333333333333337</v>
      </c>
      <c r="U5" s="12" t="str">
        <f t="shared" si="7"/>
        <v/>
      </c>
      <c r="V5" s="146" t="e">
        <f t="shared" si="8"/>
        <v>#VALUE!</v>
      </c>
      <c r="W5" s="114" t="str">
        <f t="shared" si="9"/>
        <v/>
      </c>
      <c r="X5" s="144" t="str">
        <f>+IF(D5="cp",(I5*'Récapitulatif '!$AJ$3),"")</f>
        <v/>
      </c>
      <c r="Y5" s="251" t="str">
        <f t="shared" si="10"/>
        <v/>
      </c>
      <c r="Z5" s="145" t="str">
        <f t="shared" si="11"/>
        <v/>
      </c>
      <c r="AA5" s="166" t="str">
        <f t="shared" si="12"/>
        <v/>
      </c>
      <c r="AB5" s="768">
        <f>+IF(WEEKDAY(C5)=1,SUM(W5:X5)+'MaiN-1'!$AB$35,"")</f>
        <v>22.999999999999996</v>
      </c>
      <c r="AC5" s="316" t="str">
        <f t="shared" si="13"/>
        <v/>
      </c>
      <c r="AD5" s="315" t="str">
        <f t="shared" si="14"/>
        <v/>
      </c>
      <c r="AE5" s="543" t="str">
        <f t="shared" si="15"/>
        <v/>
      </c>
      <c r="AF5" s="316" t="str">
        <f>+IF(AND(WEEKDAY(C5)=7,$C$4:$C$24=$C$58),"",IF(AND($C$4:$C$33=$C$58,D5=""),'Récapitulatif '!$AJ$3,IF(AND(D5="N",AG5&lt;&gt;""),('Récapitulatif '!$AJ$3-AG5),"")))</f>
        <v/>
      </c>
      <c r="AG5" s="543" t="str">
        <f t="shared" si="16"/>
        <v/>
      </c>
      <c r="AH5" s="218" t="str">
        <f t="shared" si="17"/>
        <v/>
      </c>
      <c r="AI5" s="13" t="str">
        <f t="shared" si="18"/>
        <v/>
      </c>
      <c r="AJ5" s="10"/>
      <c r="AL5" s="92" t="s">
        <v>66</v>
      </c>
    </row>
    <row r="6" spans="1:38" ht="13.5" thickBot="1">
      <c r="A6" s="482">
        <f>IF(WEEKDAY(C6,2)=1,INT((C6-SUM(MOD(DATE(YEAR(C6-MOD(C6-2,7)+3),1,2),{1E+99;7})*{1;-1})+5)/7),"")</f>
        <v>23</v>
      </c>
      <c r="B6" s="482" t="str">
        <f t="shared" si="0"/>
        <v>Matin</v>
      </c>
      <c r="C6" s="487">
        <f t="shared" ref="C6:C31" si="23">+C5+1</f>
        <v>43619</v>
      </c>
      <c r="D6" s="575" t="s">
        <v>205</v>
      </c>
      <c r="E6" s="613" t="str">
        <f t="shared" si="1"/>
        <v/>
      </c>
      <c r="F6" s="613" t="str">
        <f t="shared" si="2"/>
        <v/>
      </c>
      <c r="G6" s="445" t="s">
        <v>184</v>
      </c>
      <c r="H6" s="322">
        <f t="shared" si="3"/>
        <v>1</v>
      </c>
      <c r="I6" s="322" t="str">
        <f t="shared" si="4"/>
        <v/>
      </c>
      <c r="J6" s="322"/>
      <c r="K6" s="167">
        <v>4.55</v>
      </c>
      <c r="L6" s="168">
        <v>13</v>
      </c>
      <c r="M6" s="11"/>
      <c r="N6" s="125"/>
      <c r="O6" s="124">
        <f t="shared" si="19"/>
        <v>4.9166666666666661</v>
      </c>
      <c r="P6" s="73">
        <f t="shared" si="19"/>
        <v>13</v>
      </c>
      <c r="Q6" s="73">
        <f t="shared" si="20"/>
        <v>0</v>
      </c>
      <c r="R6" s="73">
        <f t="shared" si="21"/>
        <v>0</v>
      </c>
      <c r="S6" s="73">
        <v>0.2</v>
      </c>
      <c r="T6" s="73">
        <f t="shared" si="22"/>
        <v>0.33333333333333337</v>
      </c>
      <c r="U6" s="12">
        <f t="shared" si="7"/>
        <v>7.7500000000000009</v>
      </c>
      <c r="V6" s="146">
        <f t="shared" si="8"/>
        <v>1.0833333333333339</v>
      </c>
      <c r="W6" s="114">
        <f t="shared" si="9"/>
        <v>7.7500000000000009</v>
      </c>
      <c r="X6" s="144" t="str">
        <f>+IF(D6="cp",(I6*'Récapitulatif '!$AJ$3),"")</f>
        <v/>
      </c>
      <c r="Y6" s="251">
        <f t="shared" si="10"/>
        <v>1.0833333333333339</v>
      </c>
      <c r="Z6" s="145" t="str">
        <f t="shared" si="11"/>
        <v/>
      </c>
      <c r="AA6" s="166" t="str">
        <f t="shared" si="12"/>
        <v/>
      </c>
      <c r="AB6" s="768" t="str">
        <f>+IF(WEEKDAY(C6)=1,SUM(W6:X6)+'MaiN-1'!$AB$35,"")</f>
        <v/>
      </c>
      <c r="AC6" s="316" t="str">
        <f t="shared" si="13"/>
        <v/>
      </c>
      <c r="AD6" s="315" t="str">
        <f t="shared" si="14"/>
        <v/>
      </c>
      <c r="AE6" s="543" t="str">
        <f t="shared" si="15"/>
        <v/>
      </c>
      <c r="AF6" s="316" t="str">
        <f>+IF(AND(WEEKDAY(C6)=7,$C$4:$C$24=$C$58),"",IF(AND($C$4:$C$33=$C$58,D6=""),'Récapitulatif '!$AJ$3,IF(AND(D6="N",AG6&lt;&gt;""),('Récapitulatif '!$AJ$3-AG6),"")))</f>
        <v/>
      </c>
      <c r="AG6" s="543" t="str">
        <f t="shared" si="16"/>
        <v/>
      </c>
      <c r="AH6" s="218">
        <f t="shared" si="17"/>
        <v>1</v>
      </c>
      <c r="AI6" s="13" t="str">
        <f t="shared" si="18"/>
        <v/>
      </c>
      <c r="AJ6" s="10"/>
      <c r="AL6" s="1" t="s">
        <v>82</v>
      </c>
    </row>
    <row r="7" spans="1:38" ht="13.5" thickBot="1">
      <c r="A7" s="482" t="str">
        <f>IF(WEEKDAY(C7,2)=1,INT((C7-SUM(MOD(DATE(YEAR(C7-MOD(C7-2,7)+3),1,2),{1E+99;7})*{1;-1})+5)/7),"")</f>
        <v/>
      </c>
      <c r="B7" s="482" t="str">
        <f t="shared" si="0"/>
        <v/>
      </c>
      <c r="C7" s="487">
        <f t="shared" si="23"/>
        <v>43620</v>
      </c>
      <c r="D7" s="575" t="s">
        <v>205</v>
      </c>
      <c r="E7" s="613" t="str">
        <f t="shared" si="1"/>
        <v/>
      </c>
      <c r="F7" s="613" t="str">
        <f t="shared" si="2"/>
        <v/>
      </c>
      <c r="G7" s="445" t="s">
        <v>184</v>
      </c>
      <c r="H7" s="299">
        <f t="shared" si="3"/>
        <v>1</v>
      </c>
      <c r="I7" s="299" t="str">
        <f t="shared" si="4"/>
        <v/>
      </c>
      <c r="J7" s="299"/>
      <c r="K7" s="167">
        <v>4.55</v>
      </c>
      <c r="L7" s="168">
        <v>13</v>
      </c>
      <c r="M7" s="11"/>
      <c r="N7" s="125"/>
      <c r="O7" s="124">
        <f t="shared" si="19"/>
        <v>4.9166666666666661</v>
      </c>
      <c r="P7" s="73">
        <f t="shared" si="19"/>
        <v>13</v>
      </c>
      <c r="Q7" s="73">
        <f t="shared" si="20"/>
        <v>0</v>
      </c>
      <c r="R7" s="73">
        <f t="shared" si="21"/>
        <v>0</v>
      </c>
      <c r="S7" s="73">
        <v>0.2</v>
      </c>
      <c r="T7" s="73">
        <f t="shared" si="22"/>
        <v>0.33333333333333337</v>
      </c>
      <c r="U7" s="12">
        <f t="shared" si="7"/>
        <v>7.7500000000000009</v>
      </c>
      <c r="V7" s="146">
        <f t="shared" si="8"/>
        <v>1.0833333333333339</v>
      </c>
      <c r="W7" s="114">
        <f t="shared" si="9"/>
        <v>7.7500000000000009</v>
      </c>
      <c r="X7" s="144" t="str">
        <f>+IF(D7="cp",(I7*'Récapitulatif '!$AJ$3),"")</f>
        <v/>
      </c>
      <c r="Y7" s="251">
        <f t="shared" si="10"/>
        <v>1.0833333333333339</v>
      </c>
      <c r="Z7" s="145" t="str">
        <f t="shared" si="11"/>
        <v/>
      </c>
      <c r="AA7" s="166" t="str">
        <f t="shared" si="12"/>
        <v/>
      </c>
      <c r="AB7" s="768" t="str">
        <f>+IF(WEEKDAY(C7)=1,SUM(W7:X7)+'MaiN-1'!$AB$35,"")</f>
        <v/>
      </c>
      <c r="AC7" s="316" t="str">
        <f t="shared" si="13"/>
        <v/>
      </c>
      <c r="AD7" s="315" t="str">
        <f t="shared" si="14"/>
        <v/>
      </c>
      <c r="AE7" s="543" t="str">
        <f t="shared" si="15"/>
        <v/>
      </c>
      <c r="AF7" s="316" t="str">
        <f>+IF(AND(WEEKDAY(C7)=7,$C$4:$C$24=$C$58),"",IF(AND($C$4:$C$33=$C$58,D7=""),'Récapitulatif '!$AJ$3,IF(AND(D7="N",AG7&lt;&gt;""),('Récapitulatif '!$AJ$3-AG7),"")))</f>
        <v/>
      </c>
      <c r="AG7" s="543" t="str">
        <f t="shared" si="16"/>
        <v/>
      </c>
      <c r="AH7" s="218">
        <f t="shared" si="17"/>
        <v>1</v>
      </c>
      <c r="AI7" s="13" t="str">
        <f t="shared" si="18"/>
        <v/>
      </c>
      <c r="AJ7" s="10"/>
      <c r="AL7" s="1" t="s">
        <v>83</v>
      </c>
    </row>
    <row r="8" spans="1:38" ht="13.5" thickBot="1">
      <c r="A8" s="482" t="str">
        <f>IF(WEEKDAY(C8,2)=1,INT((C8-SUM(MOD(DATE(YEAR(C8-MOD(C8-2,7)+3),1,2),{1E+99;7})*{1;-1})+5)/7),"")</f>
        <v/>
      </c>
      <c r="B8" s="482" t="str">
        <f t="shared" si="0"/>
        <v/>
      </c>
      <c r="C8" s="487">
        <f t="shared" si="23"/>
        <v>43621</v>
      </c>
      <c r="D8" s="575" t="s">
        <v>205</v>
      </c>
      <c r="E8" s="613" t="str">
        <f t="shared" si="1"/>
        <v/>
      </c>
      <c r="F8" s="613" t="str">
        <f t="shared" si="2"/>
        <v/>
      </c>
      <c r="G8" s="445" t="s">
        <v>184</v>
      </c>
      <c r="H8" s="299">
        <f t="shared" si="3"/>
        <v>1</v>
      </c>
      <c r="I8" s="299" t="str">
        <f t="shared" si="4"/>
        <v/>
      </c>
      <c r="J8" s="299"/>
      <c r="K8" s="167">
        <v>4.55</v>
      </c>
      <c r="L8" s="168">
        <v>13.05</v>
      </c>
      <c r="M8" s="11"/>
      <c r="N8" s="125"/>
      <c r="O8" s="124">
        <f t="shared" si="19"/>
        <v>4.9166666666666661</v>
      </c>
      <c r="P8" s="73">
        <f t="shared" si="19"/>
        <v>13.083333333333334</v>
      </c>
      <c r="Q8" s="73">
        <f t="shared" si="20"/>
        <v>0</v>
      </c>
      <c r="R8" s="73">
        <f t="shared" si="21"/>
        <v>0</v>
      </c>
      <c r="S8" s="73">
        <v>0.2</v>
      </c>
      <c r="T8" s="73">
        <f t="shared" si="22"/>
        <v>0.33333333333333337</v>
      </c>
      <c r="U8" s="12">
        <f t="shared" si="7"/>
        <v>7.8333333333333348</v>
      </c>
      <c r="V8" s="146">
        <f t="shared" si="8"/>
        <v>1.0833333333333339</v>
      </c>
      <c r="W8" s="114">
        <f t="shared" si="9"/>
        <v>7.8333333333333348</v>
      </c>
      <c r="X8" s="144" t="str">
        <f>+IF(D8="cp",(I8*'Récapitulatif '!$AJ$3),"")</f>
        <v/>
      </c>
      <c r="Y8" s="251">
        <f t="shared" si="10"/>
        <v>1.0833333333333339</v>
      </c>
      <c r="Z8" s="145" t="str">
        <f t="shared" si="11"/>
        <v/>
      </c>
      <c r="AA8" s="166" t="str">
        <f t="shared" si="12"/>
        <v/>
      </c>
      <c r="AB8" s="768" t="str">
        <f>+IF(WEEKDAY(C8)=1,SUM(W8:X8)+'MaiN-1'!$AB$35,"")</f>
        <v/>
      </c>
      <c r="AC8" s="316" t="str">
        <f t="shared" si="13"/>
        <v/>
      </c>
      <c r="AD8" s="315" t="str">
        <f t="shared" si="14"/>
        <v/>
      </c>
      <c r="AE8" s="543" t="str">
        <f t="shared" si="15"/>
        <v/>
      </c>
      <c r="AF8" s="316" t="str">
        <f>+IF(AND(WEEKDAY(C8)=7,$C$4:$C$24=$C$58),"",IF(AND($C$4:$C$33=$C$58,D8=""),'Récapitulatif '!$AJ$3,IF(AND(D8="N",AG8&lt;&gt;""),('Récapitulatif '!$AJ$3-AG8),"")))</f>
        <v/>
      </c>
      <c r="AG8" s="543" t="str">
        <f t="shared" si="16"/>
        <v/>
      </c>
      <c r="AH8" s="218">
        <f t="shared" si="17"/>
        <v>1</v>
      </c>
      <c r="AI8" s="13" t="str">
        <f t="shared" si="18"/>
        <v/>
      </c>
      <c r="AJ8" s="10"/>
      <c r="AL8" s="92" t="s">
        <v>75</v>
      </c>
    </row>
    <row r="9" spans="1:38" ht="13.5" thickBot="1">
      <c r="A9" s="482" t="str">
        <f>IF(WEEKDAY(C9,2)=1,INT((C9-SUM(MOD(DATE(YEAR(C9-MOD(C9-2,7)+3),1,2),{1E+99;7})*{1;-1})+5)/7),"")</f>
        <v/>
      </c>
      <c r="B9" s="482" t="str">
        <f t="shared" si="0"/>
        <v/>
      </c>
      <c r="C9" s="487">
        <f t="shared" si="23"/>
        <v>43622</v>
      </c>
      <c r="D9" s="575" t="s">
        <v>205</v>
      </c>
      <c r="E9" s="613" t="str">
        <f t="shared" si="1"/>
        <v/>
      </c>
      <c r="F9" s="613" t="str">
        <f t="shared" si="2"/>
        <v/>
      </c>
      <c r="G9" s="445" t="s">
        <v>184</v>
      </c>
      <c r="H9" s="299">
        <f t="shared" si="3"/>
        <v>1</v>
      </c>
      <c r="I9" s="299" t="str">
        <f t="shared" si="4"/>
        <v/>
      </c>
      <c r="J9" s="299"/>
      <c r="K9" s="167">
        <v>4.55</v>
      </c>
      <c r="L9" s="168">
        <v>13</v>
      </c>
      <c r="M9" s="11"/>
      <c r="N9" s="125"/>
      <c r="O9" s="124">
        <f t="shared" si="19"/>
        <v>4.9166666666666661</v>
      </c>
      <c r="P9" s="73">
        <f t="shared" si="19"/>
        <v>13</v>
      </c>
      <c r="Q9" s="73">
        <f t="shared" si="20"/>
        <v>0</v>
      </c>
      <c r="R9" s="73">
        <f t="shared" si="21"/>
        <v>0</v>
      </c>
      <c r="S9" s="73">
        <v>0.2</v>
      </c>
      <c r="T9" s="73">
        <f t="shared" si="22"/>
        <v>0.33333333333333337</v>
      </c>
      <c r="U9" s="12">
        <f t="shared" si="7"/>
        <v>7.7500000000000009</v>
      </c>
      <c r="V9" s="146">
        <f t="shared" si="8"/>
        <v>1.0833333333333339</v>
      </c>
      <c r="W9" s="114">
        <f t="shared" si="9"/>
        <v>7.7500000000000009</v>
      </c>
      <c r="X9" s="144" t="str">
        <f>+IF(D9="cp",(I9*'Récapitulatif '!$AJ$3),"")</f>
        <v/>
      </c>
      <c r="Y9" s="251">
        <f t="shared" si="10"/>
        <v>1.0833333333333339</v>
      </c>
      <c r="Z9" s="145" t="str">
        <f t="shared" si="11"/>
        <v/>
      </c>
      <c r="AA9" s="166" t="str">
        <f t="shared" si="12"/>
        <v/>
      </c>
      <c r="AB9" s="768" t="str">
        <f>+IF(WEEKDAY(C9)=1,SUM(W9:X9)+'MaiN-1'!$AB$35,"")</f>
        <v/>
      </c>
      <c r="AC9" s="316" t="str">
        <f t="shared" si="13"/>
        <v/>
      </c>
      <c r="AD9" s="315" t="str">
        <f t="shared" si="14"/>
        <v/>
      </c>
      <c r="AE9" s="543" t="str">
        <f t="shared" si="15"/>
        <v/>
      </c>
      <c r="AF9" s="316" t="str">
        <f>+IF(AND(WEEKDAY(C9)=7,$C$4:$C$33=$C$57),"",IF(AND(WEEKDAY(C9)=1,$C$4:$C$33=$C$57),"",IF($C$4:$C$33=$C$57,'Récapitulatif '!$AJ$3,"")))</f>
        <v/>
      </c>
      <c r="AG9" s="543" t="str">
        <f t="shared" si="16"/>
        <v/>
      </c>
      <c r="AH9" s="218">
        <f t="shared" si="17"/>
        <v>1</v>
      </c>
      <c r="AI9" s="13" t="str">
        <f t="shared" si="18"/>
        <v/>
      </c>
      <c r="AL9" s="1" t="s">
        <v>59</v>
      </c>
    </row>
    <row r="10" spans="1:38" ht="13.5" thickBot="1">
      <c r="A10" s="482" t="str">
        <f>IF(WEEKDAY(C10,2)=1,INT((C10-SUM(MOD(DATE(YEAR(C10-MOD(C10-2,7)+3),1,2),{1E+99;7})*{1;-1})+5)/7),"")</f>
        <v/>
      </c>
      <c r="B10" s="482" t="str">
        <f t="shared" si="0"/>
        <v/>
      </c>
      <c r="C10" s="487">
        <f t="shared" si="23"/>
        <v>43623</v>
      </c>
      <c r="D10" s="575"/>
      <c r="E10" s="613" t="str">
        <f t="shared" si="1"/>
        <v/>
      </c>
      <c r="F10" s="613" t="str">
        <f t="shared" si="2"/>
        <v/>
      </c>
      <c r="G10" s="445"/>
      <c r="H10" s="299" t="str">
        <f t="shared" si="3"/>
        <v/>
      </c>
      <c r="I10" s="299" t="str">
        <f t="shared" si="4"/>
        <v/>
      </c>
      <c r="J10" s="299"/>
      <c r="K10" s="167"/>
      <c r="L10" s="168"/>
      <c r="M10" s="11"/>
      <c r="N10" s="125"/>
      <c r="O10" s="124">
        <f t="shared" si="19"/>
        <v>0</v>
      </c>
      <c r="P10" s="73">
        <f t="shared" si="19"/>
        <v>0</v>
      </c>
      <c r="Q10" s="73">
        <f t="shared" si="20"/>
        <v>0</v>
      </c>
      <c r="R10" s="73">
        <f t="shared" si="21"/>
        <v>0</v>
      </c>
      <c r="S10" s="73">
        <v>0.2</v>
      </c>
      <c r="T10" s="73">
        <f t="shared" si="22"/>
        <v>0.33333333333333337</v>
      </c>
      <c r="U10" s="12" t="str">
        <f t="shared" si="7"/>
        <v/>
      </c>
      <c r="V10" s="146" t="e">
        <f t="shared" si="8"/>
        <v>#VALUE!</v>
      </c>
      <c r="W10" s="114" t="str">
        <f t="shared" si="9"/>
        <v/>
      </c>
      <c r="X10" s="144" t="str">
        <f>+IF(D10="cp",(I10*'Récapitulatif '!$AJ$3),"")</f>
        <v/>
      </c>
      <c r="Y10" s="251" t="str">
        <f t="shared" si="10"/>
        <v/>
      </c>
      <c r="Z10" s="145" t="str">
        <f t="shared" si="11"/>
        <v/>
      </c>
      <c r="AA10" s="166" t="str">
        <f t="shared" si="12"/>
        <v/>
      </c>
      <c r="AB10" s="768" t="str">
        <f>+IF(WEEKDAY(C10)=1,SUM(W10:X10),"")</f>
        <v/>
      </c>
      <c r="AC10" s="316" t="str">
        <f t="shared" si="13"/>
        <v/>
      </c>
      <c r="AD10" s="315" t="str">
        <f t="shared" si="14"/>
        <v/>
      </c>
      <c r="AE10" s="543" t="str">
        <f t="shared" si="15"/>
        <v/>
      </c>
      <c r="AF10" s="316" t="str">
        <f>+IF(AND(WEEKDAY(C10)=7,$C$4:$C$33=$C$57),"",IF(AND(WEEKDAY(C10)=1,$C$4:$C$33=$C$57),"",IF($C$4:$C$33=$C$57,'Récapitulatif '!$AJ$3,"")))</f>
        <v/>
      </c>
      <c r="AG10" s="543" t="str">
        <f t="shared" si="16"/>
        <v/>
      </c>
      <c r="AH10" s="218" t="str">
        <f t="shared" si="17"/>
        <v/>
      </c>
      <c r="AI10" s="13" t="str">
        <f t="shared" si="18"/>
        <v/>
      </c>
      <c r="AJ10" s="10"/>
      <c r="AL10" s="92" t="s">
        <v>157</v>
      </c>
    </row>
    <row r="11" spans="1:38" ht="13.5" thickBot="1">
      <c r="A11" s="482" t="str">
        <f>IF(WEEKDAY(C11,2)=1,INT((C11-SUM(MOD(DATE(YEAR(C11-MOD(C11-2,7)+3),1,2),{1E+99;7})*{1;-1})+5)/7),"")</f>
        <v/>
      </c>
      <c r="B11" s="482" t="str">
        <f t="shared" si="0"/>
        <v/>
      </c>
      <c r="C11" s="487">
        <f t="shared" si="23"/>
        <v>43624</v>
      </c>
      <c r="D11" s="575"/>
      <c r="E11" s="613" t="str">
        <f t="shared" si="1"/>
        <v/>
      </c>
      <c r="F11" s="613" t="str">
        <f t="shared" si="2"/>
        <v/>
      </c>
      <c r="G11" s="445"/>
      <c r="H11" s="299" t="str">
        <f t="shared" si="3"/>
        <v/>
      </c>
      <c r="I11" s="299" t="str">
        <f t="shared" si="4"/>
        <v/>
      </c>
      <c r="J11" s="299"/>
      <c r="K11" s="167"/>
      <c r="L11" s="168"/>
      <c r="M11" s="11"/>
      <c r="N11" s="125"/>
      <c r="O11" s="124">
        <f t="shared" si="19"/>
        <v>0</v>
      </c>
      <c r="P11" s="73">
        <f t="shared" si="19"/>
        <v>0</v>
      </c>
      <c r="Q11" s="73">
        <f t="shared" si="20"/>
        <v>0</v>
      </c>
      <c r="R11" s="73">
        <f t="shared" si="21"/>
        <v>0</v>
      </c>
      <c r="S11" s="73">
        <v>0.2</v>
      </c>
      <c r="T11" s="73">
        <f t="shared" si="22"/>
        <v>0.33333333333333337</v>
      </c>
      <c r="U11" s="12" t="str">
        <f t="shared" si="7"/>
        <v/>
      </c>
      <c r="V11" s="146" t="e">
        <f t="shared" si="8"/>
        <v>#VALUE!</v>
      </c>
      <c r="W11" s="114" t="str">
        <f t="shared" si="9"/>
        <v/>
      </c>
      <c r="X11" s="144" t="str">
        <f>+IF(D11="cp",(I11*'Récapitulatif '!$AJ$3),"")</f>
        <v/>
      </c>
      <c r="Y11" s="251" t="str">
        <f t="shared" si="10"/>
        <v/>
      </c>
      <c r="Z11" s="145" t="str">
        <f t="shared" si="11"/>
        <v/>
      </c>
      <c r="AA11" s="166" t="str">
        <f t="shared" si="12"/>
        <v/>
      </c>
      <c r="AB11" s="258" t="str">
        <f t="shared" ref="AB11:AB33" si="24">+IF(WEEKDAY(C11)=1,SUM(W5:X11),"")</f>
        <v/>
      </c>
      <c r="AC11" s="316" t="str">
        <f t="shared" si="13"/>
        <v/>
      </c>
      <c r="AD11" s="315" t="str">
        <f t="shared" si="14"/>
        <v/>
      </c>
      <c r="AE11" s="543" t="str">
        <f t="shared" si="15"/>
        <v/>
      </c>
      <c r="AF11" s="316" t="str">
        <f>+IF(AND(WEEKDAY(C11)=7,$C$4:$C$33=$C$57),"",IF(AND(WEEKDAY(C11)=1,$C$4:$C$33=$C$57),"",IF($C$4:$C$33=$C$57,'Récapitulatif '!$AJ$3,"")))</f>
        <v/>
      </c>
      <c r="AG11" s="543" t="str">
        <f t="shared" si="16"/>
        <v/>
      </c>
      <c r="AH11" s="218" t="str">
        <f t="shared" si="17"/>
        <v/>
      </c>
      <c r="AI11" s="13" t="str">
        <f t="shared" si="18"/>
        <v/>
      </c>
      <c r="AJ11" s="10"/>
      <c r="AL11" s="1" t="s">
        <v>60</v>
      </c>
    </row>
    <row r="12" spans="1:38" ht="13.5" thickBot="1">
      <c r="A12" s="482" t="str">
        <f>IF(WEEKDAY(C12,2)=1,INT((C12-SUM(MOD(DATE(YEAR(C12-MOD(C12-2,7)+3),1,2),{1E+99;7})*{1;-1})+5)/7),"")</f>
        <v/>
      </c>
      <c r="B12" s="482" t="str">
        <f t="shared" si="0"/>
        <v/>
      </c>
      <c r="C12" s="487">
        <f t="shared" si="23"/>
        <v>43625</v>
      </c>
      <c r="D12" s="575" t="s">
        <v>205</v>
      </c>
      <c r="E12" s="613">
        <f t="shared" si="1"/>
        <v>1</v>
      </c>
      <c r="F12" s="613" t="str">
        <f t="shared" si="2"/>
        <v/>
      </c>
      <c r="G12" s="445" t="s">
        <v>184</v>
      </c>
      <c r="H12" s="299">
        <f t="shared" si="3"/>
        <v>1</v>
      </c>
      <c r="I12" s="299" t="str">
        <f t="shared" si="4"/>
        <v/>
      </c>
      <c r="J12" s="299"/>
      <c r="K12" s="167">
        <v>5</v>
      </c>
      <c r="L12" s="168">
        <v>12.1</v>
      </c>
      <c r="M12" s="11"/>
      <c r="N12" s="125"/>
      <c r="O12" s="124">
        <f t="shared" si="19"/>
        <v>5</v>
      </c>
      <c r="P12" s="73">
        <f t="shared" si="19"/>
        <v>12.166666666666666</v>
      </c>
      <c r="Q12" s="73">
        <f t="shared" si="20"/>
        <v>0</v>
      </c>
      <c r="R12" s="73">
        <f t="shared" si="21"/>
        <v>0</v>
      </c>
      <c r="S12" s="73">
        <v>0.2</v>
      </c>
      <c r="T12" s="73">
        <f t="shared" si="22"/>
        <v>0.33333333333333337</v>
      </c>
      <c r="U12" s="12">
        <f t="shared" si="7"/>
        <v>6.833333333333333</v>
      </c>
      <c r="V12" s="146">
        <f t="shared" si="8"/>
        <v>1</v>
      </c>
      <c r="W12" s="114">
        <f t="shared" si="9"/>
        <v>6.833333333333333</v>
      </c>
      <c r="X12" s="144" t="str">
        <f>+IF(D12="cp",(I12*'Récapitulatif '!$AJ$3),"")</f>
        <v/>
      </c>
      <c r="Y12" s="251">
        <f t="shared" si="10"/>
        <v>1</v>
      </c>
      <c r="Z12" s="145" t="str">
        <f t="shared" si="11"/>
        <v/>
      </c>
      <c r="AA12" s="166" t="str">
        <f t="shared" si="12"/>
        <v/>
      </c>
      <c r="AB12" s="258">
        <f t="shared" si="24"/>
        <v>37.916666666666671</v>
      </c>
      <c r="AC12" s="316" t="str">
        <f t="shared" si="13"/>
        <v/>
      </c>
      <c r="AD12" s="315">
        <f t="shared" si="14"/>
        <v>6.833333333333333</v>
      </c>
      <c r="AE12" s="543" t="str">
        <f t="shared" si="15"/>
        <v/>
      </c>
      <c r="AF12" s="316" t="str">
        <f>+IF(AND(WEEKDAY(C12)=7,$C$4:$C$33=$C$57),"",IF(AND(WEEKDAY(C12)=1,$C$4:$C$33=$C$57),"",IF($C$4:$C$33=$C$57,'Récapitulatif '!$AJ$3,"")))</f>
        <v/>
      </c>
      <c r="AG12" s="543" t="str">
        <f t="shared" si="16"/>
        <v/>
      </c>
      <c r="AH12" s="218">
        <f t="shared" si="17"/>
        <v>1</v>
      </c>
      <c r="AI12" s="13" t="str">
        <f t="shared" si="18"/>
        <v/>
      </c>
      <c r="AL12" s="92" t="s">
        <v>68</v>
      </c>
    </row>
    <row r="13" spans="1:38" ht="13.5" thickBot="1">
      <c r="A13" s="482">
        <f>IF(WEEKDAY(C13,2)=1,INT((C13-SUM(MOD(DATE(YEAR(C13-MOD(C13-2,7)+3),1,2),{1E+99;7})*{1;-1})+5)/7),"")</f>
        <v>24</v>
      </c>
      <c r="B13" s="482" t="str">
        <f t="shared" si="0"/>
        <v>Mystère</v>
      </c>
      <c r="C13" s="487">
        <f t="shared" si="23"/>
        <v>43626</v>
      </c>
      <c r="D13" s="575" t="s">
        <v>205</v>
      </c>
      <c r="E13" s="613" t="str">
        <f t="shared" si="1"/>
        <v/>
      </c>
      <c r="F13" s="613" t="str">
        <f t="shared" si="2"/>
        <v/>
      </c>
      <c r="G13" s="445" t="s">
        <v>184</v>
      </c>
      <c r="H13" s="299">
        <f t="shared" si="3"/>
        <v>1</v>
      </c>
      <c r="I13" s="299" t="str">
        <f t="shared" si="4"/>
        <v/>
      </c>
      <c r="J13" s="299"/>
      <c r="K13" s="167">
        <v>5</v>
      </c>
      <c r="L13" s="168">
        <v>13</v>
      </c>
      <c r="M13" s="11"/>
      <c r="N13" s="125"/>
      <c r="O13" s="124">
        <f t="shared" si="19"/>
        <v>5</v>
      </c>
      <c r="P13" s="73">
        <f t="shared" si="19"/>
        <v>13</v>
      </c>
      <c r="Q13" s="73">
        <f t="shared" si="20"/>
        <v>0</v>
      </c>
      <c r="R13" s="73">
        <f t="shared" si="21"/>
        <v>0</v>
      </c>
      <c r="S13" s="73">
        <v>0.2</v>
      </c>
      <c r="T13" s="73">
        <f t="shared" si="22"/>
        <v>0.33333333333333337</v>
      </c>
      <c r="U13" s="12">
        <f t="shared" si="7"/>
        <v>7.666666666666667</v>
      </c>
      <c r="V13" s="146">
        <f t="shared" si="8"/>
        <v>1</v>
      </c>
      <c r="W13" s="114">
        <f t="shared" si="9"/>
        <v>7.666666666666667</v>
      </c>
      <c r="X13" s="144" t="str">
        <f>+IF(D13="cp",(I13*'Récapitulatif '!$AJ$3),"")</f>
        <v/>
      </c>
      <c r="Y13" s="251">
        <f t="shared" si="10"/>
        <v>1</v>
      </c>
      <c r="Z13" s="145" t="str">
        <f t="shared" si="11"/>
        <v/>
      </c>
      <c r="AA13" s="166" t="str">
        <f t="shared" si="12"/>
        <v/>
      </c>
      <c r="AB13" s="258" t="str">
        <f t="shared" si="24"/>
        <v/>
      </c>
      <c r="AC13" s="316" t="str">
        <f t="shared" si="13"/>
        <v/>
      </c>
      <c r="AD13" s="315" t="str">
        <f t="shared" si="14"/>
        <v/>
      </c>
      <c r="AE13" s="543">
        <f t="shared" si="15"/>
        <v>7.666666666666667</v>
      </c>
      <c r="AF13" s="316" t="str">
        <f>+IF(AND(WEEKDAY(C13)=7,$C$4:$C$33=$C$57),"",IF(AND(WEEKDAY(C13)=1,$C$4:$C$33=$C$57),"",IF($C$4:$C$33=$C$57,'Récapitulatif '!$AJ$3,"")))</f>
        <v/>
      </c>
      <c r="AG13" s="543">
        <f t="shared" si="16"/>
        <v>7.666666666666667</v>
      </c>
      <c r="AH13" s="218">
        <f t="shared" si="17"/>
        <v>1</v>
      </c>
      <c r="AI13" s="13" t="str">
        <f t="shared" si="18"/>
        <v/>
      </c>
      <c r="AL13" s="91" t="s">
        <v>61</v>
      </c>
    </row>
    <row r="14" spans="1:38" ht="13.5" thickBot="1">
      <c r="A14" s="482" t="str">
        <f>IF(WEEKDAY(C14,2)=1,INT((C14-SUM(MOD(DATE(YEAR(C14-MOD(C14-2,7)+3),1,2),{1E+99;7})*{1;-1})+5)/7),"")</f>
        <v/>
      </c>
      <c r="B14" s="482" t="str">
        <f t="shared" si="0"/>
        <v/>
      </c>
      <c r="C14" s="487">
        <f t="shared" si="23"/>
        <v>43627</v>
      </c>
      <c r="D14" s="575" t="s">
        <v>202</v>
      </c>
      <c r="E14" s="613" t="str">
        <f t="shared" si="1"/>
        <v/>
      </c>
      <c r="F14" s="613" t="str">
        <f t="shared" si="2"/>
        <v/>
      </c>
      <c r="G14" s="445" t="s">
        <v>184</v>
      </c>
      <c r="H14" s="299">
        <f t="shared" si="3"/>
        <v>1</v>
      </c>
      <c r="I14" s="299" t="str">
        <f t="shared" si="4"/>
        <v/>
      </c>
      <c r="J14" s="299"/>
      <c r="K14" s="167">
        <v>12</v>
      </c>
      <c r="L14" s="168">
        <v>21</v>
      </c>
      <c r="M14" s="11"/>
      <c r="N14" s="125"/>
      <c r="O14" s="124">
        <f t="shared" si="19"/>
        <v>12</v>
      </c>
      <c r="P14" s="73">
        <f t="shared" si="19"/>
        <v>21</v>
      </c>
      <c r="Q14" s="73">
        <f t="shared" si="20"/>
        <v>0</v>
      </c>
      <c r="R14" s="73">
        <f t="shared" si="21"/>
        <v>0</v>
      </c>
      <c r="S14" s="73">
        <v>0.2</v>
      </c>
      <c r="T14" s="73">
        <f t="shared" si="22"/>
        <v>0.33333333333333337</v>
      </c>
      <c r="U14" s="12">
        <f t="shared" si="7"/>
        <v>8.6666666666666661</v>
      </c>
      <c r="V14" s="146">
        <f t="shared" si="8"/>
        <v>0</v>
      </c>
      <c r="W14" s="114">
        <f t="shared" si="9"/>
        <v>8.6666666666666661</v>
      </c>
      <c r="X14" s="144" t="str">
        <f>+IF(D14="cp",(I14*'Récapitulatif '!$AJ$3),"")</f>
        <v/>
      </c>
      <c r="Y14" s="251">
        <f t="shared" si="10"/>
        <v>0</v>
      </c>
      <c r="Z14" s="145" t="str">
        <f t="shared" si="11"/>
        <v/>
      </c>
      <c r="AA14" s="166" t="str">
        <f t="shared" si="12"/>
        <v/>
      </c>
      <c r="AB14" s="258" t="str">
        <f t="shared" si="24"/>
        <v/>
      </c>
      <c r="AC14" s="316" t="str">
        <f t="shared" si="13"/>
        <v/>
      </c>
      <c r="AD14" s="315" t="str">
        <f t="shared" si="14"/>
        <v/>
      </c>
      <c r="AE14" s="543" t="str">
        <f t="shared" si="15"/>
        <v/>
      </c>
      <c r="AF14" s="316" t="str">
        <f>+IF(AND(WEEKDAY(C14)=7,$C$4:$C$33=$C$57),"",IF(AND(WEEKDAY(C14)=1,$C$4:$C$33=$C$57),"",IF($C$4:$C$33=$C$57,'Récapitulatif '!$AJ$3,"")))</f>
        <v/>
      </c>
      <c r="AG14" s="543" t="str">
        <f t="shared" si="16"/>
        <v/>
      </c>
      <c r="AH14" s="218">
        <f t="shared" si="17"/>
        <v>1</v>
      </c>
      <c r="AI14" s="13" t="str">
        <f t="shared" si="18"/>
        <v/>
      </c>
      <c r="AL14" s="1" t="s">
        <v>62</v>
      </c>
    </row>
    <row r="15" spans="1:38" ht="13.5" thickBot="1">
      <c r="A15" s="482" t="str">
        <f>IF(WEEKDAY(C15,2)=1,INT((C15-SUM(MOD(DATE(YEAR(C15-MOD(C15-2,7)+3),1,2),{1E+99;7})*{1;-1})+5)/7),"")</f>
        <v/>
      </c>
      <c r="B15" s="482" t="str">
        <f t="shared" si="0"/>
        <v/>
      </c>
      <c r="C15" s="487">
        <f t="shared" si="23"/>
        <v>43628</v>
      </c>
      <c r="D15" s="575" t="s">
        <v>202</v>
      </c>
      <c r="E15" s="613" t="str">
        <f t="shared" si="1"/>
        <v/>
      </c>
      <c r="F15" s="613" t="str">
        <f t="shared" si="2"/>
        <v/>
      </c>
      <c r="G15" s="445" t="s">
        <v>184</v>
      </c>
      <c r="H15" s="299">
        <f t="shared" si="3"/>
        <v>1</v>
      </c>
      <c r="I15" s="299" t="str">
        <f t="shared" si="4"/>
        <v/>
      </c>
      <c r="J15" s="299"/>
      <c r="K15" s="167">
        <v>12</v>
      </c>
      <c r="L15" s="168">
        <v>21</v>
      </c>
      <c r="M15" s="11"/>
      <c r="N15" s="125"/>
      <c r="O15" s="124">
        <f t="shared" si="19"/>
        <v>12</v>
      </c>
      <c r="P15" s="73">
        <f t="shared" si="19"/>
        <v>21</v>
      </c>
      <c r="Q15" s="73">
        <f t="shared" si="20"/>
        <v>0</v>
      </c>
      <c r="R15" s="73">
        <f t="shared" si="21"/>
        <v>0</v>
      </c>
      <c r="S15" s="73">
        <v>0.2</v>
      </c>
      <c r="T15" s="73">
        <f t="shared" si="22"/>
        <v>0.33333333333333337</v>
      </c>
      <c r="U15" s="12">
        <f t="shared" si="7"/>
        <v>8.6666666666666661</v>
      </c>
      <c r="V15" s="146">
        <f t="shared" si="8"/>
        <v>0</v>
      </c>
      <c r="W15" s="114">
        <f t="shared" si="9"/>
        <v>8.6666666666666661</v>
      </c>
      <c r="X15" s="144" t="str">
        <f>+IF(D15="cp",(I15*'Récapitulatif '!$AJ$3),"")</f>
        <v/>
      </c>
      <c r="Y15" s="251">
        <f t="shared" si="10"/>
        <v>0</v>
      </c>
      <c r="Z15" s="145" t="str">
        <f t="shared" si="11"/>
        <v/>
      </c>
      <c r="AA15" s="166" t="str">
        <f t="shared" si="12"/>
        <v/>
      </c>
      <c r="AB15" s="258" t="str">
        <f t="shared" si="24"/>
        <v/>
      </c>
      <c r="AC15" s="316" t="str">
        <f t="shared" si="13"/>
        <v/>
      </c>
      <c r="AD15" s="315" t="str">
        <f t="shared" si="14"/>
        <v/>
      </c>
      <c r="AE15" s="543" t="str">
        <f t="shared" si="15"/>
        <v/>
      </c>
      <c r="AF15" s="316" t="str">
        <f>+IF(AND(WEEKDAY(C15)=7,$C$4:$C$33=$C$57),"",IF(AND(WEEKDAY(C15)=1,$C$4:$C$33=$C$57),"",IF($C$4:$C$33=$C$57,'Récapitulatif '!$AJ$3,"")))</f>
        <v/>
      </c>
      <c r="AG15" s="543" t="str">
        <f t="shared" si="16"/>
        <v/>
      </c>
      <c r="AH15" s="218">
        <f t="shared" si="17"/>
        <v>1</v>
      </c>
      <c r="AI15" s="13" t="str">
        <f t="shared" si="18"/>
        <v/>
      </c>
      <c r="AL15" s="92" t="s">
        <v>69</v>
      </c>
    </row>
    <row r="16" spans="1:38" ht="13.5" thickBot="1">
      <c r="A16" s="482" t="str">
        <f>IF(WEEKDAY(C16,2)=1,INT((C16-SUM(MOD(DATE(YEAR(C16-MOD(C16-2,7)+3),1,2),{1E+99;7})*{1;-1})+5)/7),"")</f>
        <v/>
      </c>
      <c r="B16" s="482" t="str">
        <f t="shared" si="0"/>
        <v/>
      </c>
      <c r="C16" s="487">
        <f t="shared" si="23"/>
        <v>43629</v>
      </c>
      <c r="D16" s="575" t="s">
        <v>202</v>
      </c>
      <c r="E16" s="613" t="str">
        <f t="shared" si="1"/>
        <v/>
      </c>
      <c r="F16" s="613" t="str">
        <f t="shared" si="2"/>
        <v/>
      </c>
      <c r="G16" s="445" t="s">
        <v>184</v>
      </c>
      <c r="H16" s="299">
        <f t="shared" si="3"/>
        <v>1</v>
      </c>
      <c r="I16" s="299" t="str">
        <f t="shared" si="4"/>
        <v/>
      </c>
      <c r="J16" s="299"/>
      <c r="K16" s="167">
        <v>12</v>
      </c>
      <c r="L16" s="168">
        <v>21</v>
      </c>
      <c r="M16" s="11"/>
      <c r="N16" s="125"/>
      <c r="O16" s="124">
        <f t="shared" si="19"/>
        <v>12</v>
      </c>
      <c r="P16" s="73">
        <f t="shared" si="19"/>
        <v>21</v>
      </c>
      <c r="Q16" s="73">
        <f t="shared" si="20"/>
        <v>0</v>
      </c>
      <c r="R16" s="73">
        <f t="shared" si="21"/>
        <v>0</v>
      </c>
      <c r="S16" s="73">
        <v>0.2</v>
      </c>
      <c r="T16" s="73">
        <f t="shared" si="22"/>
        <v>0.33333333333333337</v>
      </c>
      <c r="U16" s="12">
        <f t="shared" si="7"/>
        <v>8.6666666666666661</v>
      </c>
      <c r="V16" s="146">
        <f t="shared" si="8"/>
        <v>0</v>
      </c>
      <c r="W16" s="114">
        <f t="shared" si="9"/>
        <v>8.6666666666666661</v>
      </c>
      <c r="X16" s="144" t="str">
        <f>+IF(D16="cp",(I16*'Récapitulatif '!$AJ$3),"")</f>
        <v/>
      </c>
      <c r="Y16" s="251">
        <f t="shared" si="10"/>
        <v>0</v>
      </c>
      <c r="Z16" s="145" t="str">
        <f t="shared" si="11"/>
        <v/>
      </c>
      <c r="AA16" s="166" t="str">
        <f t="shared" si="12"/>
        <v/>
      </c>
      <c r="AB16" s="258" t="str">
        <f t="shared" si="24"/>
        <v/>
      </c>
      <c r="AC16" s="316" t="str">
        <f t="shared" si="13"/>
        <v/>
      </c>
      <c r="AD16" s="315" t="str">
        <f t="shared" si="14"/>
        <v/>
      </c>
      <c r="AE16" s="543" t="str">
        <f t="shared" si="15"/>
        <v/>
      </c>
      <c r="AF16" s="316" t="str">
        <f>+IF(AND(WEEKDAY(C16)=7,$C$4:$C$33=$C$57),"",IF(AND(WEEKDAY(C16)=1,$C$4:$C$33=$C$57),"",IF($C$4:$C$33=$C$57,'Récapitulatif '!$AJ$3,"")))</f>
        <v/>
      </c>
      <c r="AG16" s="543" t="str">
        <f t="shared" si="16"/>
        <v/>
      </c>
      <c r="AH16" s="218">
        <f t="shared" si="17"/>
        <v>1</v>
      </c>
      <c r="AI16" s="13" t="str">
        <f t="shared" si="18"/>
        <v/>
      </c>
    </row>
    <row r="17" spans="1:38" ht="13.5" thickBot="1">
      <c r="A17" s="482" t="str">
        <f>IF(WEEKDAY(C17,2)=1,INT((C17-SUM(MOD(DATE(YEAR(C17-MOD(C17-2,7)+3),1,2),{1E+99;7})*{1;-1})+5)/7),"")</f>
        <v/>
      </c>
      <c r="B17" s="482" t="str">
        <f t="shared" si="0"/>
        <v/>
      </c>
      <c r="C17" s="487">
        <f t="shared" si="23"/>
        <v>43630</v>
      </c>
      <c r="D17" s="575" t="s">
        <v>202</v>
      </c>
      <c r="E17" s="613" t="str">
        <f t="shared" si="1"/>
        <v/>
      </c>
      <c r="F17" s="613" t="str">
        <f t="shared" si="2"/>
        <v/>
      </c>
      <c r="G17" s="445" t="s">
        <v>184</v>
      </c>
      <c r="H17" s="299">
        <f t="shared" si="3"/>
        <v>1</v>
      </c>
      <c r="I17" s="299" t="str">
        <f t="shared" si="4"/>
        <v/>
      </c>
      <c r="J17" s="299"/>
      <c r="K17" s="167">
        <v>11.3</v>
      </c>
      <c r="L17" s="168">
        <v>19.2</v>
      </c>
      <c r="M17" s="11"/>
      <c r="N17" s="125"/>
      <c r="O17" s="124">
        <f t="shared" si="19"/>
        <v>11.500000000000002</v>
      </c>
      <c r="P17" s="73">
        <f t="shared" si="19"/>
        <v>19.333333333333332</v>
      </c>
      <c r="Q17" s="73">
        <f t="shared" si="20"/>
        <v>0</v>
      </c>
      <c r="R17" s="73">
        <f t="shared" si="21"/>
        <v>0</v>
      </c>
      <c r="S17" s="73">
        <v>0.2</v>
      </c>
      <c r="T17" s="73">
        <f t="shared" si="22"/>
        <v>0.33333333333333337</v>
      </c>
      <c r="U17" s="12">
        <f t="shared" si="7"/>
        <v>7.4999999999999973</v>
      </c>
      <c r="V17" s="146">
        <f t="shared" si="8"/>
        <v>0</v>
      </c>
      <c r="W17" s="114">
        <f t="shared" si="9"/>
        <v>7.4999999999999973</v>
      </c>
      <c r="X17" s="144" t="str">
        <f>+IF(D17="cp",(I17*'Récapitulatif '!$AJ$3),"")</f>
        <v/>
      </c>
      <c r="Y17" s="251">
        <f t="shared" si="10"/>
        <v>0</v>
      </c>
      <c r="Z17" s="145" t="str">
        <f t="shared" si="11"/>
        <v/>
      </c>
      <c r="AA17" s="166" t="str">
        <f t="shared" si="12"/>
        <v/>
      </c>
      <c r="AB17" s="258" t="str">
        <f t="shared" si="24"/>
        <v/>
      </c>
      <c r="AC17" s="316" t="str">
        <f t="shared" si="13"/>
        <v/>
      </c>
      <c r="AD17" s="315" t="str">
        <f t="shared" si="14"/>
        <v/>
      </c>
      <c r="AE17" s="543" t="str">
        <f t="shared" si="15"/>
        <v/>
      </c>
      <c r="AF17" s="316" t="str">
        <f>+IF(AND(WEEKDAY(C17)=7,$C$4:$C$33=$C$57),"",IF(AND(WEEKDAY(C17)=1,$C$4:$C$33=$C$57),"",IF($C$4:$C$33=$C$57,'Récapitulatif '!$AJ$3,"")))</f>
        <v/>
      </c>
      <c r="AG17" s="543" t="str">
        <f t="shared" si="16"/>
        <v/>
      </c>
      <c r="AH17" s="218">
        <f t="shared" si="17"/>
        <v>1</v>
      </c>
      <c r="AI17" s="13" t="str">
        <f t="shared" si="18"/>
        <v/>
      </c>
      <c r="AL17" s="1" t="s">
        <v>70</v>
      </c>
    </row>
    <row r="18" spans="1:38" ht="13.5" thickBot="1">
      <c r="A18" s="482" t="str">
        <f>IF(WEEKDAY(C18,2)=1,INT((C18-SUM(MOD(DATE(YEAR(C18-MOD(C18-2,7)+3),1,2),{1E+99;7})*{1;-1})+5)/7),"")</f>
        <v/>
      </c>
      <c r="B18" s="482" t="str">
        <f t="shared" si="0"/>
        <v/>
      </c>
      <c r="C18" s="487">
        <f t="shared" si="23"/>
        <v>43631</v>
      </c>
      <c r="D18" s="576"/>
      <c r="E18" s="613" t="str">
        <f t="shared" si="1"/>
        <v/>
      </c>
      <c r="F18" s="613" t="str">
        <f t="shared" si="2"/>
        <v/>
      </c>
      <c r="G18" s="445"/>
      <c r="H18" s="299" t="str">
        <f t="shared" si="3"/>
        <v/>
      </c>
      <c r="I18" s="299" t="str">
        <f t="shared" si="4"/>
        <v/>
      </c>
      <c r="J18" s="299"/>
      <c r="K18" s="86"/>
      <c r="L18" s="11"/>
      <c r="M18" s="11"/>
      <c r="N18" s="125"/>
      <c r="O18" s="124">
        <f t="shared" si="19"/>
        <v>0</v>
      </c>
      <c r="P18" s="73">
        <f t="shared" si="19"/>
        <v>0</v>
      </c>
      <c r="Q18" s="73">
        <f t="shared" si="20"/>
        <v>0</v>
      </c>
      <c r="R18" s="73">
        <f t="shared" si="21"/>
        <v>0</v>
      </c>
      <c r="S18" s="73">
        <v>0.2</v>
      </c>
      <c r="T18" s="73">
        <f t="shared" si="22"/>
        <v>0.33333333333333337</v>
      </c>
      <c r="U18" s="12" t="str">
        <f t="shared" si="7"/>
        <v/>
      </c>
      <c r="V18" s="146" t="e">
        <f t="shared" si="8"/>
        <v>#VALUE!</v>
      </c>
      <c r="W18" s="114" t="str">
        <f t="shared" si="9"/>
        <v/>
      </c>
      <c r="X18" s="144" t="str">
        <f>+IF(D18="cp",(I18*'Récapitulatif '!$AJ$3),"")</f>
        <v/>
      </c>
      <c r="Y18" s="251" t="str">
        <f t="shared" si="10"/>
        <v/>
      </c>
      <c r="Z18" s="145" t="str">
        <f t="shared" si="11"/>
        <v/>
      </c>
      <c r="AA18" s="166" t="str">
        <f t="shared" si="12"/>
        <v/>
      </c>
      <c r="AB18" s="258" t="str">
        <f t="shared" si="24"/>
        <v/>
      </c>
      <c r="AC18" s="316" t="str">
        <f t="shared" si="13"/>
        <v/>
      </c>
      <c r="AD18" s="315" t="str">
        <f t="shared" si="14"/>
        <v/>
      </c>
      <c r="AE18" s="543" t="str">
        <f t="shared" si="15"/>
        <v/>
      </c>
      <c r="AF18" s="316" t="str">
        <f>+IF(AND(WEEKDAY(C18)=7,$C$4:$C$33=$C$57),"",IF(AND(WEEKDAY(C18)=1,$C$4:$C$33=$C$57),"",IF($C$4:$C$33=$C$57,'Récapitulatif '!$AJ$3,"")))</f>
        <v/>
      </c>
      <c r="AG18" s="543" t="str">
        <f t="shared" si="16"/>
        <v/>
      </c>
      <c r="AH18" s="218" t="str">
        <f t="shared" si="17"/>
        <v/>
      </c>
      <c r="AI18" s="13" t="str">
        <f t="shared" si="18"/>
        <v/>
      </c>
      <c r="AL18" s="1" t="s">
        <v>71</v>
      </c>
    </row>
    <row r="19" spans="1:38" ht="13.5" thickBot="1">
      <c r="A19" s="482" t="str">
        <f>IF(WEEKDAY(C19,2)=1,INT((C19-SUM(MOD(DATE(YEAR(C19-MOD(C19-2,7)+3),1,2),{1E+99;7})*{1;-1})+5)/7),"")</f>
        <v/>
      </c>
      <c r="B19" s="482" t="str">
        <f t="shared" si="0"/>
        <v/>
      </c>
      <c r="C19" s="487">
        <f t="shared" si="23"/>
        <v>43632</v>
      </c>
      <c r="D19" s="576" t="s">
        <v>203</v>
      </c>
      <c r="E19" s="613" t="str">
        <f t="shared" si="1"/>
        <v/>
      </c>
      <c r="F19" s="613">
        <f t="shared" si="2"/>
        <v>1</v>
      </c>
      <c r="G19" s="445" t="s">
        <v>184</v>
      </c>
      <c r="H19" s="299">
        <f t="shared" si="3"/>
        <v>1</v>
      </c>
      <c r="I19" s="299" t="str">
        <f t="shared" si="4"/>
        <v/>
      </c>
      <c r="J19" s="299"/>
      <c r="K19" s="86">
        <v>21</v>
      </c>
      <c r="L19" s="11">
        <v>5</v>
      </c>
      <c r="M19" s="11"/>
      <c r="N19" s="125"/>
      <c r="O19" s="124">
        <f t="shared" si="19"/>
        <v>21</v>
      </c>
      <c r="P19" s="73">
        <f t="shared" si="19"/>
        <v>5</v>
      </c>
      <c r="Q19" s="73">
        <f t="shared" si="20"/>
        <v>0</v>
      </c>
      <c r="R19" s="73">
        <f t="shared" si="21"/>
        <v>0</v>
      </c>
      <c r="S19" s="73">
        <v>0.2</v>
      </c>
      <c r="T19" s="73">
        <f t="shared" si="22"/>
        <v>0.33333333333333337</v>
      </c>
      <c r="U19" s="12">
        <f t="shared" si="7"/>
        <v>7.666666666666667</v>
      </c>
      <c r="V19" s="146">
        <f t="shared" si="8"/>
        <v>8</v>
      </c>
      <c r="W19" s="114">
        <f t="shared" si="9"/>
        <v>7.666666666666667</v>
      </c>
      <c r="X19" s="144" t="str">
        <f>+IF(D19="cp",(I19*'Récapitulatif '!$AJ$3),"")</f>
        <v/>
      </c>
      <c r="Y19" s="251">
        <f t="shared" si="10"/>
        <v>7.666666666666667</v>
      </c>
      <c r="Z19" s="145" t="str">
        <f t="shared" si="11"/>
        <v/>
      </c>
      <c r="AA19" s="166">
        <f t="shared" si="12"/>
        <v>1</v>
      </c>
      <c r="AB19" s="258">
        <f t="shared" si="24"/>
        <v>48.833333333333329</v>
      </c>
      <c r="AC19" s="316" t="str">
        <f t="shared" si="13"/>
        <v/>
      </c>
      <c r="AD19" s="315">
        <f t="shared" si="14"/>
        <v>3</v>
      </c>
      <c r="AE19" s="543" t="str">
        <f t="shared" si="15"/>
        <v/>
      </c>
      <c r="AF19" s="316" t="str">
        <f>+IF(AND(WEEKDAY(C19)=7,$C$4:$C$33=$C$57),"",IF(AND(WEEKDAY(C19)=1,$C$4:$C$33=$C$57),"",IF($C$4:$C$33=$C$57,'Récapitulatif '!$AJ$3,"")))</f>
        <v/>
      </c>
      <c r="AG19" s="543" t="str">
        <f t="shared" si="16"/>
        <v/>
      </c>
      <c r="AH19" s="218" t="str">
        <f t="shared" si="17"/>
        <v/>
      </c>
      <c r="AI19" s="13">
        <f t="shared" si="18"/>
        <v>1</v>
      </c>
      <c r="AL19" s="92"/>
    </row>
    <row r="20" spans="1:38" ht="13.5" thickBot="1">
      <c r="A20" s="482">
        <f>IF(WEEKDAY(C20,2)=1,INT((C20-SUM(MOD(DATE(YEAR(C20-MOD(C20-2,7)+3),1,2),{1E+99;7})*{1;-1})+5)/7),"")</f>
        <v>25</v>
      </c>
      <c r="B20" s="482" t="str">
        <f t="shared" si="0"/>
        <v>Nuit</v>
      </c>
      <c r="C20" s="487">
        <f t="shared" si="23"/>
        <v>43633</v>
      </c>
      <c r="D20" s="576" t="s">
        <v>203</v>
      </c>
      <c r="E20" s="613" t="str">
        <f t="shared" si="1"/>
        <v/>
      </c>
      <c r="F20" s="613" t="str">
        <f t="shared" si="2"/>
        <v/>
      </c>
      <c r="G20" s="445" t="s">
        <v>184</v>
      </c>
      <c r="H20" s="299">
        <f t="shared" si="3"/>
        <v>1</v>
      </c>
      <c r="I20" s="299" t="str">
        <f t="shared" si="4"/>
        <v/>
      </c>
      <c r="J20" s="299"/>
      <c r="K20" s="86">
        <v>20.55</v>
      </c>
      <c r="L20" s="11">
        <v>5</v>
      </c>
      <c r="M20" s="11"/>
      <c r="N20" s="125"/>
      <c r="O20" s="124">
        <f t="shared" si="19"/>
        <v>20.916666666666668</v>
      </c>
      <c r="P20" s="73">
        <f t="shared" si="19"/>
        <v>5</v>
      </c>
      <c r="Q20" s="73">
        <f t="shared" si="20"/>
        <v>0</v>
      </c>
      <c r="R20" s="73">
        <f t="shared" si="21"/>
        <v>0</v>
      </c>
      <c r="S20" s="73">
        <v>0.2</v>
      </c>
      <c r="T20" s="73">
        <f t="shared" si="22"/>
        <v>0.33333333333333337</v>
      </c>
      <c r="U20" s="12">
        <f t="shared" si="7"/>
        <v>7.7499999999999991</v>
      </c>
      <c r="V20" s="146">
        <f t="shared" si="8"/>
        <v>8</v>
      </c>
      <c r="W20" s="114">
        <f t="shared" si="9"/>
        <v>7.7499999999999991</v>
      </c>
      <c r="X20" s="144" t="str">
        <f>+IF(D20="cp",(I20*'Récapitulatif '!$AJ$3),"")</f>
        <v/>
      </c>
      <c r="Y20" s="251">
        <f t="shared" si="10"/>
        <v>7.666666666666667</v>
      </c>
      <c r="Z20" s="145" t="str">
        <f t="shared" si="11"/>
        <v/>
      </c>
      <c r="AA20" s="166">
        <f t="shared" si="12"/>
        <v>1</v>
      </c>
      <c r="AB20" s="258" t="str">
        <f t="shared" si="24"/>
        <v/>
      </c>
      <c r="AC20" s="316" t="str">
        <f t="shared" si="13"/>
        <v/>
      </c>
      <c r="AD20" s="315" t="str">
        <f t="shared" si="14"/>
        <v/>
      </c>
      <c r="AE20" s="543" t="str">
        <f t="shared" si="15"/>
        <v/>
      </c>
      <c r="AF20" s="316" t="str">
        <f>+IF(AND(WEEKDAY(C20)=7,$C$4:$C$33=$C$57),"",IF(AND(WEEKDAY(C20)=1,$C$4:$C$33=$C$57),"",IF($C$4:$C$33=$C$57,'Récapitulatif '!$AJ$3,"")))</f>
        <v/>
      </c>
      <c r="AG20" s="543" t="str">
        <f t="shared" si="16"/>
        <v/>
      </c>
      <c r="AH20" s="218" t="str">
        <f t="shared" si="17"/>
        <v/>
      </c>
      <c r="AI20" s="13">
        <f t="shared" si="18"/>
        <v>1</v>
      </c>
    </row>
    <row r="21" spans="1:38" ht="13.5" thickBot="1">
      <c r="A21" s="482" t="str">
        <f>IF(WEEKDAY(C21,2)=1,INT((C21-SUM(MOD(DATE(YEAR(C21-MOD(C21-2,7)+3),1,2),{1E+99;7})*{1;-1})+5)/7),"")</f>
        <v/>
      </c>
      <c r="B21" s="482" t="str">
        <f t="shared" si="0"/>
        <v/>
      </c>
      <c r="C21" s="487">
        <f t="shared" si="23"/>
        <v>43634</v>
      </c>
      <c r="D21" s="576" t="s">
        <v>203</v>
      </c>
      <c r="E21" s="613" t="str">
        <f t="shared" si="1"/>
        <v/>
      </c>
      <c r="F21" s="613" t="str">
        <f t="shared" si="2"/>
        <v/>
      </c>
      <c r="G21" s="445" t="s">
        <v>184</v>
      </c>
      <c r="H21" s="299">
        <f t="shared" si="3"/>
        <v>1</v>
      </c>
      <c r="I21" s="299" t="str">
        <f t="shared" si="4"/>
        <v/>
      </c>
      <c r="J21" s="299"/>
      <c r="K21" s="86">
        <v>20.55</v>
      </c>
      <c r="L21" s="11">
        <v>5</v>
      </c>
      <c r="M21" s="11"/>
      <c r="N21" s="125"/>
      <c r="O21" s="124">
        <f t="shared" si="19"/>
        <v>20.916666666666668</v>
      </c>
      <c r="P21" s="73">
        <f t="shared" si="19"/>
        <v>5</v>
      </c>
      <c r="Q21" s="73">
        <f t="shared" si="20"/>
        <v>0</v>
      </c>
      <c r="R21" s="73">
        <f t="shared" si="21"/>
        <v>0</v>
      </c>
      <c r="S21" s="73">
        <v>0.2</v>
      </c>
      <c r="T21" s="73">
        <f t="shared" si="22"/>
        <v>0.33333333333333337</v>
      </c>
      <c r="U21" s="12">
        <f t="shared" si="7"/>
        <v>7.7499999999999991</v>
      </c>
      <c r="V21" s="146">
        <f t="shared" si="8"/>
        <v>8</v>
      </c>
      <c r="W21" s="114">
        <f t="shared" si="9"/>
        <v>7.7499999999999991</v>
      </c>
      <c r="X21" s="144" t="str">
        <f>+IF(D21="cp",(I21*'Récapitulatif '!$AJ$3),"")</f>
        <v/>
      </c>
      <c r="Y21" s="251">
        <f t="shared" si="10"/>
        <v>7.666666666666667</v>
      </c>
      <c r="Z21" s="145" t="str">
        <f t="shared" si="11"/>
        <v/>
      </c>
      <c r="AA21" s="166">
        <f t="shared" si="12"/>
        <v>1</v>
      </c>
      <c r="AB21" s="258" t="str">
        <f t="shared" si="24"/>
        <v/>
      </c>
      <c r="AC21" s="316" t="str">
        <f t="shared" si="13"/>
        <v/>
      </c>
      <c r="AD21" s="315" t="str">
        <f t="shared" si="14"/>
        <v/>
      </c>
      <c r="AE21" s="543" t="str">
        <f t="shared" si="15"/>
        <v/>
      </c>
      <c r="AF21" s="316" t="str">
        <f>+IF(AND(WEEKDAY(C21)=7,$C$4:$C$33=$C$57),"",IF(AND(WEEKDAY(C21)=1,$C$4:$C$33=$C$57),"",IF($C$4:$C$33=$C$57,'Récapitulatif '!$AJ$3,"")))</f>
        <v/>
      </c>
      <c r="AG21" s="543" t="str">
        <f t="shared" si="16"/>
        <v/>
      </c>
      <c r="AH21" s="218" t="str">
        <f t="shared" si="17"/>
        <v/>
      </c>
      <c r="AI21" s="13">
        <f t="shared" si="18"/>
        <v>1</v>
      </c>
    </row>
    <row r="22" spans="1:38" ht="13.5" thickBot="1">
      <c r="A22" s="482" t="str">
        <f>IF(WEEKDAY(C22,2)=1,INT((C22-SUM(MOD(DATE(YEAR(C22-MOD(C22-2,7)+3),1,2),{1E+99;7})*{1;-1})+5)/7),"")</f>
        <v/>
      </c>
      <c r="B22" s="482" t="str">
        <f t="shared" si="0"/>
        <v/>
      </c>
      <c r="C22" s="487">
        <f t="shared" si="23"/>
        <v>43635</v>
      </c>
      <c r="D22" s="575" t="s">
        <v>203</v>
      </c>
      <c r="E22" s="613" t="str">
        <f t="shared" si="1"/>
        <v/>
      </c>
      <c r="F22" s="613" t="str">
        <f t="shared" si="2"/>
        <v/>
      </c>
      <c r="G22" s="445" t="s">
        <v>184</v>
      </c>
      <c r="H22" s="299">
        <f t="shared" si="3"/>
        <v>1</v>
      </c>
      <c r="I22" s="299" t="str">
        <f t="shared" si="4"/>
        <v/>
      </c>
      <c r="J22" s="299"/>
      <c r="K22" s="86">
        <v>20.55</v>
      </c>
      <c r="L22" s="11">
        <v>5</v>
      </c>
      <c r="M22" s="11"/>
      <c r="N22" s="125"/>
      <c r="O22" s="124">
        <f t="shared" si="19"/>
        <v>20.916666666666668</v>
      </c>
      <c r="P22" s="73">
        <f t="shared" si="19"/>
        <v>5</v>
      </c>
      <c r="Q22" s="73">
        <f t="shared" si="20"/>
        <v>0</v>
      </c>
      <c r="R22" s="73">
        <f t="shared" si="21"/>
        <v>0</v>
      </c>
      <c r="S22" s="73">
        <v>0.2</v>
      </c>
      <c r="T22" s="73">
        <f t="shared" si="22"/>
        <v>0.33333333333333337</v>
      </c>
      <c r="U22" s="12">
        <f t="shared" si="7"/>
        <v>7.7499999999999991</v>
      </c>
      <c r="V22" s="146">
        <f t="shared" si="8"/>
        <v>8</v>
      </c>
      <c r="W22" s="114">
        <f t="shared" si="9"/>
        <v>7.7499999999999991</v>
      </c>
      <c r="X22" s="144" t="str">
        <f>+IF(D22="cp",(I22*'Récapitulatif '!$AJ$3),"")</f>
        <v/>
      </c>
      <c r="Y22" s="251">
        <f t="shared" si="10"/>
        <v>7.666666666666667</v>
      </c>
      <c r="Z22" s="145" t="str">
        <f t="shared" si="11"/>
        <v/>
      </c>
      <c r="AA22" s="166">
        <f t="shared" si="12"/>
        <v>1</v>
      </c>
      <c r="AB22" s="258" t="str">
        <f t="shared" si="24"/>
        <v/>
      </c>
      <c r="AC22" s="316" t="str">
        <f t="shared" si="13"/>
        <v/>
      </c>
      <c r="AD22" s="315" t="str">
        <f t="shared" si="14"/>
        <v/>
      </c>
      <c r="AE22" s="543" t="str">
        <f t="shared" si="15"/>
        <v/>
      </c>
      <c r="AF22" s="316" t="str">
        <f>+IF(AND(WEEKDAY(C22)=7,$C$4:$C$33=$C$57),"",IF(AND(WEEKDAY(C22)=1,$C$4:$C$33=$C$57),"",IF($C$4:$C$33=$C$57,'Récapitulatif '!$AJ$3,"")))</f>
        <v/>
      </c>
      <c r="AG22" s="543" t="str">
        <f t="shared" si="16"/>
        <v/>
      </c>
      <c r="AH22" s="218" t="str">
        <f t="shared" si="17"/>
        <v/>
      </c>
      <c r="AI22" s="13">
        <f t="shared" si="18"/>
        <v>1</v>
      </c>
    </row>
    <row r="23" spans="1:38" ht="13.5" thickBot="1">
      <c r="A23" s="482" t="str">
        <f>IF(WEEKDAY(C23,2)=1,INT((C23-SUM(MOD(DATE(YEAR(C23-MOD(C23-2,7)+3),1,2),{1E+99;7})*{1;-1})+5)/7),"")</f>
        <v/>
      </c>
      <c r="B23" s="482" t="str">
        <f t="shared" si="0"/>
        <v/>
      </c>
      <c r="C23" s="487">
        <f t="shared" si="23"/>
        <v>43636</v>
      </c>
      <c r="D23" s="575" t="s">
        <v>203</v>
      </c>
      <c r="E23" s="613" t="str">
        <f t="shared" si="1"/>
        <v/>
      </c>
      <c r="F23" s="613" t="str">
        <f t="shared" si="2"/>
        <v/>
      </c>
      <c r="G23" s="445" t="s">
        <v>184</v>
      </c>
      <c r="H23" s="299">
        <f t="shared" si="3"/>
        <v>1</v>
      </c>
      <c r="I23" s="299" t="str">
        <f t="shared" si="4"/>
        <v/>
      </c>
      <c r="J23" s="299"/>
      <c r="K23" s="86">
        <v>20.55</v>
      </c>
      <c r="L23" s="11">
        <v>5</v>
      </c>
      <c r="M23" s="11"/>
      <c r="N23" s="125"/>
      <c r="O23" s="124">
        <f t="shared" si="19"/>
        <v>20.916666666666668</v>
      </c>
      <c r="P23" s="73">
        <f t="shared" si="19"/>
        <v>5</v>
      </c>
      <c r="Q23" s="73">
        <f t="shared" si="20"/>
        <v>0</v>
      </c>
      <c r="R23" s="73">
        <f t="shared" si="21"/>
        <v>0</v>
      </c>
      <c r="S23" s="73">
        <v>0.2</v>
      </c>
      <c r="T23" s="73">
        <f t="shared" si="22"/>
        <v>0.33333333333333337</v>
      </c>
      <c r="U23" s="12">
        <f t="shared" si="7"/>
        <v>7.7499999999999991</v>
      </c>
      <c r="V23" s="146">
        <f t="shared" si="8"/>
        <v>8</v>
      </c>
      <c r="W23" s="114">
        <f t="shared" si="9"/>
        <v>7.7499999999999991</v>
      </c>
      <c r="X23" s="144" t="str">
        <f>+IF(D23="cp",(I23*'Récapitulatif '!$AJ$3),"")</f>
        <v/>
      </c>
      <c r="Y23" s="251">
        <f t="shared" si="10"/>
        <v>7.666666666666667</v>
      </c>
      <c r="Z23" s="145" t="str">
        <f t="shared" si="11"/>
        <v/>
      </c>
      <c r="AA23" s="166">
        <f t="shared" si="12"/>
        <v>1</v>
      </c>
      <c r="AB23" s="258" t="str">
        <f t="shared" si="24"/>
        <v/>
      </c>
      <c r="AC23" s="316" t="str">
        <f t="shared" si="13"/>
        <v/>
      </c>
      <c r="AD23" s="315" t="str">
        <f t="shared" si="14"/>
        <v/>
      </c>
      <c r="AE23" s="543" t="str">
        <f t="shared" si="15"/>
        <v/>
      </c>
      <c r="AF23" s="316" t="str">
        <f>+IF(AND(WEEKDAY(C23)=7,$C$4:$C$33=$C$57),"",IF(AND(WEEKDAY(C23)=1,$C$4:$C$33=$C$57),"",IF($C$4:$C$33=$C$57,'Récapitulatif '!$AJ$3,"")))</f>
        <v/>
      </c>
      <c r="AG23" s="543" t="str">
        <f t="shared" si="16"/>
        <v/>
      </c>
      <c r="AH23" s="218" t="str">
        <f t="shared" si="17"/>
        <v/>
      </c>
      <c r="AI23" s="13">
        <f t="shared" si="18"/>
        <v>1</v>
      </c>
    </row>
    <row r="24" spans="1:38" ht="13.5" thickBot="1">
      <c r="A24" s="482" t="str">
        <f>IF(WEEKDAY(C24,2)=1,INT((C24-SUM(MOD(DATE(YEAR(C24-MOD(C24-2,7)+3),1,2),{1E+99;7})*{1;-1})+5)/7),"")</f>
        <v/>
      </c>
      <c r="B24" s="482" t="str">
        <f t="shared" si="0"/>
        <v/>
      </c>
      <c r="C24" s="487">
        <f t="shared" si="23"/>
        <v>43637</v>
      </c>
      <c r="D24" s="575"/>
      <c r="E24" s="613" t="str">
        <f t="shared" si="1"/>
        <v/>
      </c>
      <c r="F24" s="613" t="str">
        <f t="shared" si="2"/>
        <v/>
      </c>
      <c r="G24" s="445"/>
      <c r="H24" s="299" t="str">
        <f t="shared" si="3"/>
        <v/>
      </c>
      <c r="I24" s="299" t="str">
        <f t="shared" si="4"/>
        <v/>
      </c>
      <c r="J24" s="299"/>
      <c r="K24" s="167"/>
      <c r="L24" s="168"/>
      <c r="M24" s="11"/>
      <c r="N24" s="125"/>
      <c r="O24" s="124">
        <f t="shared" si="19"/>
        <v>0</v>
      </c>
      <c r="P24" s="73">
        <f t="shared" si="19"/>
        <v>0</v>
      </c>
      <c r="Q24" s="73">
        <f t="shared" si="20"/>
        <v>0</v>
      </c>
      <c r="R24" s="73">
        <f t="shared" si="21"/>
        <v>0</v>
      </c>
      <c r="S24" s="73">
        <v>0.2</v>
      </c>
      <c r="T24" s="73">
        <f t="shared" si="22"/>
        <v>0.33333333333333337</v>
      </c>
      <c r="U24" s="12" t="str">
        <f t="shared" si="7"/>
        <v/>
      </c>
      <c r="V24" s="146" t="e">
        <f t="shared" si="8"/>
        <v>#VALUE!</v>
      </c>
      <c r="W24" s="114" t="str">
        <f t="shared" si="9"/>
        <v/>
      </c>
      <c r="X24" s="144" t="str">
        <f>+IF(D24="cp",(I24*'Récapitulatif '!$AJ$3),"")</f>
        <v/>
      </c>
      <c r="Y24" s="251" t="str">
        <f t="shared" si="10"/>
        <v/>
      </c>
      <c r="Z24" s="145" t="str">
        <f t="shared" si="11"/>
        <v/>
      </c>
      <c r="AA24" s="166" t="str">
        <f t="shared" si="12"/>
        <v/>
      </c>
      <c r="AB24" s="258" t="str">
        <f t="shared" si="24"/>
        <v/>
      </c>
      <c r="AC24" s="316" t="str">
        <f t="shared" si="13"/>
        <v/>
      </c>
      <c r="AD24" s="315" t="str">
        <f t="shared" si="14"/>
        <v/>
      </c>
      <c r="AE24" s="543" t="str">
        <f t="shared" si="15"/>
        <v/>
      </c>
      <c r="AF24" s="316" t="str">
        <f>+IF(AND(WEEKDAY(C24)=7,$C$4:$C$33=$C$57),"",IF(AND(WEEKDAY(C24)=1,$C$4:$C$33=$C$57),"",IF($C$4:$C$33=$C$57,'Récapitulatif '!$AJ$3,"")))</f>
        <v/>
      </c>
      <c r="AG24" s="543" t="str">
        <f t="shared" si="16"/>
        <v/>
      </c>
      <c r="AH24" s="218" t="str">
        <f t="shared" si="17"/>
        <v/>
      </c>
      <c r="AI24" s="13" t="str">
        <f t="shared" si="18"/>
        <v/>
      </c>
    </row>
    <row r="25" spans="1:38" ht="13.5" thickBot="1">
      <c r="A25" s="482" t="str">
        <f>IF(WEEKDAY(C25,2)=1,INT((C25-SUM(MOD(DATE(YEAR(C25-MOD(C25-2,7)+3),1,2),{1E+99;7})*{1;-1})+5)/7),"")</f>
        <v/>
      </c>
      <c r="B25" s="482" t="str">
        <f t="shared" si="0"/>
        <v/>
      </c>
      <c r="C25" s="487">
        <f t="shared" si="23"/>
        <v>43638</v>
      </c>
      <c r="D25" s="575"/>
      <c r="E25" s="613" t="str">
        <f t="shared" si="1"/>
        <v/>
      </c>
      <c r="F25" s="613" t="str">
        <f t="shared" si="2"/>
        <v/>
      </c>
      <c r="G25" s="445"/>
      <c r="H25" s="299" t="str">
        <f t="shared" si="3"/>
        <v/>
      </c>
      <c r="I25" s="299" t="str">
        <f t="shared" si="4"/>
        <v/>
      </c>
      <c r="J25" s="299"/>
      <c r="K25" s="167"/>
      <c r="L25" s="168"/>
      <c r="M25" s="11"/>
      <c r="N25" s="125"/>
      <c r="O25" s="124">
        <f t="shared" si="19"/>
        <v>0</v>
      </c>
      <c r="P25" s="73">
        <f t="shared" si="19"/>
        <v>0</v>
      </c>
      <c r="Q25" s="73">
        <f t="shared" si="20"/>
        <v>0</v>
      </c>
      <c r="R25" s="73">
        <f t="shared" si="21"/>
        <v>0</v>
      </c>
      <c r="S25" s="73">
        <v>0.2</v>
      </c>
      <c r="T25" s="73">
        <f t="shared" si="22"/>
        <v>0.33333333333333337</v>
      </c>
      <c r="U25" s="12" t="str">
        <f t="shared" si="7"/>
        <v/>
      </c>
      <c r="V25" s="146" t="e">
        <f t="shared" si="8"/>
        <v>#VALUE!</v>
      </c>
      <c r="W25" s="114" t="str">
        <f t="shared" si="9"/>
        <v/>
      </c>
      <c r="X25" s="144" t="str">
        <f>+IF(D25="cp",(I25*'Récapitulatif '!$AJ$3),"")</f>
        <v/>
      </c>
      <c r="Y25" s="251" t="str">
        <f t="shared" si="10"/>
        <v/>
      </c>
      <c r="Z25" s="145" t="str">
        <f t="shared" si="11"/>
        <v/>
      </c>
      <c r="AA25" s="166" t="str">
        <f t="shared" si="12"/>
        <v/>
      </c>
      <c r="AB25" s="258" t="str">
        <f t="shared" si="24"/>
        <v/>
      </c>
      <c r="AC25" s="316" t="str">
        <f t="shared" si="13"/>
        <v/>
      </c>
      <c r="AD25" s="315" t="str">
        <f t="shared" si="14"/>
        <v/>
      </c>
      <c r="AE25" s="543" t="str">
        <f t="shared" si="15"/>
        <v/>
      </c>
      <c r="AF25" s="316" t="str">
        <f>+IF(AND(WEEKDAY(C25)=7,$C$4:$C$33=$C$57),"",IF(AND(WEEKDAY(C25)=1,$C$4:$C$33=$C$57),"",IF($C$4:$C$33=$C$57,'Récapitulatif '!$AJ$3,"")))</f>
        <v/>
      </c>
      <c r="AG25" s="543" t="str">
        <f t="shared" si="16"/>
        <v/>
      </c>
      <c r="AH25" s="218" t="str">
        <f t="shared" si="17"/>
        <v/>
      </c>
      <c r="AI25" s="13" t="str">
        <f t="shared" si="18"/>
        <v/>
      </c>
    </row>
    <row r="26" spans="1:38" ht="13.5" thickBot="1">
      <c r="A26" s="482" t="str">
        <f>IF(WEEKDAY(C26,2)=1,INT((C26-SUM(MOD(DATE(YEAR(C26-MOD(C26-2,7)+3),1,2),{1E+99;7})*{1;-1})+5)/7),"")</f>
        <v/>
      </c>
      <c r="B26" s="482" t="str">
        <f t="shared" si="0"/>
        <v/>
      </c>
      <c r="C26" s="487">
        <f t="shared" si="23"/>
        <v>43639</v>
      </c>
      <c r="D26" s="576" t="s">
        <v>205</v>
      </c>
      <c r="E26" s="613">
        <f t="shared" si="1"/>
        <v>1</v>
      </c>
      <c r="F26" s="613" t="str">
        <f t="shared" si="2"/>
        <v/>
      </c>
      <c r="G26" s="445" t="s">
        <v>204</v>
      </c>
      <c r="H26" s="299">
        <f t="shared" si="3"/>
        <v>1</v>
      </c>
      <c r="I26" s="299" t="str">
        <f t="shared" si="4"/>
        <v/>
      </c>
      <c r="J26" s="299"/>
      <c r="K26" s="86">
        <v>5</v>
      </c>
      <c r="L26" s="11">
        <v>13.5</v>
      </c>
      <c r="M26" s="11"/>
      <c r="N26" s="125"/>
      <c r="O26" s="124">
        <f t="shared" si="19"/>
        <v>5</v>
      </c>
      <c r="P26" s="73">
        <f t="shared" si="19"/>
        <v>13.833333333333334</v>
      </c>
      <c r="Q26" s="73">
        <f t="shared" si="20"/>
        <v>0</v>
      </c>
      <c r="R26" s="73">
        <f t="shared" si="21"/>
        <v>0</v>
      </c>
      <c r="S26" s="73">
        <v>0.2</v>
      </c>
      <c r="T26" s="73">
        <f t="shared" si="22"/>
        <v>0.33333333333333337</v>
      </c>
      <c r="U26" s="12">
        <f t="shared" si="7"/>
        <v>8.5</v>
      </c>
      <c r="V26" s="146">
        <f t="shared" si="8"/>
        <v>1</v>
      </c>
      <c r="W26" s="114">
        <f t="shared" si="9"/>
        <v>8.5</v>
      </c>
      <c r="X26" s="144" t="str">
        <f>+IF(D26="cp",(I26*'Récapitulatif '!$AJ$3),"")</f>
        <v/>
      </c>
      <c r="Y26" s="251">
        <f t="shared" si="10"/>
        <v>1</v>
      </c>
      <c r="Z26" s="145" t="str">
        <f t="shared" si="11"/>
        <v/>
      </c>
      <c r="AA26" s="166" t="str">
        <f t="shared" si="12"/>
        <v/>
      </c>
      <c r="AB26" s="258">
        <f t="shared" si="24"/>
        <v>39.5</v>
      </c>
      <c r="AC26" s="316" t="str">
        <f t="shared" si="13"/>
        <v/>
      </c>
      <c r="AD26" s="315">
        <f t="shared" si="14"/>
        <v>8.5</v>
      </c>
      <c r="AE26" s="543" t="str">
        <f t="shared" si="15"/>
        <v/>
      </c>
      <c r="AF26" s="316" t="str">
        <f>+IF(AND(WEEKDAY(C26)=7,$C$4:$C$33=$C$57),"",IF(AND(WEEKDAY(C26)=1,$C$4:$C$33=$C$57),"",IF($C$4:$C$33=$C$57,'Récapitulatif '!$AJ$3,"")))</f>
        <v/>
      </c>
      <c r="AG26" s="543" t="str">
        <f t="shared" si="16"/>
        <v/>
      </c>
      <c r="AH26" s="218">
        <f t="shared" si="17"/>
        <v>1</v>
      </c>
      <c r="AI26" s="13" t="str">
        <f t="shared" si="18"/>
        <v/>
      </c>
    </row>
    <row r="27" spans="1:38" ht="13.5" thickBot="1">
      <c r="A27" s="482">
        <f>IF(WEEKDAY(C27,2)=1,INT((C27-SUM(MOD(DATE(YEAR(C27-MOD(C27-2,7)+3),1,2),{1E+99;7})*{1;-1})+5)/7),"")</f>
        <v>26</v>
      </c>
      <c r="B27" s="482" t="str">
        <f t="shared" si="0"/>
        <v>A - Midi</v>
      </c>
      <c r="C27" s="487">
        <f t="shared" si="23"/>
        <v>43640</v>
      </c>
      <c r="D27" s="575" t="s">
        <v>202</v>
      </c>
      <c r="E27" s="613" t="str">
        <f t="shared" si="1"/>
        <v/>
      </c>
      <c r="F27" s="613" t="str">
        <f t="shared" si="2"/>
        <v/>
      </c>
      <c r="G27" s="445" t="s">
        <v>184</v>
      </c>
      <c r="H27" s="299">
        <f t="shared" si="3"/>
        <v>1</v>
      </c>
      <c r="I27" s="299" t="str">
        <f t="shared" si="4"/>
        <v/>
      </c>
      <c r="J27" s="299"/>
      <c r="K27" s="167">
        <v>12.55</v>
      </c>
      <c r="L27" s="168">
        <v>21</v>
      </c>
      <c r="M27" s="11"/>
      <c r="N27" s="125"/>
      <c r="O27" s="124">
        <f t="shared" si="19"/>
        <v>12.916666666666668</v>
      </c>
      <c r="P27" s="73">
        <f t="shared" si="19"/>
        <v>21</v>
      </c>
      <c r="Q27" s="73">
        <f t="shared" si="20"/>
        <v>0</v>
      </c>
      <c r="R27" s="73">
        <f t="shared" si="21"/>
        <v>0</v>
      </c>
      <c r="S27" s="73">
        <v>0.2</v>
      </c>
      <c r="T27" s="73">
        <f t="shared" si="22"/>
        <v>0.33333333333333337</v>
      </c>
      <c r="U27" s="12">
        <f t="shared" si="7"/>
        <v>7.7499999999999991</v>
      </c>
      <c r="V27" s="146">
        <f t="shared" si="8"/>
        <v>0</v>
      </c>
      <c r="W27" s="114">
        <f t="shared" si="9"/>
        <v>7.7499999999999991</v>
      </c>
      <c r="X27" s="144" t="str">
        <f>+IF(D27="cp",(I27*'Récapitulatif '!$AJ$3),"")</f>
        <v/>
      </c>
      <c r="Y27" s="251">
        <f t="shared" si="10"/>
        <v>0</v>
      </c>
      <c r="Z27" s="145" t="str">
        <f t="shared" si="11"/>
        <v/>
      </c>
      <c r="AA27" s="166" t="str">
        <f t="shared" si="12"/>
        <v/>
      </c>
      <c r="AB27" s="258" t="str">
        <f t="shared" si="24"/>
        <v/>
      </c>
      <c r="AC27" s="316" t="str">
        <f t="shared" si="13"/>
        <v/>
      </c>
      <c r="AD27" s="315" t="str">
        <f t="shared" si="14"/>
        <v/>
      </c>
      <c r="AE27" s="543" t="str">
        <f t="shared" si="15"/>
        <v/>
      </c>
      <c r="AF27" s="316" t="str">
        <f>+IF(AND(WEEKDAY(C27)=7,$C$4:$C$33=$C$57),"",IF(AND(WEEKDAY(C27)=1,$C$4:$C$33=$C$57),"",IF($C$4:$C$33=$C$57,'Récapitulatif '!$AJ$3,"")))</f>
        <v/>
      </c>
      <c r="AG27" s="543" t="str">
        <f t="shared" si="16"/>
        <v/>
      </c>
      <c r="AH27" s="218">
        <f t="shared" si="17"/>
        <v>1</v>
      </c>
      <c r="AI27" s="13" t="str">
        <f t="shared" si="18"/>
        <v/>
      </c>
    </row>
    <row r="28" spans="1:38" ht="13.5" thickBot="1">
      <c r="A28" s="482" t="str">
        <f>IF(WEEKDAY(C28,2)=1,INT((C28-SUM(MOD(DATE(YEAR(C28-MOD(C28-2,7)+3),1,2),{1E+99;7})*{1;-1})+5)/7),"")</f>
        <v/>
      </c>
      <c r="B28" s="482" t="str">
        <f t="shared" si="0"/>
        <v/>
      </c>
      <c r="C28" s="487">
        <f t="shared" si="23"/>
        <v>43641</v>
      </c>
      <c r="D28" s="575" t="s">
        <v>202</v>
      </c>
      <c r="E28" s="613" t="str">
        <f t="shared" si="1"/>
        <v/>
      </c>
      <c r="F28" s="613" t="str">
        <f t="shared" si="2"/>
        <v/>
      </c>
      <c r="G28" s="445" t="s">
        <v>184</v>
      </c>
      <c r="H28" s="299">
        <f t="shared" si="3"/>
        <v>1</v>
      </c>
      <c r="I28" s="299" t="str">
        <f t="shared" si="4"/>
        <v/>
      </c>
      <c r="J28" s="299"/>
      <c r="K28" s="167">
        <v>12.55</v>
      </c>
      <c r="L28" s="168">
        <v>21</v>
      </c>
      <c r="M28" s="11"/>
      <c r="N28" s="125"/>
      <c r="O28" s="124">
        <f t="shared" si="19"/>
        <v>12.916666666666668</v>
      </c>
      <c r="P28" s="73">
        <f t="shared" si="19"/>
        <v>21</v>
      </c>
      <c r="Q28" s="73">
        <f t="shared" si="20"/>
        <v>0</v>
      </c>
      <c r="R28" s="73">
        <f t="shared" si="21"/>
        <v>0</v>
      </c>
      <c r="S28" s="73">
        <v>0.2</v>
      </c>
      <c r="T28" s="73">
        <f t="shared" si="22"/>
        <v>0.33333333333333337</v>
      </c>
      <c r="U28" s="12">
        <f t="shared" si="7"/>
        <v>7.7499999999999991</v>
      </c>
      <c r="V28" s="146">
        <f t="shared" si="8"/>
        <v>0</v>
      </c>
      <c r="W28" s="114">
        <f t="shared" si="9"/>
        <v>7.7499999999999991</v>
      </c>
      <c r="X28" s="144" t="str">
        <f>+IF(D28="cp",(I28*'Récapitulatif '!$AJ$3),"")</f>
        <v/>
      </c>
      <c r="Y28" s="251">
        <f t="shared" si="10"/>
        <v>0</v>
      </c>
      <c r="Z28" s="145" t="str">
        <f t="shared" si="11"/>
        <v/>
      </c>
      <c r="AA28" s="166" t="str">
        <f t="shared" si="12"/>
        <v/>
      </c>
      <c r="AB28" s="258" t="str">
        <f t="shared" si="24"/>
        <v/>
      </c>
      <c r="AC28" s="316" t="str">
        <f t="shared" si="13"/>
        <v/>
      </c>
      <c r="AD28" s="315" t="str">
        <f t="shared" si="14"/>
        <v/>
      </c>
      <c r="AE28" s="543" t="str">
        <f t="shared" si="15"/>
        <v/>
      </c>
      <c r="AF28" s="316" t="str">
        <f>+IF(AND(WEEKDAY(C28)=7,$C$4:$C$33=$C$57),"",IF(AND(WEEKDAY(C28)=1,$C$4:$C$33=$C$57),"",IF($C$4:$C$33=$C$57,'Récapitulatif '!$AJ$3,"")))</f>
        <v/>
      </c>
      <c r="AG28" s="543" t="str">
        <f t="shared" si="16"/>
        <v/>
      </c>
      <c r="AH28" s="218">
        <f t="shared" si="17"/>
        <v>1</v>
      </c>
      <c r="AI28" s="13" t="str">
        <f t="shared" si="18"/>
        <v/>
      </c>
    </row>
    <row r="29" spans="1:38" ht="13.5" thickBot="1">
      <c r="A29" s="482" t="str">
        <f>IF(WEEKDAY(C29,2)=1,INT((C29-SUM(MOD(DATE(YEAR(C29-MOD(C29-2,7)+3),1,2),{1E+99;7})*{1;-1})+5)/7),"")</f>
        <v/>
      </c>
      <c r="B29" s="482" t="str">
        <f t="shared" si="0"/>
        <v/>
      </c>
      <c r="C29" s="487">
        <f t="shared" si="23"/>
        <v>43642</v>
      </c>
      <c r="D29" s="575" t="s">
        <v>202</v>
      </c>
      <c r="E29" s="613" t="str">
        <f t="shared" si="1"/>
        <v/>
      </c>
      <c r="F29" s="613" t="str">
        <f t="shared" si="2"/>
        <v/>
      </c>
      <c r="G29" s="445" t="s">
        <v>184</v>
      </c>
      <c r="H29" s="299">
        <f t="shared" si="3"/>
        <v>1</v>
      </c>
      <c r="I29" s="299" t="str">
        <f t="shared" si="4"/>
        <v/>
      </c>
      <c r="J29" s="299"/>
      <c r="K29" s="167">
        <v>12.55</v>
      </c>
      <c r="L29" s="168">
        <v>21</v>
      </c>
      <c r="M29" s="11"/>
      <c r="N29" s="125"/>
      <c r="O29" s="124">
        <f t="shared" si="19"/>
        <v>12.916666666666668</v>
      </c>
      <c r="P29" s="73">
        <f t="shared" si="19"/>
        <v>21</v>
      </c>
      <c r="Q29" s="73">
        <f t="shared" si="20"/>
        <v>0</v>
      </c>
      <c r="R29" s="73">
        <f t="shared" si="21"/>
        <v>0</v>
      </c>
      <c r="S29" s="73">
        <v>0.2</v>
      </c>
      <c r="T29" s="73">
        <f t="shared" si="22"/>
        <v>0.33333333333333337</v>
      </c>
      <c r="U29" s="12">
        <f t="shared" si="7"/>
        <v>7.7499999999999991</v>
      </c>
      <c r="V29" s="146">
        <f t="shared" si="8"/>
        <v>0</v>
      </c>
      <c r="W29" s="114">
        <f t="shared" si="9"/>
        <v>7.7499999999999991</v>
      </c>
      <c r="X29" s="144" t="str">
        <f>+IF(D29="cp",(I29*'Récapitulatif '!$AJ$3),"")</f>
        <v/>
      </c>
      <c r="Y29" s="251">
        <f t="shared" si="10"/>
        <v>0</v>
      </c>
      <c r="Z29" s="145" t="str">
        <f t="shared" si="11"/>
        <v/>
      </c>
      <c r="AA29" s="166" t="str">
        <f t="shared" si="12"/>
        <v/>
      </c>
      <c r="AB29" s="258" t="str">
        <f t="shared" si="24"/>
        <v/>
      </c>
      <c r="AC29" s="316" t="str">
        <f t="shared" si="13"/>
        <v/>
      </c>
      <c r="AD29" s="315" t="str">
        <f t="shared" si="14"/>
        <v/>
      </c>
      <c r="AE29" s="543" t="str">
        <f t="shared" si="15"/>
        <v/>
      </c>
      <c r="AF29" s="316" t="str">
        <f>+IF(AND(WEEKDAY(C29)=7,$C$4:$C$33=$C$57),"",IF(AND(WEEKDAY(C29)=1,$C$4:$C$33=$C$57),"",IF($C$4:$C$33=$C$57,'Récapitulatif '!$AJ$3,"")))</f>
        <v/>
      </c>
      <c r="AG29" s="543" t="str">
        <f t="shared" si="16"/>
        <v/>
      </c>
      <c r="AH29" s="218">
        <f t="shared" si="17"/>
        <v>1</v>
      </c>
      <c r="AI29" s="13" t="str">
        <f t="shared" si="18"/>
        <v/>
      </c>
    </row>
    <row r="30" spans="1:38" ht="13.5" thickBot="1">
      <c r="A30" s="482" t="str">
        <f>IF(WEEKDAY(C30,2)=1,INT((C30-SUM(MOD(DATE(YEAR(C30-MOD(C30-2,7)+3),1,2),{1E+99;7})*{1;-1})+5)/7),"")</f>
        <v/>
      </c>
      <c r="B30" s="482" t="str">
        <f t="shared" si="0"/>
        <v/>
      </c>
      <c r="C30" s="487">
        <f t="shared" si="23"/>
        <v>43643</v>
      </c>
      <c r="D30" s="575" t="s">
        <v>202</v>
      </c>
      <c r="E30" s="613" t="str">
        <f t="shared" si="1"/>
        <v/>
      </c>
      <c r="F30" s="613" t="str">
        <f t="shared" si="2"/>
        <v/>
      </c>
      <c r="G30" s="445" t="s">
        <v>184</v>
      </c>
      <c r="H30" s="299">
        <f t="shared" si="3"/>
        <v>1</v>
      </c>
      <c r="I30" s="299" t="str">
        <f t="shared" si="4"/>
        <v/>
      </c>
      <c r="J30" s="299"/>
      <c r="K30" s="167">
        <v>12.55</v>
      </c>
      <c r="L30" s="168">
        <v>21</v>
      </c>
      <c r="M30" s="11"/>
      <c r="N30" s="125"/>
      <c r="O30" s="124">
        <f t="shared" si="19"/>
        <v>12.916666666666668</v>
      </c>
      <c r="P30" s="73">
        <f t="shared" si="19"/>
        <v>21</v>
      </c>
      <c r="Q30" s="73">
        <f t="shared" si="20"/>
        <v>0</v>
      </c>
      <c r="R30" s="73">
        <f t="shared" si="21"/>
        <v>0</v>
      </c>
      <c r="S30" s="73">
        <v>0.2</v>
      </c>
      <c r="T30" s="73">
        <f t="shared" si="22"/>
        <v>0.33333333333333337</v>
      </c>
      <c r="U30" s="12">
        <f t="shared" si="7"/>
        <v>7.7499999999999991</v>
      </c>
      <c r="V30" s="146">
        <f t="shared" si="8"/>
        <v>0</v>
      </c>
      <c r="W30" s="114">
        <f t="shared" si="9"/>
        <v>7.7499999999999991</v>
      </c>
      <c r="X30" s="144" t="str">
        <f>+IF(D30="cp",(I30*'Récapitulatif '!$AJ$3),"")</f>
        <v/>
      </c>
      <c r="Y30" s="251">
        <f t="shared" si="10"/>
        <v>0</v>
      </c>
      <c r="Z30" s="145" t="str">
        <f t="shared" si="11"/>
        <v/>
      </c>
      <c r="AA30" s="166" t="str">
        <f t="shared" si="12"/>
        <v/>
      </c>
      <c r="AB30" s="258" t="str">
        <f t="shared" si="24"/>
        <v/>
      </c>
      <c r="AC30" s="316" t="str">
        <f t="shared" si="13"/>
        <v/>
      </c>
      <c r="AD30" s="315" t="str">
        <f t="shared" si="14"/>
        <v/>
      </c>
      <c r="AE30" s="543" t="str">
        <f t="shared" si="15"/>
        <v/>
      </c>
      <c r="AF30" s="316" t="str">
        <f>+IF(AND(WEEKDAY(C30)=7,$C$4:$C$33=$C$57),"",IF(AND(WEEKDAY(C30)=1,$C$4:$C$33=$C$57),"",IF($C$4:$C$33=$C$57,'Récapitulatif '!$AJ$3,"")))</f>
        <v/>
      </c>
      <c r="AG30" s="543" t="str">
        <f t="shared" si="16"/>
        <v/>
      </c>
      <c r="AH30" s="218">
        <f t="shared" si="17"/>
        <v>1</v>
      </c>
      <c r="AI30" s="13" t="str">
        <f t="shared" si="18"/>
        <v/>
      </c>
    </row>
    <row r="31" spans="1:38" ht="13.5" thickBot="1">
      <c r="A31" s="482" t="str">
        <f>IF(WEEKDAY(C31,2)=1,INT((C31-SUM(MOD(DATE(YEAR(C31-MOD(C31-2,7)+3),1,2),{1E+99;7})*{1;-1})+5)/7),"")</f>
        <v/>
      </c>
      <c r="B31" s="482" t="str">
        <f t="shared" si="0"/>
        <v/>
      </c>
      <c r="C31" s="487">
        <f t="shared" si="23"/>
        <v>43644</v>
      </c>
      <c r="D31" s="575" t="s">
        <v>202</v>
      </c>
      <c r="E31" s="613" t="str">
        <f t="shared" si="1"/>
        <v/>
      </c>
      <c r="F31" s="613" t="str">
        <f t="shared" si="2"/>
        <v/>
      </c>
      <c r="G31" s="445" t="s">
        <v>184</v>
      </c>
      <c r="H31" s="299">
        <f t="shared" si="3"/>
        <v>1</v>
      </c>
      <c r="I31" s="299" t="str">
        <f t="shared" si="4"/>
        <v/>
      </c>
      <c r="J31" s="299"/>
      <c r="K31" s="167">
        <v>12.55</v>
      </c>
      <c r="L31" s="168">
        <v>18.2</v>
      </c>
      <c r="M31" s="11"/>
      <c r="N31" s="125"/>
      <c r="O31" s="124">
        <f t="shared" si="19"/>
        <v>12.916666666666668</v>
      </c>
      <c r="P31" s="73">
        <f t="shared" si="19"/>
        <v>18.333333333333332</v>
      </c>
      <c r="Q31" s="73">
        <f t="shared" si="20"/>
        <v>0</v>
      </c>
      <c r="R31" s="73">
        <f t="shared" si="21"/>
        <v>0</v>
      </c>
      <c r="S31" s="73">
        <v>0.2</v>
      </c>
      <c r="T31" s="73">
        <f t="shared" si="22"/>
        <v>0.33333333333333337</v>
      </c>
      <c r="U31" s="12">
        <f t="shared" si="7"/>
        <v>5.0833333333333313</v>
      </c>
      <c r="V31" s="146">
        <f t="shared" si="8"/>
        <v>0</v>
      </c>
      <c r="W31" s="114">
        <f t="shared" si="9"/>
        <v>5.4166666666666643</v>
      </c>
      <c r="X31" s="144" t="str">
        <f>+IF(D31="cp",(I31*'Récapitulatif '!$AJ$3),"")</f>
        <v/>
      </c>
      <c r="Y31" s="251">
        <f t="shared" si="10"/>
        <v>0</v>
      </c>
      <c r="Z31" s="145" t="str">
        <f t="shared" si="11"/>
        <v/>
      </c>
      <c r="AA31" s="166" t="str">
        <f t="shared" si="12"/>
        <v/>
      </c>
      <c r="AB31" s="258" t="str">
        <f t="shared" si="24"/>
        <v/>
      </c>
      <c r="AC31" s="316" t="str">
        <f t="shared" si="13"/>
        <v/>
      </c>
      <c r="AD31" s="315" t="str">
        <f t="shared" si="14"/>
        <v/>
      </c>
      <c r="AE31" s="543" t="str">
        <f t="shared" si="15"/>
        <v/>
      </c>
      <c r="AF31" s="316" t="str">
        <f>+IF(AND(WEEKDAY(C31)=7,$C$4:$C$33=$C$57),"",IF(AND(WEEKDAY(C31)=1,$C$4:$C$33=$C$57),"",IF($C$4:$C$33=$C$57,'Récapitulatif '!$AJ$3,"")))</f>
        <v/>
      </c>
      <c r="AG31" s="543" t="str">
        <f t="shared" si="16"/>
        <v/>
      </c>
      <c r="AH31" s="218" t="str">
        <f t="shared" si="17"/>
        <v/>
      </c>
      <c r="AI31" s="13" t="str">
        <f t="shared" si="18"/>
        <v/>
      </c>
    </row>
    <row r="32" spans="1:38" ht="13.5" thickBot="1">
      <c r="A32" s="482" t="str">
        <f>IF(WEEKDAY(C32,2)=1,INT((C32-SUM(MOD(DATE(YEAR(C32-MOD(C32-2,7)+3),1,2),{1E+99;7})*{1;-1})+5)/7),"")</f>
        <v/>
      </c>
      <c r="B32" s="482" t="str">
        <f t="shared" si="0"/>
        <v/>
      </c>
      <c r="C32" s="487">
        <f>+IF(MONTH(C$31+1)=MONTH(C$31)+1,"",C$31+1)</f>
        <v>43645</v>
      </c>
      <c r="D32" s="485"/>
      <c r="E32" s="613" t="str">
        <f t="shared" si="1"/>
        <v/>
      </c>
      <c r="F32" s="613" t="str">
        <f t="shared" si="2"/>
        <v/>
      </c>
      <c r="G32" s="445"/>
      <c r="H32" s="299" t="str">
        <f t="shared" si="3"/>
        <v/>
      </c>
      <c r="I32" s="299" t="str">
        <f t="shared" si="4"/>
        <v/>
      </c>
      <c r="J32" s="299"/>
      <c r="K32" s="86"/>
      <c r="L32" s="11"/>
      <c r="M32" s="11"/>
      <c r="N32" s="125"/>
      <c r="O32" s="124">
        <f t="shared" si="19"/>
        <v>0</v>
      </c>
      <c r="P32" s="73">
        <f t="shared" si="19"/>
        <v>0</v>
      </c>
      <c r="Q32" s="73">
        <f t="shared" si="20"/>
        <v>0</v>
      </c>
      <c r="R32" s="73">
        <f t="shared" si="21"/>
        <v>0</v>
      </c>
      <c r="S32" s="73">
        <v>0.2</v>
      </c>
      <c r="T32" s="73">
        <f t="shared" si="22"/>
        <v>0.33333333333333337</v>
      </c>
      <c r="U32" s="12" t="str">
        <f t="shared" si="7"/>
        <v/>
      </c>
      <c r="V32" s="146" t="e">
        <f t="shared" si="8"/>
        <v>#VALUE!</v>
      </c>
      <c r="W32" s="114" t="str">
        <f t="shared" si="9"/>
        <v/>
      </c>
      <c r="X32" s="144" t="str">
        <f>+IF(D32="cp",(I32*'Récapitulatif '!$AJ$3),"")</f>
        <v/>
      </c>
      <c r="Y32" s="251" t="str">
        <f t="shared" si="10"/>
        <v/>
      </c>
      <c r="Z32" s="145" t="str">
        <f t="shared" si="11"/>
        <v/>
      </c>
      <c r="AA32" s="166" t="str">
        <f t="shared" si="12"/>
        <v/>
      </c>
      <c r="AB32" s="258" t="str">
        <f t="shared" si="24"/>
        <v/>
      </c>
      <c r="AC32" s="316" t="str">
        <f t="shared" si="13"/>
        <v/>
      </c>
      <c r="AD32" s="315" t="str">
        <f t="shared" si="14"/>
        <v/>
      </c>
      <c r="AE32" s="543" t="str">
        <f t="shared" si="15"/>
        <v/>
      </c>
      <c r="AF32" s="316" t="str">
        <f>+IF(AND(WEEKDAY(C32)=7,$C$4:$C$33=$C$57),"",IF(AND(WEEKDAY(C32)=1,$C$4:$C$33=$C$57),"",IF($C$4:$C$33=$C$57,'Récapitulatif '!$AJ$3,"")))</f>
        <v/>
      </c>
      <c r="AG32" s="543" t="str">
        <f t="shared" si="16"/>
        <v/>
      </c>
      <c r="AH32" s="218" t="str">
        <f t="shared" si="17"/>
        <v/>
      </c>
      <c r="AI32" s="13" t="str">
        <f t="shared" si="18"/>
        <v/>
      </c>
    </row>
    <row r="33" spans="1:39" ht="13.5" thickBot="1">
      <c r="A33" s="482" t="str">
        <f>IF(WEEKDAY(C33,2)=1,INT((C33-SUM(MOD(DATE(YEAR(C33-MOD(C33-2,7)+3),1,2),{1E+99;7})*{1;-1})+5)/7),"")</f>
        <v/>
      </c>
      <c r="B33" s="482" t="str">
        <f t="shared" si="0"/>
        <v/>
      </c>
      <c r="C33" s="488">
        <f>+IF(MONTH(C$31+2)=MONTH(C$31)+1,"",C$31+2)</f>
        <v>43646</v>
      </c>
      <c r="D33" s="577"/>
      <c r="E33" s="613" t="str">
        <f t="shared" si="1"/>
        <v/>
      </c>
      <c r="F33" s="613" t="str">
        <f t="shared" si="2"/>
        <v/>
      </c>
      <c r="G33" s="447"/>
      <c r="H33" s="300" t="str">
        <f t="shared" si="3"/>
        <v/>
      </c>
      <c r="I33" s="300" t="str">
        <f t="shared" si="4"/>
        <v/>
      </c>
      <c r="J33" s="300"/>
      <c r="K33" s="87"/>
      <c r="L33" s="14"/>
      <c r="M33" s="14"/>
      <c r="N33" s="126"/>
      <c r="O33" s="201">
        <f t="shared" si="19"/>
        <v>0</v>
      </c>
      <c r="P33" s="202">
        <f t="shared" si="19"/>
        <v>0</v>
      </c>
      <c r="Q33" s="202">
        <f t="shared" si="20"/>
        <v>0</v>
      </c>
      <c r="R33" s="202">
        <f t="shared" si="21"/>
        <v>0</v>
      </c>
      <c r="S33" s="202">
        <v>0.2</v>
      </c>
      <c r="T33" s="202">
        <f t="shared" si="22"/>
        <v>0.33333333333333337</v>
      </c>
      <c r="U33" s="203" t="str">
        <f t="shared" si="7"/>
        <v/>
      </c>
      <c r="V33" s="146" t="e">
        <f t="shared" si="8"/>
        <v>#VALUE!</v>
      </c>
      <c r="W33" s="115" t="str">
        <f t="shared" si="9"/>
        <v/>
      </c>
      <c r="X33" s="250" t="str">
        <f>+IF(D33="cp",(I33*'Récapitulatif '!$AJ$3),"")</f>
        <v/>
      </c>
      <c r="Y33" s="164" t="str">
        <f t="shared" si="10"/>
        <v/>
      </c>
      <c r="Z33" s="252" t="str">
        <f t="shared" si="11"/>
        <v/>
      </c>
      <c r="AA33" s="253" t="str">
        <f t="shared" si="12"/>
        <v/>
      </c>
      <c r="AB33" s="480">
        <f t="shared" si="24"/>
        <v>36.416666666666657</v>
      </c>
      <c r="AC33" s="317" t="str">
        <f t="shared" si="13"/>
        <v/>
      </c>
      <c r="AD33" s="318" t="str">
        <f t="shared" si="14"/>
        <v/>
      </c>
      <c r="AE33" s="544" t="str">
        <f t="shared" si="15"/>
        <v/>
      </c>
      <c r="AF33" s="317" t="str">
        <f>+IF(AND(WEEKDAY(C33)=7,$C$4:$C$33=$C$57),"",IF(AND(WEEKDAY(C33)=1,$C$4:$C$33=$C$57),"",IF($C$4:$C$33=$C$57,'Récapitulatif '!$AJ$3,"")))</f>
        <v/>
      </c>
      <c r="AG33" s="544" t="str">
        <f t="shared" si="16"/>
        <v/>
      </c>
      <c r="AH33" s="219" t="str">
        <f t="shared" si="17"/>
        <v/>
      </c>
      <c r="AI33" s="15" t="str">
        <f t="shared" si="18"/>
        <v/>
      </c>
    </row>
    <row r="34" spans="1:39" ht="13.5" hidden="1" customHeight="1" thickBot="1">
      <c r="A34" s="482" t="str">
        <f>IF(WEEKDAY(C34,2)=1,INT((C34-SUM(MOD(DATE(YEAR(C34-MOD(C34-2,7)+3),1,2),{1E+99;7})*{1;-1})+5)/7),"")</f>
        <v/>
      </c>
      <c r="B34" s="482"/>
      <c r="C34" s="191"/>
      <c r="D34" s="192"/>
      <c r="E34" s="613" t="str">
        <f t="shared" si="1"/>
        <v/>
      </c>
      <c r="F34" s="615"/>
      <c r="G34" s="192"/>
      <c r="H34" s="193"/>
      <c r="I34" s="321" t="str">
        <f t="shared" si="4"/>
        <v/>
      </c>
      <c r="J34" s="193"/>
      <c r="K34" s="194"/>
      <c r="L34" s="194"/>
      <c r="M34" s="194"/>
      <c r="N34" s="194"/>
      <c r="O34" s="195"/>
      <c r="P34" s="195"/>
      <c r="Q34" s="195"/>
      <c r="R34" s="195"/>
      <c r="S34" s="195"/>
      <c r="T34" s="195"/>
      <c r="U34" s="196"/>
      <c r="V34" s="196"/>
      <c r="W34" s="197"/>
      <c r="X34" s="197"/>
      <c r="Y34" s="197"/>
      <c r="Z34" s="198"/>
      <c r="AA34" s="198"/>
      <c r="AB34" s="477">
        <f>+IF(WEEKDAY(C26)=1,SUM(W27:X33),IF(WEEKDAY(C27)=1,SUM(W28:X33),IF(WEEKDAY(C28)=1,SUM(W29:X33),IF(WEEKDAY(C29)=1,SUM(W30:X33),IF(WEEKDAY(C30)=1,SUM(W31:X33),IF(WEEKDAY(C31)=1,SUM(W32:X33),IF(WEEKDAY(C32)=1,SUM(W32:X32),"")))))))</f>
        <v>36.416666666666657</v>
      </c>
      <c r="AC34" s="199"/>
      <c r="AD34" s="199"/>
      <c r="AE34" s="214" t="e">
        <f>+IF(OR($C$4:$C$33=($C$57),$C$4:$C$33=$C$58),W34,"")</f>
        <v>#VALUE!</v>
      </c>
      <c r="AF34" s="268" t="e">
        <f>+IF(OR($C$4:$C$33=($C$57),$C$4:$C$33=$C$58),'Récapitulatif '!$AJ$3,"")</f>
        <v>#VALUE!</v>
      </c>
      <c r="AG34" s="264" t="e">
        <f t="shared" si="16"/>
        <v>#VALUE!</v>
      </c>
      <c r="AH34" s="200"/>
      <c r="AI34" s="200"/>
    </row>
    <row r="35" spans="1:39" ht="10.5" customHeight="1" thickBot="1">
      <c r="D35" s="77"/>
      <c r="E35" s="77"/>
      <c r="F35" s="77"/>
      <c r="G35" s="77"/>
      <c r="L35" s="78"/>
      <c r="M35" s="78"/>
      <c r="N35" s="78"/>
      <c r="U35" s="17"/>
      <c r="V35" s="17"/>
      <c r="W35" s="17"/>
      <c r="X35" s="17"/>
      <c r="Y35" s="17"/>
      <c r="Z35" s="17"/>
      <c r="AA35" s="17"/>
      <c r="AB35" s="152"/>
      <c r="AC35" s="17"/>
      <c r="AD35" s="17"/>
      <c r="AE35" s="79"/>
      <c r="AF35" s="79"/>
      <c r="AG35" s="79"/>
    </row>
    <row r="36" spans="1:39" ht="18.75" thickBot="1">
      <c r="C36" s="158" t="s">
        <v>85</v>
      </c>
      <c r="D36" s="18">
        <f>+SUM(I4:I33)</f>
        <v>0</v>
      </c>
      <c r="E36" s="609"/>
      <c r="F36" s="609"/>
      <c r="G36" s="836" t="s">
        <v>206</v>
      </c>
      <c r="H36" s="837"/>
      <c r="I36" s="837"/>
      <c r="J36" s="837"/>
      <c r="K36" s="616">
        <f>SUM(E4:E33)</f>
        <v>2</v>
      </c>
      <c r="M36" s="22"/>
      <c r="N36" s="20" t="s">
        <v>8</v>
      </c>
      <c r="O36" s="21"/>
      <c r="P36" s="21"/>
      <c r="Q36" s="21"/>
      <c r="R36" s="21"/>
      <c r="S36" s="22"/>
      <c r="T36" s="22"/>
      <c r="V36" s="19"/>
      <c r="W36" s="116">
        <f>+SUM(W4:W33)</f>
        <v>162.66666666666666</v>
      </c>
      <c r="X36" s="151"/>
      <c r="Y36" s="117">
        <f>SUM(Y4:Y33)</f>
        <v>45.666666666666671</v>
      </c>
      <c r="Z36" s="151">
        <f>SUM(Z4:Z33)</f>
        <v>0</v>
      </c>
      <c r="AA36" s="151">
        <f>+SUM(AA4:AA33)-Z36</f>
        <v>5</v>
      </c>
      <c r="AC36" s="121">
        <f t="shared" ref="AC36:AI36" si="25">SUM(AC4:AC33)</f>
        <v>0</v>
      </c>
      <c r="AD36" s="122">
        <f t="shared" si="25"/>
        <v>18.333333333333332</v>
      </c>
      <c r="AE36" s="301">
        <f t="shared" si="25"/>
        <v>7.666666666666667</v>
      </c>
      <c r="AF36" s="301">
        <f t="shared" si="25"/>
        <v>0</v>
      </c>
      <c r="AG36" s="123">
        <f t="shared" si="25"/>
        <v>7.666666666666667</v>
      </c>
      <c r="AH36" s="267">
        <f t="shared" si="25"/>
        <v>15</v>
      </c>
      <c r="AI36" s="23">
        <f t="shared" si="25"/>
        <v>5</v>
      </c>
    </row>
    <row r="37" spans="1:39" ht="6" customHeight="1" thickBot="1">
      <c r="G37" s="442"/>
      <c r="K37" s="362"/>
      <c r="AL37" s="7"/>
    </row>
    <row r="38" spans="1:39" ht="18" customHeight="1" thickBot="1">
      <c r="C38" s="158" t="s">
        <v>92</v>
      </c>
      <c r="D38" s="18">
        <f>+SUM(H4:H33)</f>
        <v>21</v>
      </c>
      <c r="E38" s="609"/>
      <c r="F38" s="609"/>
      <c r="G38" s="836" t="s">
        <v>207</v>
      </c>
      <c r="H38" s="837"/>
      <c r="I38" s="837"/>
      <c r="J38" s="837"/>
      <c r="K38" s="616">
        <f>SUM(F4:F33)</f>
        <v>1</v>
      </c>
      <c r="M38" s="580" t="s">
        <v>197</v>
      </c>
      <c r="N38" s="583" t="s">
        <v>5</v>
      </c>
      <c r="O38" s="584"/>
      <c r="P38" s="584"/>
      <c r="Q38" s="584"/>
      <c r="R38" s="584"/>
      <c r="S38" s="584"/>
      <c r="T38" s="584"/>
      <c r="U38" s="584"/>
      <c r="V38" s="584"/>
      <c r="W38" s="584" t="s">
        <v>199</v>
      </c>
      <c r="X38" s="584"/>
      <c r="Y38" s="584" t="s">
        <v>79</v>
      </c>
      <c r="Z38" s="585"/>
      <c r="AA38" s="585"/>
      <c r="AB38" s="584" t="s">
        <v>198</v>
      </c>
      <c r="AD38" s="24"/>
      <c r="AE38" s="1"/>
      <c r="AF38" s="1"/>
      <c r="AG38" s="1"/>
    </row>
    <row r="39" spans="1:39" ht="13.5" thickBot="1">
      <c r="C39" s="74"/>
      <c r="D39" s="75"/>
      <c r="E39" s="614"/>
      <c r="F39" s="614"/>
      <c r="G39" s="75"/>
      <c r="AJ39" s="7"/>
      <c r="AK39" s="7"/>
      <c r="AM39" s="7"/>
    </row>
    <row r="40" spans="1:39" ht="13.5" thickBot="1">
      <c r="C40" s="449" t="s">
        <v>187</v>
      </c>
      <c r="D40" s="450">
        <f>SUMIF(G4:G33,"Pasto",W4:W33)</f>
        <v>162.66666666666666</v>
      </c>
      <c r="E40" s="610"/>
      <c r="F40" s="610"/>
      <c r="K40" s="808" t="s">
        <v>81</v>
      </c>
      <c r="L40" s="809"/>
      <c r="M40" s="810"/>
      <c r="N40" s="891" t="s">
        <v>57</v>
      </c>
      <c r="O40" s="811"/>
      <c r="P40" s="811"/>
      <c r="Q40" s="811"/>
      <c r="R40" s="811"/>
      <c r="S40" s="811"/>
      <c r="T40" s="811"/>
      <c r="U40" s="811"/>
      <c r="V40" s="811"/>
      <c r="W40" s="812"/>
      <c r="X40" s="159"/>
      <c r="Y40" s="81">
        <f>+($AA$36*10)/60</f>
        <v>0.83333333333333337</v>
      </c>
      <c r="Z40" s="81"/>
      <c r="AA40" s="81"/>
      <c r="AB40" s="80" t="s">
        <v>55</v>
      </c>
      <c r="AC40" s="586">
        <f>SUM(J4:J33)*7</f>
        <v>0</v>
      </c>
      <c r="AD40" s="80" t="s">
        <v>56</v>
      </c>
      <c r="AE40" s="95">
        <v>45.73</v>
      </c>
      <c r="AF40" s="109"/>
      <c r="AG40" s="109"/>
      <c r="AI40" s="7" t="s">
        <v>15</v>
      </c>
      <c r="AJ40" s="7" t="s">
        <v>193</v>
      </c>
    </row>
    <row r="41" spans="1:39" s="7" customFormat="1">
      <c r="B41" s="579"/>
      <c r="C41" s="460" t="s">
        <v>188</v>
      </c>
      <c r="D41" s="461">
        <f>SUMIF(G4:G33,"Prépa",W4:W33)</f>
        <v>0</v>
      </c>
      <c r="E41" s="610"/>
      <c r="F41" s="610"/>
      <c r="G41" s="1"/>
      <c r="H41" s="26"/>
      <c r="I41" s="26"/>
      <c r="J41" s="26"/>
      <c r="K41" s="109"/>
      <c r="M41" s="108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41"/>
      <c r="AC41" s="1"/>
      <c r="AD41" s="1"/>
      <c r="AE41" s="24"/>
      <c r="AF41" s="273"/>
      <c r="AG41" s="273"/>
      <c r="AH41" s="505" t="s">
        <v>79</v>
      </c>
      <c r="AI41" s="508">
        <f ca="1">SUMIF($D$4:$D$33,"M",$W$4:$W$24)</f>
        <v>54.083333333333336</v>
      </c>
      <c r="AJ41" s="505">
        <f>COUNTIF($D$4:$D$33,"M")</f>
        <v>7</v>
      </c>
      <c r="AK41" s="1"/>
      <c r="AL41" s="1"/>
      <c r="AM41" s="1"/>
    </row>
    <row r="42" spans="1:39" ht="13.5" thickBot="1">
      <c r="C42" s="451" t="s">
        <v>190</v>
      </c>
      <c r="D42" s="454">
        <f>SUMIF(G4:G33,"Divers",W4:W33)</f>
        <v>0</v>
      </c>
      <c r="E42" s="610"/>
      <c r="F42" s="610"/>
      <c r="W42" s="41"/>
      <c r="X42" s="41"/>
      <c r="AB42" s="24"/>
      <c r="AE42" s="1"/>
      <c r="AF42" s="1"/>
      <c r="AG42" s="1"/>
      <c r="AH42" s="504" t="s">
        <v>192</v>
      </c>
      <c r="AI42" s="502">
        <f ca="1">SUMIF($D$4:$D$33,"aM",$W$4:$W$24)</f>
        <v>69.916666666666657</v>
      </c>
      <c r="AJ42" s="504">
        <f>COUNTIF($D$4:$D$33,"aM")</f>
        <v>9</v>
      </c>
    </row>
    <row r="43" spans="1:39">
      <c r="H43" s="1"/>
      <c r="I43" s="1"/>
      <c r="J43" s="1"/>
      <c r="AH43" s="506" t="s">
        <v>5</v>
      </c>
      <c r="AI43" s="507">
        <f ca="1">SUMIF($D$4:$D$33,"n",$W$4:$W$24)</f>
        <v>38.666666666666664</v>
      </c>
      <c r="AJ43" s="506">
        <f>COUNTIF($D$4:$D$33,"n")</f>
        <v>5</v>
      </c>
    </row>
    <row r="46" spans="1:39">
      <c r="D46" s="265"/>
      <c r="G46" s="265"/>
    </row>
    <row r="47" spans="1:39" ht="13.5" thickBot="1"/>
    <row r="48" spans="1:39" ht="14.45" customHeight="1" thickBot="1">
      <c r="L48" s="892" t="s">
        <v>197</v>
      </c>
      <c r="M48" s="893"/>
      <c r="N48" s="854" t="s">
        <v>89</v>
      </c>
      <c r="O48" s="855"/>
      <c r="P48" s="855"/>
      <c r="Q48" s="855"/>
      <c r="R48" s="855"/>
      <c r="S48" s="855"/>
      <c r="T48" s="855"/>
      <c r="U48" s="855"/>
      <c r="V48" s="855"/>
      <c r="W48" s="855"/>
      <c r="X48" s="855"/>
      <c r="Y48" s="855"/>
      <c r="Z48" s="855"/>
      <c r="AA48" s="855"/>
      <c r="AB48" s="856"/>
    </row>
    <row r="49" spans="1:29" ht="14.45" customHeight="1">
      <c r="A49" s="742"/>
      <c r="B49" s="742"/>
      <c r="L49" s="743">
        <f>IF(WEEKDAY(N49,2)=1,INT((N49-SUM(MOD(DATE(YEAR(N49-MOD(N49-2,7)+3),1,2),{1E+99;7})*{1;-1})+5)/7),"")</f>
        <v>23</v>
      </c>
      <c r="M49" s="747" t="str">
        <f>+$Y$38</f>
        <v>Matin</v>
      </c>
      <c r="N49" s="868">
        <f>DATE(YEAR(A2),MONTH(A2),7*1)-WEEKDAY(DATE(YEAR(A2),MONTH(A2),7),3)</f>
        <v>43619</v>
      </c>
      <c r="O49" s="869"/>
      <c r="P49" s="869"/>
      <c r="Q49" s="869"/>
      <c r="R49" s="869"/>
      <c r="S49" s="869"/>
      <c r="T49" s="869"/>
      <c r="U49" s="869"/>
      <c r="V49" s="869"/>
      <c r="W49" s="869"/>
      <c r="X49" s="753"/>
      <c r="Y49" s="866">
        <f>+N49+6</f>
        <v>43625</v>
      </c>
      <c r="Z49" s="866"/>
      <c r="AA49" s="866"/>
      <c r="AB49" s="867"/>
    </row>
    <row r="50" spans="1:29" ht="14.45" customHeight="1" thickBot="1">
      <c r="L50" s="746">
        <f>IF(WEEKDAY(N50,2)=1,INT((N50-SUM(MOD(DATE(YEAR(N50-MOD(N50-2,7)+3),1,2),{1E+99;7})*{1;-1})+5)/7),"")</f>
        <v>24</v>
      </c>
      <c r="M50" s="581" t="str">
        <f>+$AB$38</f>
        <v>Mystère</v>
      </c>
      <c r="N50" s="870">
        <f>1+Y49</f>
        <v>43626</v>
      </c>
      <c r="O50" s="871"/>
      <c r="P50" s="871"/>
      <c r="Q50" s="871"/>
      <c r="R50" s="871"/>
      <c r="S50" s="871"/>
      <c r="T50" s="871"/>
      <c r="U50" s="871"/>
      <c r="V50" s="871"/>
      <c r="W50" s="871"/>
      <c r="X50" s="751"/>
      <c r="Y50" s="850">
        <f>+N50+6</f>
        <v>43632</v>
      </c>
      <c r="Z50" s="850"/>
      <c r="AA50" s="850"/>
      <c r="AB50" s="851"/>
    </row>
    <row r="51" spans="1:29" ht="14.45" customHeight="1">
      <c r="C51" s="813" t="s">
        <v>108</v>
      </c>
      <c r="D51" s="814"/>
      <c r="E51" s="814"/>
      <c r="F51" s="814"/>
      <c r="G51" s="815"/>
      <c r="L51" s="744">
        <f>IF(WEEKDAY(N51,2)=1,INT((N51-SUM(MOD(DATE(YEAR(N51-MOD(N51-2,7)+3),1,2),{1E+99;7})*{1;-1})+5)/7),"")</f>
        <v>25</v>
      </c>
      <c r="M51" s="749" t="str">
        <f>+$N$38</f>
        <v>Nuit</v>
      </c>
      <c r="N51" s="859">
        <f>1+Y50</f>
        <v>43633</v>
      </c>
      <c r="O51" s="860"/>
      <c r="P51" s="860"/>
      <c r="Q51" s="860"/>
      <c r="R51" s="860"/>
      <c r="S51" s="860"/>
      <c r="T51" s="860"/>
      <c r="U51" s="860"/>
      <c r="V51" s="860"/>
      <c r="W51" s="860"/>
      <c r="X51" s="748"/>
      <c r="Y51" s="857">
        <f t="shared" ref="Y51:Y58" si="26">+N51+6</f>
        <v>43639</v>
      </c>
      <c r="Z51" s="857"/>
      <c r="AA51" s="857"/>
      <c r="AB51" s="858"/>
    </row>
    <row r="52" spans="1:29" ht="14.45" customHeight="1" thickBot="1">
      <c r="C52" s="816">
        <f>+YEAR(A2)</f>
        <v>2019</v>
      </c>
      <c r="D52" s="817"/>
      <c r="E52" s="817"/>
      <c r="F52" s="817"/>
      <c r="G52" s="818"/>
      <c r="L52" s="746">
        <f>IF(WEEKDAY(N52,2)=1,INT((N52-SUM(MOD(DATE(YEAR(N52-MOD(N52-2,7)+3),1,2),{1E+99;7})*{1;-1})+5)/7),"")</f>
        <v>26</v>
      </c>
      <c r="M52" s="581" t="str">
        <f>+$W$38</f>
        <v>A - Midi</v>
      </c>
      <c r="N52" s="870">
        <f t="shared" ref="N52:N58" si="27">1+Y51</f>
        <v>43640</v>
      </c>
      <c r="O52" s="871"/>
      <c r="P52" s="871"/>
      <c r="Q52" s="871"/>
      <c r="R52" s="871"/>
      <c r="S52" s="871"/>
      <c r="T52" s="871"/>
      <c r="U52" s="871"/>
      <c r="V52" s="871"/>
      <c r="W52" s="871"/>
      <c r="X52" s="751"/>
      <c r="Y52" s="850">
        <f t="shared" si="26"/>
        <v>43646</v>
      </c>
      <c r="Z52" s="850"/>
      <c r="AA52" s="850"/>
      <c r="AB52" s="851"/>
    </row>
    <row r="53" spans="1:29" ht="14.45" customHeight="1">
      <c r="C53" s="687">
        <f>+DATE(C52,1,1)</f>
        <v>43466</v>
      </c>
      <c r="D53" s="688" t="s">
        <v>109</v>
      </c>
      <c r="E53" s="689"/>
      <c r="F53" s="689"/>
      <c r="G53" s="690"/>
      <c r="L53" s="744">
        <f>IF(WEEKDAY(N53,2)=1,INT((N53-SUM(MOD(DATE(YEAR(N53-MOD(N53-2,7)+3),1,2),{1E+99;7})*{1;-1})+5)/7),"")</f>
        <v>27</v>
      </c>
      <c r="M53" s="749" t="str">
        <f>+$Y$38</f>
        <v>Matin</v>
      </c>
      <c r="N53" s="859">
        <f t="shared" si="27"/>
        <v>43647</v>
      </c>
      <c r="O53" s="860"/>
      <c r="P53" s="860"/>
      <c r="Q53" s="860"/>
      <c r="R53" s="860"/>
      <c r="S53" s="860"/>
      <c r="T53" s="860"/>
      <c r="U53" s="860"/>
      <c r="V53" s="860"/>
      <c r="W53" s="860"/>
      <c r="X53" s="748"/>
      <c r="Y53" s="857">
        <f t="shared" si="26"/>
        <v>43653</v>
      </c>
      <c r="Z53" s="857"/>
      <c r="AA53" s="857"/>
      <c r="AB53" s="858"/>
      <c r="AC53" s="291"/>
    </row>
    <row r="54" spans="1:29" ht="14.45" customHeight="1">
      <c r="B54" s="802"/>
      <c r="C54" s="679">
        <f>DATE(C52,IF((25-MOD((11*MOD(C52-1900,19)+4-INT((7*MOD(C52-1900,19)+1)/19)),29)-MOD(C52-1900+INT((AE47-1900)/4)+31-MOD((11*MOD(C52-1900,19)+4-INT((7*MOD(C52-1900,19)+1)/19)),29),7))&gt;0,4,3),IF((25-MOD((11*MOD(C52-1900,19)+4-INT((7*MOD(C52-1900,19)+1)/19)),29)-MOD(C52-1900+INT((C52-1900)/4)+31-MOD((11*MOD(C52-1900,19)+4-INT((7*MOD(C52-1900,19)+1)/19)),29),7))&gt;0,(25-MOD((11*MOD(C52-1900,19)+4-INT((7*MOD(C52-1900,19)+1)/19)),29)-MOD(C52-1900+INT((C52-1900)/4)+31-MOD((11*MOD(C52-1900,19)+4-INT((7*MOD(C52-1900,19)+1)/19)),29),7)),31+(25-MOD((11*MOD(C52-1900,19)+4-INT((7*MOD(C52-1900,19)+1)/19)),29)-MOD(C52-1900+INT((C52-1900)/4)+31-MOD((11*MOD(C52-1900,19)+4-INT((7*MOD(C52-1900,19)+1)/19)),29),7))))+1</f>
        <v>43577</v>
      </c>
      <c r="D54" s="680" t="s">
        <v>110</v>
      </c>
      <c r="E54" s="681"/>
      <c r="F54" s="681"/>
      <c r="G54" s="682"/>
      <c r="L54" s="746">
        <f>IF(WEEKDAY(N54,2)=1,INT((N54-SUM(MOD(DATE(YEAR(N54-MOD(N54-2,7)+3),1,2),{1E+99;7})*{1;-1})+5)/7),"")</f>
        <v>28</v>
      </c>
      <c r="M54" s="581" t="str">
        <f>+$AB$38</f>
        <v>Mystère</v>
      </c>
      <c r="N54" s="870">
        <f t="shared" si="27"/>
        <v>43654</v>
      </c>
      <c r="O54" s="871"/>
      <c r="P54" s="871"/>
      <c r="Q54" s="871"/>
      <c r="R54" s="871"/>
      <c r="S54" s="871"/>
      <c r="T54" s="871"/>
      <c r="U54" s="871"/>
      <c r="V54" s="871"/>
      <c r="W54" s="871"/>
      <c r="X54" s="751"/>
      <c r="Y54" s="850">
        <f t="shared" si="26"/>
        <v>43660</v>
      </c>
      <c r="Z54" s="850"/>
      <c r="AA54" s="850"/>
      <c r="AB54" s="851"/>
    </row>
    <row r="55" spans="1:29" ht="14.45" customHeight="1">
      <c r="B55" s="802"/>
      <c r="C55" s="679">
        <f>DATE(C52,5,1)</f>
        <v>43586</v>
      </c>
      <c r="D55" s="680" t="s">
        <v>111</v>
      </c>
      <c r="E55" s="681"/>
      <c r="F55" s="681"/>
      <c r="G55" s="682"/>
      <c r="L55" s="744">
        <f>IF(WEEKDAY(N55,2)=1,INT((N55-SUM(MOD(DATE(YEAR(N55-MOD(N55-2,7)+3),1,2),{1E+99;7})*{1;-1})+5)/7),"")</f>
        <v>29</v>
      </c>
      <c r="M55" s="749" t="str">
        <f t="shared" ref="M55" si="28">+$N$38</f>
        <v>Nuit</v>
      </c>
      <c r="N55" s="859">
        <f t="shared" si="27"/>
        <v>43661</v>
      </c>
      <c r="O55" s="860"/>
      <c r="P55" s="860"/>
      <c r="Q55" s="860"/>
      <c r="R55" s="860"/>
      <c r="S55" s="860"/>
      <c r="T55" s="860"/>
      <c r="U55" s="860"/>
      <c r="V55" s="860"/>
      <c r="W55" s="860"/>
      <c r="X55" s="748"/>
      <c r="Y55" s="857">
        <f t="shared" si="26"/>
        <v>43667</v>
      </c>
      <c r="Z55" s="857"/>
      <c r="AA55" s="857"/>
      <c r="AB55" s="858"/>
    </row>
    <row r="56" spans="1:29" ht="14.45" customHeight="1">
      <c r="B56" s="802"/>
      <c r="C56" s="679">
        <f>DATE(C52,5,8)</f>
        <v>43593</v>
      </c>
      <c r="D56" s="680" t="s">
        <v>112</v>
      </c>
      <c r="E56" s="681"/>
      <c r="F56" s="681"/>
      <c r="G56" s="682"/>
      <c r="L56" s="746">
        <f>IF(WEEKDAY(N56,2)=1,INT((N56-SUM(MOD(DATE(YEAR(N56-MOD(N56-2,7)+3),1,2),{1E+99;7})*{1;-1})+5)/7),"")</f>
        <v>30</v>
      </c>
      <c r="M56" s="581" t="str">
        <f t="shared" ref="M56" si="29">+$W$38</f>
        <v>A - Midi</v>
      </c>
      <c r="N56" s="870">
        <f t="shared" si="27"/>
        <v>43668</v>
      </c>
      <c r="O56" s="871"/>
      <c r="P56" s="871"/>
      <c r="Q56" s="871"/>
      <c r="R56" s="871"/>
      <c r="S56" s="871"/>
      <c r="T56" s="871"/>
      <c r="U56" s="871"/>
      <c r="V56" s="871"/>
      <c r="W56" s="871"/>
      <c r="X56" s="751"/>
      <c r="Y56" s="850">
        <f t="shared" si="26"/>
        <v>43674</v>
      </c>
      <c r="Z56" s="850"/>
      <c r="AA56" s="850"/>
      <c r="AB56" s="851"/>
    </row>
    <row r="57" spans="1:29" ht="14.45" customHeight="1">
      <c r="B57" s="802"/>
      <c r="C57" s="669">
        <f>+C54+38</f>
        <v>43615</v>
      </c>
      <c r="D57" s="676" t="s">
        <v>113</v>
      </c>
      <c r="E57" s="670"/>
      <c r="F57" s="670"/>
      <c r="G57" s="671"/>
      <c r="L57" s="744">
        <f>IF(WEEKDAY(N57,2)=1,INT((N57-SUM(MOD(DATE(YEAR(N57-MOD(N57-2,7)+3),1,2),{1E+99;7})*{1;-1})+5)/7),"")</f>
        <v>31</v>
      </c>
      <c r="M57" s="749" t="str">
        <f t="shared" ref="M57" si="30">+$Y$38</f>
        <v>Matin</v>
      </c>
      <c r="N57" s="859">
        <f t="shared" si="27"/>
        <v>43675</v>
      </c>
      <c r="O57" s="860"/>
      <c r="P57" s="860"/>
      <c r="Q57" s="860"/>
      <c r="R57" s="860"/>
      <c r="S57" s="860"/>
      <c r="T57" s="860"/>
      <c r="U57" s="860"/>
      <c r="V57" s="860"/>
      <c r="W57" s="860"/>
      <c r="X57" s="748"/>
      <c r="Y57" s="857">
        <f t="shared" si="26"/>
        <v>43681</v>
      </c>
      <c r="Z57" s="857"/>
      <c r="AA57" s="857"/>
      <c r="AB57" s="858"/>
    </row>
    <row r="58" spans="1:29" ht="14.45" customHeight="1">
      <c r="B58" s="802"/>
      <c r="C58" s="669">
        <f>+C57+11</f>
        <v>43626</v>
      </c>
      <c r="D58" s="676" t="s">
        <v>114</v>
      </c>
      <c r="E58" s="670"/>
      <c r="F58" s="670"/>
      <c r="G58" s="671"/>
      <c r="L58" s="746">
        <f>IF(WEEKDAY(N58,2)=1,INT((N58-SUM(MOD(DATE(YEAR(N58-MOD(N58-2,7)+3),1,2),{1E+99;7})*{1;-1})+5)/7),"")</f>
        <v>32</v>
      </c>
      <c r="M58" s="581" t="str">
        <f t="shared" ref="M58" si="31">+$AB$38</f>
        <v>Mystère</v>
      </c>
      <c r="N58" s="861">
        <f t="shared" si="27"/>
        <v>43682</v>
      </c>
      <c r="O58" s="862"/>
      <c r="P58" s="862"/>
      <c r="Q58" s="862"/>
      <c r="R58" s="862"/>
      <c r="S58" s="862"/>
      <c r="T58" s="862"/>
      <c r="U58" s="862"/>
      <c r="V58" s="862"/>
      <c r="W58" s="863"/>
      <c r="X58" s="751"/>
      <c r="Y58" s="850">
        <f t="shared" si="26"/>
        <v>43688</v>
      </c>
      <c r="Z58" s="850"/>
      <c r="AA58" s="850"/>
      <c r="AB58" s="851"/>
    </row>
    <row r="59" spans="1:29" ht="14.45" customHeight="1">
      <c r="A59" s="742"/>
      <c r="B59" s="802"/>
      <c r="C59" s="669">
        <f>DATE(C52,7,14)</f>
        <v>43660</v>
      </c>
      <c r="D59" s="676" t="s">
        <v>115</v>
      </c>
      <c r="E59" s="670"/>
      <c r="F59" s="670"/>
      <c r="G59" s="671"/>
      <c r="L59" s="744">
        <f>IF(WEEKDAY(N59,2)=1,INT((N59-SUM(MOD(DATE(YEAR(N59-MOD(N59-2,7)+3),1,2),{1E+99;7})*{1;-1})+5)/7),"")</f>
        <v>33</v>
      </c>
      <c r="M59" s="749" t="str">
        <f t="shared" ref="M59" si="32">+$N$38</f>
        <v>Nuit</v>
      </c>
      <c r="N59" s="859">
        <f>1+Y58</f>
        <v>43689</v>
      </c>
      <c r="O59" s="860"/>
      <c r="P59" s="860"/>
      <c r="Q59" s="860"/>
      <c r="R59" s="860"/>
      <c r="S59" s="860"/>
      <c r="T59" s="860"/>
      <c r="U59" s="860"/>
      <c r="V59" s="860"/>
      <c r="W59" s="860"/>
      <c r="X59" s="748"/>
      <c r="Y59" s="857">
        <f t="shared" ref="Y59:Y101" si="33">+N59+6</f>
        <v>43695</v>
      </c>
      <c r="Z59" s="857"/>
      <c r="AA59" s="857"/>
      <c r="AB59" s="858"/>
    </row>
    <row r="60" spans="1:29" ht="14.45" customHeight="1">
      <c r="A60" s="741"/>
      <c r="B60" s="802"/>
      <c r="C60" s="669">
        <f>DATE(C52,8,15)</f>
        <v>43692</v>
      </c>
      <c r="D60" s="676" t="s">
        <v>116</v>
      </c>
      <c r="E60" s="670"/>
      <c r="F60" s="670"/>
      <c r="G60" s="671"/>
      <c r="L60" s="746">
        <f>IF(WEEKDAY(N60,2)=1,INT((N60-SUM(MOD(DATE(YEAR(N60-MOD(N60-2,7)+3),1,2),{1E+99;7})*{1;-1})+5)/7),"")</f>
        <v>34</v>
      </c>
      <c r="M60" s="581" t="str">
        <f t="shared" ref="M60" si="34">+$W$38</f>
        <v>A - Midi</v>
      </c>
      <c r="N60" s="861">
        <f t="shared" ref="N60:N101" si="35">1+Y59</f>
        <v>43696</v>
      </c>
      <c r="O60" s="862"/>
      <c r="P60" s="862"/>
      <c r="Q60" s="862"/>
      <c r="R60" s="862"/>
      <c r="S60" s="862"/>
      <c r="T60" s="862"/>
      <c r="U60" s="862"/>
      <c r="V60" s="862"/>
      <c r="W60" s="863"/>
      <c r="X60" s="751"/>
      <c r="Y60" s="850">
        <f t="shared" si="33"/>
        <v>43702</v>
      </c>
      <c r="Z60" s="850"/>
      <c r="AA60" s="850"/>
      <c r="AB60" s="851"/>
    </row>
    <row r="61" spans="1:29" ht="14.45" customHeight="1">
      <c r="B61" s="802"/>
      <c r="C61" s="669">
        <f>DATE(C52,11,1)</f>
        <v>43770</v>
      </c>
      <c r="D61" s="676" t="s">
        <v>117</v>
      </c>
      <c r="E61" s="670"/>
      <c r="F61" s="670"/>
      <c r="G61" s="671"/>
      <c r="L61" s="744">
        <f>IF(WEEKDAY(N61,2)=1,INT((N61-SUM(MOD(DATE(YEAR(N61-MOD(N61-2,7)+3),1,2),{1E+99;7})*{1;-1})+5)/7),"")</f>
        <v>35</v>
      </c>
      <c r="M61" s="749" t="str">
        <f t="shared" ref="M61" si="36">+$Y$38</f>
        <v>Matin</v>
      </c>
      <c r="N61" s="859">
        <f t="shared" si="35"/>
        <v>43703</v>
      </c>
      <c r="O61" s="860"/>
      <c r="P61" s="860"/>
      <c r="Q61" s="860"/>
      <c r="R61" s="860"/>
      <c r="S61" s="860"/>
      <c r="T61" s="860"/>
      <c r="U61" s="860"/>
      <c r="V61" s="860"/>
      <c r="W61" s="860"/>
      <c r="X61" s="748"/>
      <c r="Y61" s="857">
        <f t="shared" si="33"/>
        <v>43709</v>
      </c>
      <c r="Z61" s="857"/>
      <c r="AA61" s="857"/>
      <c r="AB61" s="858"/>
    </row>
    <row r="62" spans="1:29" ht="14.45" customHeight="1">
      <c r="B62" s="802"/>
      <c r="C62" s="669">
        <f>DATE(C52,11,11)</f>
        <v>43780</v>
      </c>
      <c r="D62" s="676" t="s">
        <v>118</v>
      </c>
      <c r="E62" s="670"/>
      <c r="F62" s="670"/>
      <c r="G62" s="671"/>
      <c r="L62" s="746">
        <f>IF(WEEKDAY(N62,2)=1,INT((N62-SUM(MOD(DATE(YEAR(N62-MOD(N62-2,7)+3),1,2),{1E+99;7})*{1;-1})+5)/7),"")</f>
        <v>36</v>
      </c>
      <c r="M62" s="581" t="str">
        <f t="shared" ref="M62" si="37">+$AB$38</f>
        <v>Mystère</v>
      </c>
      <c r="N62" s="861">
        <f t="shared" si="35"/>
        <v>43710</v>
      </c>
      <c r="O62" s="862"/>
      <c r="P62" s="862"/>
      <c r="Q62" s="862"/>
      <c r="R62" s="862"/>
      <c r="S62" s="862"/>
      <c r="T62" s="862"/>
      <c r="U62" s="862"/>
      <c r="V62" s="862"/>
      <c r="W62" s="863"/>
      <c r="X62" s="751"/>
      <c r="Y62" s="850">
        <f t="shared" si="33"/>
        <v>43716</v>
      </c>
      <c r="Z62" s="850"/>
      <c r="AA62" s="850"/>
      <c r="AB62" s="851"/>
    </row>
    <row r="63" spans="1:29" ht="14.45" customHeight="1" thickBot="1">
      <c r="B63" s="802"/>
      <c r="C63" s="672">
        <f>DATE(C52,12,25)</f>
        <v>43824</v>
      </c>
      <c r="D63" s="677" t="s">
        <v>119</v>
      </c>
      <c r="E63" s="673"/>
      <c r="F63" s="673"/>
      <c r="G63" s="674"/>
      <c r="L63" s="744">
        <f>IF(WEEKDAY(N63,2)=1,INT((N63-SUM(MOD(DATE(YEAR(N63-MOD(N63-2,7)+3),1,2),{1E+99;7})*{1;-1})+5)/7),"")</f>
        <v>37</v>
      </c>
      <c r="M63" s="749" t="str">
        <f t="shared" ref="M63" si="38">+$N$38</f>
        <v>Nuit</v>
      </c>
      <c r="N63" s="859">
        <f t="shared" si="35"/>
        <v>43717</v>
      </c>
      <c r="O63" s="860"/>
      <c r="P63" s="860"/>
      <c r="Q63" s="860"/>
      <c r="R63" s="860"/>
      <c r="S63" s="860"/>
      <c r="T63" s="860"/>
      <c r="U63" s="860"/>
      <c r="V63" s="860"/>
      <c r="W63" s="860"/>
      <c r="X63" s="748"/>
      <c r="Y63" s="857">
        <f t="shared" si="33"/>
        <v>43723</v>
      </c>
      <c r="Z63" s="857"/>
      <c r="AA63" s="857"/>
      <c r="AB63" s="858"/>
    </row>
    <row r="64" spans="1:29" ht="14.45" customHeight="1">
      <c r="L64" s="746">
        <f>IF(WEEKDAY(N64,2)=1,INT((N64-SUM(MOD(DATE(YEAR(N64-MOD(N64-2,7)+3),1,2),{1E+99;7})*{1;-1})+5)/7),"")</f>
        <v>38</v>
      </c>
      <c r="M64" s="581" t="str">
        <f t="shared" ref="M64" si="39">+$W$38</f>
        <v>A - Midi</v>
      </c>
      <c r="N64" s="861">
        <f t="shared" si="35"/>
        <v>43724</v>
      </c>
      <c r="O64" s="862"/>
      <c r="P64" s="862"/>
      <c r="Q64" s="862"/>
      <c r="R64" s="862"/>
      <c r="S64" s="862"/>
      <c r="T64" s="862"/>
      <c r="U64" s="862"/>
      <c r="V64" s="862"/>
      <c r="W64" s="863"/>
      <c r="X64" s="751"/>
      <c r="Y64" s="850">
        <f t="shared" si="33"/>
        <v>43730</v>
      </c>
      <c r="Z64" s="850"/>
      <c r="AA64" s="850"/>
      <c r="AB64" s="851"/>
    </row>
    <row r="65" spans="3:28" ht="14.45" customHeight="1" thickBot="1">
      <c r="L65" s="744">
        <f>IF(WEEKDAY(N65,2)=1,INT((N65-SUM(MOD(DATE(YEAR(N65-MOD(N65-2,7)+3),1,2),{1E+99;7})*{1;-1})+5)/7),"")</f>
        <v>39</v>
      </c>
      <c r="M65" s="749" t="str">
        <f t="shared" ref="M65" si="40">+$Y$38</f>
        <v>Matin</v>
      </c>
      <c r="N65" s="859">
        <f t="shared" si="35"/>
        <v>43731</v>
      </c>
      <c r="O65" s="860"/>
      <c r="P65" s="860"/>
      <c r="Q65" s="860"/>
      <c r="R65" s="860"/>
      <c r="S65" s="860"/>
      <c r="T65" s="860"/>
      <c r="U65" s="860"/>
      <c r="V65" s="860"/>
      <c r="W65" s="860"/>
      <c r="X65" s="748"/>
      <c r="Y65" s="857">
        <f t="shared" si="33"/>
        <v>43737</v>
      </c>
      <c r="Z65" s="857"/>
      <c r="AA65" s="857"/>
      <c r="AB65" s="858"/>
    </row>
    <row r="66" spans="3:28" ht="14.45" customHeight="1" thickBot="1">
      <c r="C66" s="177" t="s">
        <v>164</v>
      </c>
      <c r="D66" s="367">
        <v>21</v>
      </c>
      <c r="E66" s="441"/>
      <c r="F66" s="441"/>
      <c r="G66" s="441"/>
      <c r="L66" s="746">
        <f>IF(WEEKDAY(N66,2)=1,INT((N66-SUM(MOD(DATE(YEAR(N66-MOD(N66-2,7)+3),1,2),{1E+99;7})*{1;-1})+5)/7),"")</f>
        <v>40</v>
      </c>
      <c r="M66" s="581" t="str">
        <f t="shared" ref="M66" si="41">+$AB$38</f>
        <v>Mystère</v>
      </c>
      <c r="N66" s="861">
        <f t="shared" si="35"/>
        <v>43738</v>
      </c>
      <c r="O66" s="862"/>
      <c r="P66" s="862"/>
      <c r="Q66" s="862"/>
      <c r="R66" s="862"/>
      <c r="S66" s="862"/>
      <c r="T66" s="862"/>
      <c r="U66" s="862"/>
      <c r="V66" s="862"/>
      <c r="W66" s="863"/>
      <c r="X66" s="751"/>
      <c r="Y66" s="850">
        <f t="shared" si="33"/>
        <v>43744</v>
      </c>
      <c r="Z66" s="850"/>
      <c r="AA66" s="850"/>
      <c r="AB66" s="851"/>
    </row>
    <row r="67" spans="3:28" ht="14.45" customHeight="1" thickBot="1">
      <c r="C67" s="177"/>
      <c r="D67" s="367">
        <v>6</v>
      </c>
      <c r="E67" s="441"/>
      <c r="F67" s="441"/>
      <c r="G67" s="441"/>
      <c r="L67" s="744">
        <f>IF(WEEKDAY(N67,2)=1,INT((N67-SUM(MOD(DATE(YEAR(N67-MOD(N67-2,7)+3),1,2),{1E+99;7})*{1;-1})+5)/7),"")</f>
        <v>41</v>
      </c>
      <c r="M67" s="749" t="str">
        <f t="shared" ref="M67" si="42">+$N$38</f>
        <v>Nuit</v>
      </c>
      <c r="N67" s="859">
        <f t="shared" si="35"/>
        <v>43745</v>
      </c>
      <c r="O67" s="860"/>
      <c r="P67" s="860"/>
      <c r="Q67" s="860"/>
      <c r="R67" s="860"/>
      <c r="S67" s="860"/>
      <c r="T67" s="860"/>
      <c r="U67" s="860"/>
      <c r="V67" s="860"/>
      <c r="W67" s="860"/>
      <c r="X67" s="748"/>
      <c r="Y67" s="857">
        <f t="shared" si="33"/>
        <v>43751</v>
      </c>
      <c r="Z67" s="857"/>
      <c r="AA67" s="857"/>
      <c r="AB67" s="858"/>
    </row>
    <row r="68" spans="3:28" ht="14.45" customHeight="1">
      <c r="D68" s="26"/>
      <c r="E68" s="26"/>
      <c r="F68" s="26"/>
      <c r="G68" s="26"/>
      <c r="L68" s="746">
        <f>IF(WEEKDAY(N68,2)=1,INT((N68-SUM(MOD(DATE(YEAR(N68-MOD(N68-2,7)+3),1,2),{1E+99;7})*{1;-1})+5)/7),"")</f>
        <v>42</v>
      </c>
      <c r="M68" s="581" t="str">
        <f t="shared" ref="M68" si="43">+$W$38</f>
        <v>A - Midi</v>
      </c>
      <c r="N68" s="861">
        <f t="shared" si="35"/>
        <v>43752</v>
      </c>
      <c r="O68" s="862"/>
      <c r="P68" s="862"/>
      <c r="Q68" s="862"/>
      <c r="R68" s="862"/>
      <c r="S68" s="862"/>
      <c r="T68" s="862"/>
      <c r="U68" s="862"/>
      <c r="V68" s="862"/>
      <c r="W68" s="863"/>
      <c r="X68" s="751"/>
      <c r="Y68" s="850">
        <f t="shared" si="33"/>
        <v>43758</v>
      </c>
      <c r="Z68" s="850"/>
      <c r="AA68" s="850"/>
      <c r="AB68" s="851"/>
    </row>
    <row r="69" spans="3:28" ht="14.45" customHeight="1">
      <c r="L69" s="744">
        <f>IF(WEEKDAY(N69,2)=1,INT((N69-SUM(MOD(DATE(YEAR(N69-MOD(N69-2,7)+3),1,2),{1E+99;7})*{1;-1})+5)/7),"")</f>
        <v>43</v>
      </c>
      <c r="M69" s="749" t="str">
        <f t="shared" ref="M69" si="44">+$Y$38</f>
        <v>Matin</v>
      </c>
      <c r="N69" s="859">
        <f t="shared" si="35"/>
        <v>43759</v>
      </c>
      <c r="O69" s="860"/>
      <c r="P69" s="860"/>
      <c r="Q69" s="860"/>
      <c r="R69" s="860"/>
      <c r="S69" s="860"/>
      <c r="T69" s="860"/>
      <c r="U69" s="860"/>
      <c r="V69" s="860"/>
      <c r="W69" s="860"/>
      <c r="X69" s="748"/>
      <c r="Y69" s="857">
        <f t="shared" si="33"/>
        <v>43765</v>
      </c>
      <c r="Z69" s="857"/>
      <c r="AA69" s="857"/>
      <c r="AB69" s="858"/>
    </row>
    <row r="70" spans="3:28" ht="14.45" customHeight="1">
      <c r="L70" s="746">
        <f>IF(WEEKDAY(N70,2)=1,INT((N70-SUM(MOD(DATE(YEAR(N70-MOD(N70-2,7)+3),1,2),{1E+99;7})*{1;-1})+5)/7),"")</f>
        <v>44</v>
      </c>
      <c r="M70" s="581" t="str">
        <f t="shared" ref="M70" si="45">+$AB$38</f>
        <v>Mystère</v>
      </c>
      <c r="N70" s="861">
        <f t="shared" si="35"/>
        <v>43766</v>
      </c>
      <c r="O70" s="862"/>
      <c r="P70" s="862"/>
      <c r="Q70" s="862"/>
      <c r="R70" s="862"/>
      <c r="S70" s="862"/>
      <c r="T70" s="862"/>
      <c r="U70" s="862"/>
      <c r="V70" s="862"/>
      <c r="W70" s="863"/>
      <c r="X70" s="751"/>
      <c r="Y70" s="850">
        <f t="shared" si="33"/>
        <v>43772</v>
      </c>
      <c r="Z70" s="850"/>
      <c r="AA70" s="850"/>
      <c r="AB70" s="851"/>
    </row>
    <row r="71" spans="3:28" ht="14.45" customHeight="1">
      <c r="L71" s="744">
        <f>IF(WEEKDAY(N71,2)=1,INT((N71-SUM(MOD(DATE(YEAR(N71-MOD(N71-2,7)+3),1,2),{1E+99;7})*{1;-1})+5)/7),"")</f>
        <v>45</v>
      </c>
      <c r="M71" s="749" t="str">
        <f t="shared" ref="M71" si="46">+$N$38</f>
        <v>Nuit</v>
      </c>
      <c r="N71" s="859">
        <f t="shared" si="35"/>
        <v>43773</v>
      </c>
      <c r="O71" s="860"/>
      <c r="P71" s="860"/>
      <c r="Q71" s="860"/>
      <c r="R71" s="860"/>
      <c r="S71" s="860"/>
      <c r="T71" s="860"/>
      <c r="U71" s="860"/>
      <c r="V71" s="860"/>
      <c r="W71" s="860"/>
      <c r="X71" s="748"/>
      <c r="Y71" s="857">
        <f t="shared" si="33"/>
        <v>43779</v>
      </c>
      <c r="Z71" s="857"/>
      <c r="AA71" s="857"/>
      <c r="AB71" s="858"/>
    </row>
    <row r="72" spans="3:28" ht="14.45" customHeight="1">
      <c r="L72" s="746">
        <f>IF(WEEKDAY(N72,2)=1,INT((N72-SUM(MOD(DATE(YEAR(N72-MOD(N72-2,7)+3),1,2),{1E+99;7})*{1;-1})+5)/7),"")</f>
        <v>46</v>
      </c>
      <c r="M72" s="581" t="str">
        <f t="shared" ref="M72" si="47">+$W$38</f>
        <v>A - Midi</v>
      </c>
      <c r="N72" s="861">
        <f t="shared" si="35"/>
        <v>43780</v>
      </c>
      <c r="O72" s="862"/>
      <c r="P72" s="862"/>
      <c r="Q72" s="862"/>
      <c r="R72" s="862"/>
      <c r="S72" s="862"/>
      <c r="T72" s="862"/>
      <c r="U72" s="862"/>
      <c r="V72" s="862"/>
      <c r="W72" s="863"/>
      <c r="X72" s="751"/>
      <c r="Y72" s="850">
        <f t="shared" si="33"/>
        <v>43786</v>
      </c>
      <c r="Z72" s="850"/>
      <c r="AA72" s="850"/>
      <c r="AB72" s="851"/>
    </row>
    <row r="73" spans="3:28" ht="14.45" customHeight="1">
      <c r="L73" s="744">
        <f>IF(WEEKDAY(N73,2)=1,INT((N73-SUM(MOD(DATE(YEAR(N73-MOD(N73-2,7)+3),1,2),{1E+99;7})*{1;-1})+5)/7),"")</f>
        <v>47</v>
      </c>
      <c r="M73" s="749" t="str">
        <f t="shared" ref="M73" si="48">+$Y$38</f>
        <v>Matin</v>
      </c>
      <c r="N73" s="859">
        <f t="shared" si="35"/>
        <v>43787</v>
      </c>
      <c r="O73" s="860"/>
      <c r="P73" s="860"/>
      <c r="Q73" s="860"/>
      <c r="R73" s="860"/>
      <c r="S73" s="860"/>
      <c r="T73" s="860"/>
      <c r="U73" s="860"/>
      <c r="V73" s="860"/>
      <c r="W73" s="860"/>
      <c r="X73" s="748"/>
      <c r="Y73" s="857">
        <f t="shared" si="33"/>
        <v>43793</v>
      </c>
      <c r="Z73" s="857"/>
      <c r="AA73" s="857"/>
      <c r="AB73" s="858"/>
    </row>
    <row r="74" spans="3:28" ht="14.45" customHeight="1">
      <c r="L74" s="746">
        <f>IF(WEEKDAY(N74,2)=1,INT((N74-SUM(MOD(DATE(YEAR(N74-MOD(N74-2,7)+3),1,2),{1E+99;7})*{1;-1})+5)/7),"")</f>
        <v>48</v>
      </c>
      <c r="M74" s="581" t="str">
        <f t="shared" ref="M74" si="49">+$AB$38</f>
        <v>Mystère</v>
      </c>
      <c r="N74" s="861">
        <f t="shared" si="35"/>
        <v>43794</v>
      </c>
      <c r="O74" s="862"/>
      <c r="P74" s="862"/>
      <c r="Q74" s="862"/>
      <c r="R74" s="862"/>
      <c r="S74" s="862"/>
      <c r="T74" s="862"/>
      <c r="U74" s="862"/>
      <c r="V74" s="862"/>
      <c r="W74" s="863"/>
      <c r="X74" s="751"/>
      <c r="Y74" s="850">
        <f t="shared" si="33"/>
        <v>43800</v>
      </c>
      <c r="Z74" s="850"/>
      <c r="AA74" s="850"/>
      <c r="AB74" s="851"/>
    </row>
    <row r="75" spans="3:28" ht="14.45" customHeight="1">
      <c r="L75" s="744">
        <f>IF(WEEKDAY(N75,2)=1,INT((N75-SUM(MOD(DATE(YEAR(N75-MOD(N75-2,7)+3),1,2),{1E+99;7})*{1;-1})+5)/7),"")</f>
        <v>49</v>
      </c>
      <c r="M75" s="749" t="str">
        <f t="shared" ref="M75" si="50">+$N$38</f>
        <v>Nuit</v>
      </c>
      <c r="N75" s="859">
        <f t="shared" si="35"/>
        <v>43801</v>
      </c>
      <c r="O75" s="860"/>
      <c r="P75" s="860"/>
      <c r="Q75" s="860"/>
      <c r="R75" s="860"/>
      <c r="S75" s="860"/>
      <c r="T75" s="860"/>
      <c r="U75" s="860"/>
      <c r="V75" s="860"/>
      <c r="W75" s="860"/>
      <c r="X75" s="748"/>
      <c r="Y75" s="857">
        <f t="shared" si="33"/>
        <v>43807</v>
      </c>
      <c r="Z75" s="857"/>
      <c r="AA75" s="857"/>
      <c r="AB75" s="858"/>
    </row>
    <row r="76" spans="3:28" ht="14.45" customHeight="1">
      <c r="L76" s="746">
        <f>IF(WEEKDAY(N76,2)=1,INT((N76-SUM(MOD(DATE(YEAR(N76-MOD(N76-2,7)+3),1,2),{1E+99;7})*{1;-1})+5)/7),"")</f>
        <v>50</v>
      </c>
      <c r="M76" s="581" t="str">
        <f t="shared" ref="M76" si="51">+$W$38</f>
        <v>A - Midi</v>
      </c>
      <c r="N76" s="861">
        <f t="shared" si="35"/>
        <v>43808</v>
      </c>
      <c r="O76" s="862"/>
      <c r="P76" s="862"/>
      <c r="Q76" s="862"/>
      <c r="R76" s="862"/>
      <c r="S76" s="862"/>
      <c r="T76" s="862"/>
      <c r="U76" s="862"/>
      <c r="V76" s="862"/>
      <c r="W76" s="863"/>
      <c r="X76" s="751"/>
      <c r="Y76" s="850">
        <f t="shared" si="33"/>
        <v>43814</v>
      </c>
      <c r="Z76" s="850"/>
      <c r="AA76" s="850"/>
      <c r="AB76" s="851"/>
    </row>
    <row r="77" spans="3:28" ht="14.45" customHeight="1">
      <c r="L77" s="744">
        <f>IF(WEEKDAY(N77,2)=1,INT((N77-SUM(MOD(DATE(YEAR(N77-MOD(N77-2,7)+3),1,2),{1E+99;7})*{1;-1})+5)/7),"")</f>
        <v>51</v>
      </c>
      <c r="M77" s="749" t="str">
        <f t="shared" ref="M77" si="52">+$Y$38</f>
        <v>Matin</v>
      </c>
      <c r="N77" s="859">
        <f t="shared" si="35"/>
        <v>43815</v>
      </c>
      <c r="O77" s="860"/>
      <c r="P77" s="860"/>
      <c r="Q77" s="860"/>
      <c r="R77" s="860"/>
      <c r="S77" s="860"/>
      <c r="T77" s="860"/>
      <c r="U77" s="860"/>
      <c r="V77" s="860"/>
      <c r="W77" s="860"/>
      <c r="X77" s="748"/>
      <c r="Y77" s="857">
        <f t="shared" si="33"/>
        <v>43821</v>
      </c>
      <c r="Z77" s="857"/>
      <c r="AA77" s="857"/>
      <c r="AB77" s="858"/>
    </row>
    <row r="78" spans="3:28" ht="14.45" customHeight="1">
      <c r="L78" s="746">
        <f>IF(WEEKDAY(N78,2)=1,INT((N78-SUM(MOD(DATE(YEAR(N78-MOD(N78-2,7)+3),1,2),{1E+99;7})*{1;-1})+5)/7),"")</f>
        <v>52</v>
      </c>
      <c r="M78" s="581" t="str">
        <f t="shared" ref="M78" si="53">+$AB$38</f>
        <v>Mystère</v>
      </c>
      <c r="N78" s="861">
        <f t="shared" si="35"/>
        <v>43822</v>
      </c>
      <c r="O78" s="862"/>
      <c r="P78" s="862"/>
      <c r="Q78" s="862"/>
      <c r="R78" s="862"/>
      <c r="S78" s="862"/>
      <c r="T78" s="862"/>
      <c r="U78" s="862"/>
      <c r="V78" s="862"/>
      <c r="W78" s="863"/>
      <c r="X78" s="751"/>
      <c r="Y78" s="850">
        <f t="shared" si="33"/>
        <v>43828</v>
      </c>
      <c r="Z78" s="850"/>
      <c r="AA78" s="850"/>
      <c r="AB78" s="851"/>
    </row>
    <row r="79" spans="3:28" ht="14.45" customHeight="1">
      <c r="L79" s="744">
        <f>IF(WEEKDAY(N79,2)=1,INT((N79-SUM(MOD(DATE(YEAR(N79-MOD(N79-2,7)+3),1,2),{1E+99;7})*{1;-1})+5)/7),"")</f>
        <v>1</v>
      </c>
      <c r="M79" s="749" t="str">
        <f t="shared" ref="M79" si="54">+$N$38</f>
        <v>Nuit</v>
      </c>
      <c r="N79" s="859">
        <f t="shared" si="35"/>
        <v>43829</v>
      </c>
      <c r="O79" s="860"/>
      <c r="P79" s="860"/>
      <c r="Q79" s="860"/>
      <c r="R79" s="860"/>
      <c r="S79" s="860"/>
      <c r="T79" s="860"/>
      <c r="U79" s="860"/>
      <c r="V79" s="860"/>
      <c r="W79" s="860"/>
      <c r="X79" s="748"/>
      <c r="Y79" s="857">
        <f t="shared" si="33"/>
        <v>43835</v>
      </c>
      <c r="Z79" s="857"/>
      <c r="AA79" s="857"/>
      <c r="AB79" s="858"/>
    </row>
    <row r="80" spans="3:28" ht="14.45" customHeight="1">
      <c r="L80" s="746">
        <f>IF(WEEKDAY(N80,2)=1,INT((N80-SUM(MOD(DATE(YEAR(N80-MOD(N80-2,7)+3),1,2),{1E+99;7})*{1;-1})+5)/7),"")</f>
        <v>2</v>
      </c>
      <c r="M80" s="581" t="str">
        <f t="shared" ref="M80" si="55">+$W$38</f>
        <v>A - Midi</v>
      </c>
      <c r="N80" s="861">
        <f t="shared" si="35"/>
        <v>43836</v>
      </c>
      <c r="O80" s="862"/>
      <c r="P80" s="862"/>
      <c r="Q80" s="862"/>
      <c r="R80" s="862"/>
      <c r="S80" s="862"/>
      <c r="T80" s="862"/>
      <c r="U80" s="862"/>
      <c r="V80" s="862"/>
      <c r="W80" s="863"/>
      <c r="X80" s="751"/>
      <c r="Y80" s="850">
        <f t="shared" si="33"/>
        <v>43842</v>
      </c>
      <c r="Z80" s="850"/>
      <c r="AA80" s="850"/>
      <c r="AB80" s="851"/>
    </row>
    <row r="81" spans="12:28" ht="14.45" customHeight="1">
      <c r="L81" s="744">
        <f>IF(WEEKDAY(N81,2)=1,INT((N81-SUM(MOD(DATE(YEAR(N81-MOD(N81-2,7)+3),1,2),{1E+99;7})*{1;-1})+5)/7),"")</f>
        <v>3</v>
      </c>
      <c r="M81" s="749" t="str">
        <f t="shared" ref="M81" si="56">+$Y$38</f>
        <v>Matin</v>
      </c>
      <c r="N81" s="859">
        <f t="shared" si="35"/>
        <v>43843</v>
      </c>
      <c r="O81" s="860"/>
      <c r="P81" s="860"/>
      <c r="Q81" s="860"/>
      <c r="R81" s="860"/>
      <c r="S81" s="860"/>
      <c r="T81" s="860"/>
      <c r="U81" s="860"/>
      <c r="V81" s="860"/>
      <c r="W81" s="860"/>
      <c r="X81" s="748"/>
      <c r="Y81" s="857">
        <f t="shared" si="33"/>
        <v>43849</v>
      </c>
      <c r="Z81" s="857"/>
      <c r="AA81" s="857"/>
      <c r="AB81" s="858"/>
    </row>
    <row r="82" spans="12:28" ht="14.45" customHeight="1">
      <c r="L82" s="746">
        <f>IF(WEEKDAY(N82,2)=1,INT((N82-SUM(MOD(DATE(YEAR(N82-MOD(N82-2,7)+3),1,2),{1E+99;7})*{1;-1})+5)/7),"")</f>
        <v>4</v>
      </c>
      <c r="M82" s="581" t="str">
        <f t="shared" ref="M82" si="57">+$AB$38</f>
        <v>Mystère</v>
      </c>
      <c r="N82" s="861">
        <f t="shared" si="35"/>
        <v>43850</v>
      </c>
      <c r="O82" s="862"/>
      <c r="P82" s="862"/>
      <c r="Q82" s="862"/>
      <c r="R82" s="862"/>
      <c r="S82" s="862"/>
      <c r="T82" s="862"/>
      <c r="U82" s="862"/>
      <c r="V82" s="862"/>
      <c r="W82" s="863"/>
      <c r="X82" s="751"/>
      <c r="Y82" s="850">
        <f t="shared" si="33"/>
        <v>43856</v>
      </c>
      <c r="Z82" s="850"/>
      <c r="AA82" s="850"/>
      <c r="AB82" s="851"/>
    </row>
    <row r="83" spans="12:28" ht="14.45" customHeight="1">
      <c r="L83" s="744">
        <f>IF(WEEKDAY(N83,2)=1,INT((N83-SUM(MOD(DATE(YEAR(N83-MOD(N83-2,7)+3),1,2),{1E+99;7})*{1;-1})+5)/7),"")</f>
        <v>5</v>
      </c>
      <c r="M83" s="749" t="str">
        <f t="shared" ref="M83" si="58">+$N$38</f>
        <v>Nuit</v>
      </c>
      <c r="N83" s="859">
        <f t="shared" si="35"/>
        <v>43857</v>
      </c>
      <c r="O83" s="860"/>
      <c r="P83" s="860"/>
      <c r="Q83" s="860"/>
      <c r="R83" s="860"/>
      <c r="S83" s="860"/>
      <c r="T83" s="860"/>
      <c r="U83" s="860"/>
      <c r="V83" s="860"/>
      <c r="W83" s="860"/>
      <c r="X83" s="748"/>
      <c r="Y83" s="857">
        <f t="shared" si="33"/>
        <v>43863</v>
      </c>
      <c r="Z83" s="857"/>
      <c r="AA83" s="857"/>
      <c r="AB83" s="858"/>
    </row>
    <row r="84" spans="12:28" ht="14.45" customHeight="1">
      <c r="L84" s="746">
        <f>IF(WEEKDAY(N84,2)=1,INT((N84-SUM(MOD(DATE(YEAR(N84-MOD(N84-2,7)+3),1,2),{1E+99;7})*{1;-1})+5)/7),"")</f>
        <v>6</v>
      </c>
      <c r="M84" s="581" t="str">
        <f t="shared" ref="M84" si="59">+$W$38</f>
        <v>A - Midi</v>
      </c>
      <c r="N84" s="861">
        <f t="shared" si="35"/>
        <v>43864</v>
      </c>
      <c r="O84" s="862"/>
      <c r="P84" s="862"/>
      <c r="Q84" s="862"/>
      <c r="R84" s="862"/>
      <c r="S84" s="862"/>
      <c r="T84" s="862"/>
      <c r="U84" s="862"/>
      <c r="V84" s="862"/>
      <c r="W84" s="863"/>
      <c r="X84" s="751"/>
      <c r="Y84" s="850">
        <f t="shared" si="33"/>
        <v>43870</v>
      </c>
      <c r="Z84" s="850"/>
      <c r="AA84" s="850"/>
      <c r="AB84" s="851"/>
    </row>
    <row r="85" spans="12:28" ht="14.45" customHeight="1">
      <c r="L85" s="744">
        <f>IF(WEEKDAY(N85,2)=1,INT((N85-SUM(MOD(DATE(YEAR(N85-MOD(N85-2,7)+3),1,2),{1E+99;7})*{1;-1})+5)/7),"")</f>
        <v>7</v>
      </c>
      <c r="M85" s="749" t="str">
        <f t="shared" ref="M85" si="60">+$Y$38</f>
        <v>Matin</v>
      </c>
      <c r="N85" s="859">
        <f t="shared" si="35"/>
        <v>43871</v>
      </c>
      <c r="O85" s="860"/>
      <c r="P85" s="860"/>
      <c r="Q85" s="860"/>
      <c r="R85" s="860"/>
      <c r="S85" s="860"/>
      <c r="T85" s="860"/>
      <c r="U85" s="860"/>
      <c r="V85" s="860"/>
      <c r="W85" s="860"/>
      <c r="X85" s="748"/>
      <c r="Y85" s="857">
        <f t="shared" si="33"/>
        <v>43877</v>
      </c>
      <c r="Z85" s="857"/>
      <c r="AA85" s="857"/>
      <c r="AB85" s="858"/>
    </row>
    <row r="86" spans="12:28" ht="14.45" customHeight="1">
      <c r="L86" s="746">
        <f>IF(WEEKDAY(N86,2)=1,INT((N86-SUM(MOD(DATE(YEAR(N86-MOD(N86-2,7)+3),1,2),{1E+99;7})*{1;-1})+5)/7),"")</f>
        <v>8</v>
      </c>
      <c r="M86" s="581" t="str">
        <f t="shared" ref="M86" si="61">+$AB$38</f>
        <v>Mystère</v>
      </c>
      <c r="N86" s="861">
        <f t="shared" si="35"/>
        <v>43878</v>
      </c>
      <c r="O86" s="862"/>
      <c r="P86" s="862"/>
      <c r="Q86" s="862"/>
      <c r="R86" s="862"/>
      <c r="S86" s="862"/>
      <c r="T86" s="862"/>
      <c r="U86" s="862"/>
      <c r="V86" s="862"/>
      <c r="W86" s="863"/>
      <c r="X86" s="751"/>
      <c r="Y86" s="850">
        <f t="shared" si="33"/>
        <v>43884</v>
      </c>
      <c r="Z86" s="850"/>
      <c r="AA86" s="850"/>
      <c r="AB86" s="851"/>
    </row>
    <row r="87" spans="12:28" ht="14.45" customHeight="1">
      <c r="L87" s="744">
        <f>IF(WEEKDAY(N87,2)=1,INT((N87-SUM(MOD(DATE(YEAR(N87-MOD(N87-2,7)+3),1,2),{1E+99;7})*{1;-1})+5)/7),"")</f>
        <v>9</v>
      </c>
      <c r="M87" s="749" t="str">
        <f t="shared" ref="M87" si="62">+$N$38</f>
        <v>Nuit</v>
      </c>
      <c r="N87" s="859">
        <f t="shared" si="35"/>
        <v>43885</v>
      </c>
      <c r="O87" s="860"/>
      <c r="P87" s="860"/>
      <c r="Q87" s="860"/>
      <c r="R87" s="860"/>
      <c r="S87" s="860"/>
      <c r="T87" s="860"/>
      <c r="U87" s="860"/>
      <c r="V87" s="860"/>
      <c r="W87" s="860"/>
      <c r="X87" s="748"/>
      <c r="Y87" s="857">
        <f t="shared" si="33"/>
        <v>43891</v>
      </c>
      <c r="Z87" s="857"/>
      <c r="AA87" s="857"/>
      <c r="AB87" s="858"/>
    </row>
    <row r="88" spans="12:28" ht="14.45" customHeight="1">
      <c r="L88" s="746">
        <f>IF(WEEKDAY(N88,2)=1,INT((N88-SUM(MOD(DATE(YEAR(N88-MOD(N88-2,7)+3),1,2),{1E+99;7})*{1;-1})+5)/7),"")</f>
        <v>10</v>
      </c>
      <c r="M88" s="581" t="str">
        <f t="shared" ref="M88" si="63">+$W$38</f>
        <v>A - Midi</v>
      </c>
      <c r="N88" s="861">
        <f t="shared" si="35"/>
        <v>43892</v>
      </c>
      <c r="O88" s="862"/>
      <c r="P88" s="862"/>
      <c r="Q88" s="862"/>
      <c r="R88" s="862"/>
      <c r="S88" s="862"/>
      <c r="T88" s="862"/>
      <c r="U88" s="862"/>
      <c r="V88" s="862"/>
      <c r="W88" s="863"/>
      <c r="X88" s="751"/>
      <c r="Y88" s="850">
        <f t="shared" si="33"/>
        <v>43898</v>
      </c>
      <c r="Z88" s="850"/>
      <c r="AA88" s="850"/>
      <c r="AB88" s="851"/>
    </row>
    <row r="89" spans="12:28" ht="14.45" customHeight="1">
      <c r="L89" s="744">
        <f>IF(WEEKDAY(N89,2)=1,INT((N89-SUM(MOD(DATE(YEAR(N89-MOD(N89-2,7)+3),1,2),{1E+99;7})*{1;-1})+5)/7),"")</f>
        <v>11</v>
      </c>
      <c r="M89" s="749" t="str">
        <f t="shared" ref="M89" si="64">+$Y$38</f>
        <v>Matin</v>
      </c>
      <c r="N89" s="859">
        <f t="shared" si="35"/>
        <v>43899</v>
      </c>
      <c r="O89" s="860"/>
      <c r="P89" s="860"/>
      <c r="Q89" s="860"/>
      <c r="R89" s="860"/>
      <c r="S89" s="860"/>
      <c r="T89" s="860"/>
      <c r="U89" s="860"/>
      <c r="V89" s="860"/>
      <c r="W89" s="860"/>
      <c r="X89" s="748"/>
      <c r="Y89" s="857">
        <f t="shared" si="33"/>
        <v>43905</v>
      </c>
      <c r="Z89" s="857"/>
      <c r="AA89" s="857"/>
      <c r="AB89" s="858"/>
    </row>
    <row r="90" spans="12:28" ht="14.45" customHeight="1">
      <c r="L90" s="746">
        <f>IF(WEEKDAY(N90,2)=1,INT((N90-SUM(MOD(DATE(YEAR(N90-MOD(N90-2,7)+3),1,2),{1E+99;7})*{1;-1})+5)/7),"")</f>
        <v>12</v>
      </c>
      <c r="M90" s="581" t="str">
        <f t="shared" ref="M90" si="65">+$AB$38</f>
        <v>Mystère</v>
      </c>
      <c r="N90" s="861">
        <f t="shared" si="35"/>
        <v>43906</v>
      </c>
      <c r="O90" s="862"/>
      <c r="P90" s="862"/>
      <c r="Q90" s="862"/>
      <c r="R90" s="862"/>
      <c r="S90" s="862"/>
      <c r="T90" s="862"/>
      <c r="U90" s="862"/>
      <c r="V90" s="862"/>
      <c r="W90" s="863"/>
      <c r="X90" s="751"/>
      <c r="Y90" s="850">
        <f t="shared" si="33"/>
        <v>43912</v>
      </c>
      <c r="Z90" s="850"/>
      <c r="AA90" s="850"/>
      <c r="AB90" s="851"/>
    </row>
    <row r="91" spans="12:28" ht="14.45" customHeight="1">
      <c r="L91" s="744">
        <f>IF(WEEKDAY(N91,2)=1,INT((N91-SUM(MOD(DATE(YEAR(N91-MOD(N91-2,7)+3),1,2),{1E+99;7})*{1;-1})+5)/7),"")</f>
        <v>13</v>
      </c>
      <c r="M91" s="749" t="str">
        <f t="shared" ref="M91" si="66">+$N$38</f>
        <v>Nuit</v>
      </c>
      <c r="N91" s="859">
        <f t="shared" si="35"/>
        <v>43913</v>
      </c>
      <c r="O91" s="860"/>
      <c r="P91" s="860"/>
      <c r="Q91" s="860"/>
      <c r="R91" s="860"/>
      <c r="S91" s="860"/>
      <c r="T91" s="860"/>
      <c r="U91" s="860"/>
      <c r="V91" s="860"/>
      <c r="W91" s="860"/>
      <c r="X91" s="748"/>
      <c r="Y91" s="857">
        <f t="shared" si="33"/>
        <v>43919</v>
      </c>
      <c r="Z91" s="857"/>
      <c r="AA91" s="857"/>
      <c r="AB91" s="858"/>
    </row>
    <row r="92" spans="12:28" ht="14.45" customHeight="1">
      <c r="L92" s="746">
        <f>IF(WEEKDAY(N92,2)=1,INT((N92-SUM(MOD(DATE(YEAR(N92-MOD(N92-2,7)+3),1,2),{1E+99;7})*{1;-1})+5)/7),"")</f>
        <v>14</v>
      </c>
      <c r="M92" s="581" t="str">
        <f t="shared" ref="M92" si="67">+$W$38</f>
        <v>A - Midi</v>
      </c>
      <c r="N92" s="861">
        <f t="shared" si="35"/>
        <v>43920</v>
      </c>
      <c r="O92" s="862"/>
      <c r="P92" s="862"/>
      <c r="Q92" s="862"/>
      <c r="R92" s="862"/>
      <c r="S92" s="862"/>
      <c r="T92" s="862"/>
      <c r="U92" s="862"/>
      <c r="V92" s="862"/>
      <c r="W92" s="863"/>
      <c r="X92" s="751"/>
      <c r="Y92" s="850">
        <f t="shared" si="33"/>
        <v>43926</v>
      </c>
      <c r="Z92" s="850"/>
      <c r="AA92" s="850"/>
      <c r="AB92" s="851"/>
    </row>
    <row r="93" spans="12:28" ht="14.45" customHeight="1">
      <c r="L93" s="744">
        <f>IF(WEEKDAY(N93,2)=1,INT((N93-SUM(MOD(DATE(YEAR(N93-MOD(N93-2,7)+3),1,2),{1E+99;7})*{1;-1})+5)/7),"")</f>
        <v>15</v>
      </c>
      <c r="M93" s="749" t="str">
        <f t="shared" ref="M93" si="68">+$Y$38</f>
        <v>Matin</v>
      </c>
      <c r="N93" s="859">
        <f t="shared" si="35"/>
        <v>43927</v>
      </c>
      <c r="O93" s="860"/>
      <c r="P93" s="860"/>
      <c r="Q93" s="860"/>
      <c r="R93" s="860"/>
      <c r="S93" s="860"/>
      <c r="T93" s="860"/>
      <c r="U93" s="860"/>
      <c r="V93" s="860"/>
      <c r="W93" s="860"/>
      <c r="X93" s="748"/>
      <c r="Y93" s="857">
        <f t="shared" si="33"/>
        <v>43933</v>
      </c>
      <c r="Z93" s="857"/>
      <c r="AA93" s="857"/>
      <c r="AB93" s="858"/>
    </row>
    <row r="94" spans="12:28" ht="14.45" customHeight="1">
      <c r="L94" s="746">
        <f>IF(WEEKDAY(N94,2)=1,INT((N94-SUM(MOD(DATE(YEAR(N94-MOD(N94-2,7)+3),1,2),{1E+99;7})*{1;-1})+5)/7),"")</f>
        <v>16</v>
      </c>
      <c r="M94" s="581" t="str">
        <f t="shared" ref="M94" si="69">+$AB$38</f>
        <v>Mystère</v>
      </c>
      <c r="N94" s="861">
        <f t="shared" si="35"/>
        <v>43934</v>
      </c>
      <c r="O94" s="862"/>
      <c r="P94" s="862"/>
      <c r="Q94" s="862"/>
      <c r="R94" s="862"/>
      <c r="S94" s="862"/>
      <c r="T94" s="862"/>
      <c r="U94" s="862"/>
      <c r="V94" s="862"/>
      <c r="W94" s="863"/>
      <c r="X94" s="751"/>
      <c r="Y94" s="850">
        <f t="shared" si="33"/>
        <v>43940</v>
      </c>
      <c r="Z94" s="850"/>
      <c r="AA94" s="850"/>
      <c r="AB94" s="851"/>
    </row>
    <row r="95" spans="12:28" ht="14.45" customHeight="1">
      <c r="L95" s="744">
        <f>IF(WEEKDAY(N95,2)=1,INT((N95-SUM(MOD(DATE(YEAR(N95-MOD(N95-2,7)+3),1,2),{1E+99;7})*{1;-1})+5)/7),"")</f>
        <v>17</v>
      </c>
      <c r="M95" s="749" t="str">
        <f t="shared" ref="M95" si="70">+$N$38</f>
        <v>Nuit</v>
      </c>
      <c r="N95" s="859">
        <f t="shared" si="35"/>
        <v>43941</v>
      </c>
      <c r="O95" s="860"/>
      <c r="P95" s="860"/>
      <c r="Q95" s="860"/>
      <c r="R95" s="860"/>
      <c r="S95" s="860"/>
      <c r="T95" s="860"/>
      <c r="U95" s="860"/>
      <c r="V95" s="860"/>
      <c r="W95" s="860"/>
      <c r="X95" s="748"/>
      <c r="Y95" s="857">
        <f t="shared" si="33"/>
        <v>43947</v>
      </c>
      <c r="Z95" s="857"/>
      <c r="AA95" s="857"/>
      <c r="AB95" s="858"/>
    </row>
    <row r="96" spans="12:28" ht="14.45" customHeight="1">
      <c r="L96" s="746">
        <f>IF(WEEKDAY(N96,2)=1,INT((N96-SUM(MOD(DATE(YEAR(N96-MOD(N96-2,7)+3),1,2),{1E+99;7})*{1;-1})+5)/7),"")</f>
        <v>18</v>
      </c>
      <c r="M96" s="581" t="str">
        <f t="shared" ref="M96" si="71">+$W$38</f>
        <v>A - Midi</v>
      </c>
      <c r="N96" s="861">
        <f t="shared" si="35"/>
        <v>43948</v>
      </c>
      <c r="O96" s="862"/>
      <c r="P96" s="862"/>
      <c r="Q96" s="862"/>
      <c r="R96" s="862"/>
      <c r="S96" s="862"/>
      <c r="T96" s="862"/>
      <c r="U96" s="862"/>
      <c r="V96" s="862"/>
      <c r="W96" s="863"/>
      <c r="X96" s="751"/>
      <c r="Y96" s="850">
        <f t="shared" si="33"/>
        <v>43954</v>
      </c>
      <c r="Z96" s="850"/>
      <c r="AA96" s="850"/>
      <c r="AB96" s="851"/>
    </row>
    <row r="97" spans="12:28" ht="14.45" customHeight="1">
      <c r="L97" s="744">
        <f>IF(WEEKDAY(N97,2)=1,INT((N97-SUM(MOD(DATE(YEAR(N97-MOD(N97-2,7)+3),1,2),{1E+99;7})*{1;-1})+5)/7),"")</f>
        <v>19</v>
      </c>
      <c r="M97" s="749" t="str">
        <f t="shared" ref="M97" si="72">+$Y$38</f>
        <v>Matin</v>
      </c>
      <c r="N97" s="859">
        <f t="shared" si="35"/>
        <v>43955</v>
      </c>
      <c r="O97" s="860"/>
      <c r="P97" s="860"/>
      <c r="Q97" s="860"/>
      <c r="R97" s="860"/>
      <c r="S97" s="860"/>
      <c r="T97" s="860"/>
      <c r="U97" s="860"/>
      <c r="V97" s="860"/>
      <c r="W97" s="860"/>
      <c r="X97" s="748"/>
      <c r="Y97" s="857">
        <f t="shared" si="33"/>
        <v>43961</v>
      </c>
      <c r="Z97" s="857"/>
      <c r="AA97" s="857"/>
      <c r="AB97" s="858"/>
    </row>
    <row r="98" spans="12:28" ht="14.45" customHeight="1">
      <c r="L98" s="746">
        <f>IF(WEEKDAY(N98,2)=1,INT((N98-SUM(MOD(DATE(YEAR(N98-MOD(N98-2,7)+3),1,2),{1E+99;7})*{1;-1})+5)/7),"")</f>
        <v>20</v>
      </c>
      <c r="M98" s="581" t="str">
        <f t="shared" ref="M98" si="73">+$AB$38</f>
        <v>Mystère</v>
      </c>
      <c r="N98" s="861">
        <f t="shared" si="35"/>
        <v>43962</v>
      </c>
      <c r="O98" s="862"/>
      <c r="P98" s="862"/>
      <c r="Q98" s="862"/>
      <c r="R98" s="862"/>
      <c r="S98" s="862"/>
      <c r="T98" s="862"/>
      <c r="U98" s="862"/>
      <c r="V98" s="862"/>
      <c r="W98" s="863"/>
      <c r="X98" s="751"/>
      <c r="Y98" s="850">
        <f t="shared" si="33"/>
        <v>43968</v>
      </c>
      <c r="Z98" s="850"/>
      <c r="AA98" s="850"/>
      <c r="AB98" s="851"/>
    </row>
    <row r="99" spans="12:28" ht="14.45" customHeight="1">
      <c r="L99" s="744">
        <f>IF(WEEKDAY(N99,2)=1,INT((N99-SUM(MOD(DATE(YEAR(N99-MOD(N99-2,7)+3),1,2),{1E+99;7})*{1;-1})+5)/7),"")</f>
        <v>21</v>
      </c>
      <c r="M99" s="749" t="str">
        <f t="shared" ref="M99" si="74">+$N$38</f>
        <v>Nuit</v>
      </c>
      <c r="N99" s="859">
        <f t="shared" si="35"/>
        <v>43969</v>
      </c>
      <c r="O99" s="860"/>
      <c r="P99" s="860"/>
      <c r="Q99" s="860"/>
      <c r="R99" s="860"/>
      <c r="S99" s="860"/>
      <c r="T99" s="860"/>
      <c r="U99" s="860"/>
      <c r="V99" s="860"/>
      <c r="W99" s="860"/>
      <c r="X99" s="748"/>
      <c r="Y99" s="857">
        <f t="shared" si="33"/>
        <v>43975</v>
      </c>
      <c r="Z99" s="857"/>
      <c r="AA99" s="857"/>
      <c r="AB99" s="858"/>
    </row>
    <row r="100" spans="12:28" ht="14.45" customHeight="1">
      <c r="L100" s="746">
        <f>IF(WEEKDAY(N100,2)=1,INT((N100-SUM(MOD(DATE(YEAR(N100-MOD(N100-2,7)+3),1,2),{1E+99;7})*{1;-1})+5)/7),"")</f>
        <v>22</v>
      </c>
      <c r="M100" s="581" t="str">
        <f t="shared" ref="M100" si="75">+$W$38</f>
        <v>A - Midi</v>
      </c>
      <c r="N100" s="861">
        <f t="shared" si="35"/>
        <v>43976</v>
      </c>
      <c r="O100" s="862"/>
      <c r="P100" s="862"/>
      <c r="Q100" s="862"/>
      <c r="R100" s="862"/>
      <c r="S100" s="862"/>
      <c r="T100" s="862"/>
      <c r="U100" s="862"/>
      <c r="V100" s="862"/>
      <c r="W100" s="863"/>
      <c r="X100" s="751"/>
      <c r="Y100" s="850">
        <f t="shared" si="33"/>
        <v>43982</v>
      </c>
      <c r="Z100" s="850"/>
      <c r="AA100" s="850"/>
      <c r="AB100" s="851"/>
    </row>
    <row r="101" spans="12:28" ht="14.45" customHeight="1" thickBot="1">
      <c r="L101" s="745">
        <f>IF(WEEKDAY(N101,2)=1,INT((N101-SUM(MOD(DATE(YEAR(N101-MOD(N101-2,7)+3),1,2),{1E+99;7})*{1;-1})+5)/7),"")</f>
        <v>23</v>
      </c>
      <c r="M101" s="750" t="str">
        <f t="shared" ref="M101" si="76">+$Y$38</f>
        <v>Matin</v>
      </c>
      <c r="N101" s="864">
        <f t="shared" si="35"/>
        <v>43983</v>
      </c>
      <c r="O101" s="865"/>
      <c r="P101" s="865"/>
      <c r="Q101" s="865"/>
      <c r="R101" s="865"/>
      <c r="S101" s="865"/>
      <c r="T101" s="865"/>
      <c r="U101" s="865"/>
      <c r="V101" s="865"/>
      <c r="W101" s="865"/>
      <c r="X101" s="752"/>
      <c r="Y101" s="852">
        <f t="shared" si="33"/>
        <v>43989</v>
      </c>
      <c r="Z101" s="852"/>
      <c r="AA101" s="852"/>
      <c r="AB101" s="853"/>
    </row>
    <row r="102" spans="12:28">
      <c r="AB102" s="1"/>
    </row>
    <row r="103" spans="12:28">
      <c r="AB103" s="1"/>
    </row>
  </sheetData>
  <sheetProtection password="CAE7" sheet="1" objects="1" scenarios="1"/>
  <mergeCells count="127">
    <mergeCell ref="Y75:AB75"/>
    <mergeCell ref="A3:B3"/>
    <mergeCell ref="O3:P3"/>
    <mergeCell ref="S3:T3"/>
    <mergeCell ref="G36:J36"/>
    <mergeCell ref="G38:J38"/>
    <mergeCell ref="K40:M40"/>
    <mergeCell ref="N40:W40"/>
    <mergeCell ref="L48:M48"/>
    <mergeCell ref="N50:W50"/>
    <mergeCell ref="N56:W56"/>
    <mergeCell ref="N57:W57"/>
    <mergeCell ref="C51:G51"/>
    <mergeCell ref="C52:G52"/>
    <mergeCell ref="N59:W59"/>
    <mergeCell ref="Y59:AB59"/>
    <mergeCell ref="N60:W60"/>
    <mergeCell ref="N61:W61"/>
    <mergeCell ref="N62:W62"/>
    <mergeCell ref="N63:W63"/>
    <mergeCell ref="Y55:AB55"/>
    <mergeCell ref="Y56:AB56"/>
    <mergeCell ref="N51:W51"/>
    <mergeCell ref="N52:W52"/>
    <mergeCell ref="A1:D1"/>
    <mergeCell ref="A2:D2"/>
    <mergeCell ref="AC1:AE1"/>
    <mergeCell ref="AH1:AI1"/>
    <mergeCell ref="K2:L2"/>
    <mergeCell ref="M2:N2"/>
    <mergeCell ref="K1:Y1"/>
    <mergeCell ref="Q2:R2"/>
    <mergeCell ref="O2:P2"/>
    <mergeCell ref="AF2:AG2"/>
    <mergeCell ref="Y85:AB85"/>
    <mergeCell ref="Y86:AB86"/>
    <mergeCell ref="Y87:AB87"/>
    <mergeCell ref="Y88:AB88"/>
    <mergeCell ref="Y89:AB89"/>
    <mergeCell ref="Y76:AB76"/>
    <mergeCell ref="Y77:AB77"/>
    <mergeCell ref="Y78:AB78"/>
    <mergeCell ref="Y79:AB79"/>
    <mergeCell ref="Y80:AB80"/>
    <mergeCell ref="Y81:AB81"/>
    <mergeCell ref="Y82:AB82"/>
    <mergeCell ref="Y83:AB83"/>
    <mergeCell ref="Y84:AB84"/>
    <mergeCell ref="Y49:AB49"/>
    <mergeCell ref="N70:W70"/>
    <mergeCell ref="N71:W71"/>
    <mergeCell ref="N72:W72"/>
    <mergeCell ref="N73:W73"/>
    <mergeCell ref="N74:W74"/>
    <mergeCell ref="N65:W65"/>
    <mergeCell ref="N66:W66"/>
    <mergeCell ref="N67:W67"/>
    <mergeCell ref="N68:W68"/>
    <mergeCell ref="N69:W69"/>
    <mergeCell ref="Y61:AB61"/>
    <mergeCell ref="Y62:AB62"/>
    <mergeCell ref="Y63:AB63"/>
    <mergeCell ref="Y64:AB64"/>
    <mergeCell ref="Y69:AB69"/>
    <mergeCell ref="N49:W49"/>
    <mergeCell ref="N58:W58"/>
    <mergeCell ref="N53:W53"/>
    <mergeCell ref="N54:W54"/>
    <mergeCell ref="N55:W55"/>
    <mergeCell ref="N64:W64"/>
    <mergeCell ref="Y57:AB57"/>
    <mergeCell ref="Y58:AB58"/>
    <mergeCell ref="N81:W81"/>
    <mergeCell ref="N82:W82"/>
    <mergeCell ref="N83:W83"/>
    <mergeCell ref="N84:W84"/>
    <mergeCell ref="N75:W75"/>
    <mergeCell ref="N76:W76"/>
    <mergeCell ref="N77:W77"/>
    <mergeCell ref="N78:W78"/>
    <mergeCell ref="N79:W79"/>
    <mergeCell ref="N100:W100"/>
    <mergeCell ref="N101:W101"/>
    <mergeCell ref="N95:W95"/>
    <mergeCell ref="N96:W96"/>
    <mergeCell ref="N97:W97"/>
    <mergeCell ref="N98:W98"/>
    <mergeCell ref="N99:W99"/>
    <mergeCell ref="N90:W90"/>
    <mergeCell ref="N91:W91"/>
    <mergeCell ref="N92:W92"/>
    <mergeCell ref="N93:W93"/>
    <mergeCell ref="N94:W94"/>
    <mergeCell ref="Y71:AB71"/>
    <mergeCell ref="Y72:AB72"/>
    <mergeCell ref="Y73:AB73"/>
    <mergeCell ref="Y74:AB74"/>
    <mergeCell ref="Y65:AB65"/>
    <mergeCell ref="Y66:AB66"/>
    <mergeCell ref="Y67:AB67"/>
    <mergeCell ref="Y68:AB68"/>
    <mergeCell ref="Y54:AB54"/>
    <mergeCell ref="Y60:AB60"/>
    <mergeCell ref="Y100:AB100"/>
    <mergeCell ref="Y101:AB101"/>
    <mergeCell ref="N48:AB48"/>
    <mergeCell ref="Y95:AB95"/>
    <mergeCell ref="Y96:AB96"/>
    <mergeCell ref="Y97:AB97"/>
    <mergeCell ref="Y98:AB98"/>
    <mergeCell ref="Y99:AB99"/>
    <mergeCell ref="Y90:AB90"/>
    <mergeCell ref="Y91:AB91"/>
    <mergeCell ref="Y92:AB92"/>
    <mergeCell ref="Y93:AB93"/>
    <mergeCell ref="Y94:AB94"/>
    <mergeCell ref="N85:W85"/>
    <mergeCell ref="N86:W86"/>
    <mergeCell ref="N87:W87"/>
    <mergeCell ref="N88:W88"/>
    <mergeCell ref="N89:W89"/>
    <mergeCell ref="N80:W80"/>
    <mergeCell ref="Y50:AB50"/>
    <mergeCell ref="Y51:AB51"/>
    <mergeCell ref="Y52:AB52"/>
    <mergeCell ref="Y53:AB53"/>
    <mergeCell ref="Y70:AB70"/>
  </mergeCells>
  <phoneticPr fontId="0" type="noConversion"/>
  <conditionalFormatting sqref="A4:AB34">
    <cfRule type="expression" dxfId="137" priority="29" stopIfTrue="1">
      <formula>OR(WEEKDAY($C4)=1)</formula>
    </cfRule>
  </conditionalFormatting>
  <conditionalFormatting sqref="A26:B34">
    <cfRule type="expression" dxfId="136" priority="30" stopIfTrue="1">
      <formula>OR(WEEKDAY($C26)=1)</formula>
    </cfRule>
  </conditionalFormatting>
  <conditionalFormatting sqref="A4:B34">
    <cfRule type="expression" dxfId="135" priority="28" stopIfTrue="1">
      <formula>OR(WEEKDAY($C4)=1)</formula>
    </cfRule>
  </conditionalFormatting>
  <conditionalFormatting sqref="L49:L58">
    <cfRule type="expression" dxfId="134" priority="15" stopIfTrue="1">
      <formula>OR(WEEKDAY($C49)=1)</formula>
    </cfRule>
  </conditionalFormatting>
  <conditionalFormatting sqref="L49:L58">
    <cfRule type="expression" dxfId="133" priority="14" stopIfTrue="1">
      <formula>OR(WEEKDAY($C49)=1)</formula>
    </cfRule>
  </conditionalFormatting>
  <conditionalFormatting sqref="L49:L58">
    <cfRule type="expression" dxfId="132" priority="13" stopIfTrue="1">
      <formula>OR(WEEKDAY($C49)=1)</formula>
    </cfRule>
  </conditionalFormatting>
  <conditionalFormatting sqref="L49:L58">
    <cfRule type="expression" dxfId="131" priority="12" stopIfTrue="1">
      <formula>OR(WEEKDAY($C49)=1)</formula>
    </cfRule>
  </conditionalFormatting>
  <conditionalFormatting sqref="L49:L58">
    <cfRule type="expression" dxfId="130" priority="11" stopIfTrue="1">
      <formula>OR(WEEKDAY($C49)=1)</formula>
    </cfRule>
  </conditionalFormatting>
  <conditionalFormatting sqref="L49:L58">
    <cfRule type="expression" dxfId="129" priority="10" stopIfTrue="1">
      <formula>OR(WEEKDAY($C49)=1)</formula>
    </cfRule>
  </conditionalFormatting>
  <conditionalFormatting sqref="L49:L58">
    <cfRule type="expression" dxfId="128" priority="9" stopIfTrue="1">
      <formula>OR(WEEKDAY($C49)=1)</formula>
    </cfRule>
  </conditionalFormatting>
  <conditionalFormatting sqref="L49:L58">
    <cfRule type="expression" dxfId="127" priority="8" stopIfTrue="1">
      <formula>OR(WEEKDAY($C49)=1)</formula>
    </cfRule>
  </conditionalFormatting>
  <conditionalFormatting sqref="L49:L58">
    <cfRule type="expression" dxfId="126" priority="7" stopIfTrue="1">
      <formula>OR(WEEKDAY($C49)=1)</formula>
    </cfRule>
  </conditionalFormatting>
  <conditionalFormatting sqref="L49:L58">
    <cfRule type="expression" dxfId="125" priority="6" stopIfTrue="1">
      <formula>OR(WEEKDAY($C49)=1)</formula>
    </cfRule>
  </conditionalFormatting>
  <conditionalFormatting sqref="L49:L58">
    <cfRule type="expression" dxfId="124" priority="5" stopIfTrue="1">
      <formula>OR(WEEKDAY($C49)=1)</formula>
    </cfRule>
  </conditionalFormatting>
  <conditionalFormatting sqref="L49:L58">
    <cfRule type="expression" dxfId="123" priority="4" stopIfTrue="1">
      <formula>OR(WEEKDAY($C49)=1)</formula>
    </cfRule>
  </conditionalFormatting>
  <conditionalFormatting sqref="L49:L58">
    <cfRule type="expression" dxfId="122" priority="3" stopIfTrue="1">
      <formula>OR(WEEKDAY($C49)=1)</formula>
    </cfRule>
  </conditionalFormatting>
  <conditionalFormatting sqref="L49:L58">
    <cfRule type="expression" dxfId="121" priority="2" stopIfTrue="1">
      <formula>OR(WEEKDAY($C49)=1)</formula>
    </cfRule>
  </conditionalFormatting>
  <conditionalFormatting sqref="L59:L100">
    <cfRule type="expression" dxfId="120" priority="32" stopIfTrue="1">
      <formula>OR(WEEKDAY($C59)=1)</formula>
    </cfRule>
  </conditionalFormatting>
  <conditionalFormatting sqref="L59:L100">
    <cfRule type="expression" dxfId="119" priority="33" stopIfTrue="1">
      <formula>OR(WEEKDAY($C59)=1)</formula>
    </cfRule>
  </conditionalFormatting>
  <conditionalFormatting sqref="L59:L100">
    <cfRule type="expression" dxfId="118" priority="35" stopIfTrue="1">
      <formula>OR(WEEKDAY($C59)=1)</formula>
    </cfRule>
  </conditionalFormatting>
  <conditionalFormatting sqref="L101">
    <cfRule type="expression" dxfId="117" priority="45" stopIfTrue="1">
      <formula>OR(WEEKDAY(#REF!)=1)</formula>
    </cfRule>
  </conditionalFormatting>
  <conditionalFormatting sqref="L101">
    <cfRule type="expression" dxfId="116" priority="47" stopIfTrue="1">
      <formula>OR(WEEKDAY(#REF!)=1)</formula>
    </cfRule>
  </conditionalFormatting>
  <conditionalFormatting sqref="L101">
    <cfRule type="expression" dxfId="115" priority="49" stopIfTrue="1">
      <formula>OR(WEEKDAY(#REF!)=1)</formula>
    </cfRule>
  </conditionalFormatting>
  <conditionalFormatting sqref="C4:D33">
    <cfRule type="cellIs" dxfId="114" priority="63" operator="equal">
      <formula>$C$58</formula>
    </cfRule>
  </conditionalFormatting>
  <dataValidations disablePrompts="1" count="1">
    <dataValidation type="list" allowBlank="1" showInputMessage="1" showErrorMessage="1" sqref="G4:G33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4" orientation="landscape" horizontalDpi="300" verticalDpi="300" r:id="rId1"/>
  <headerFooter alignWithMargins="0"/>
  <rowBreaks count="1" manualBreakCount="1">
    <brk id="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M77"/>
  <sheetViews>
    <sheetView showGridLines="0" view="pageBreakPreview" zoomScaleNormal="75" zoomScaleSheetLayoutView="100" workbookViewId="0">
      <selection activeCell="A34" sqref="A34:XFD36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+juin!C33+1</f>
        <v>43647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97" t="s">
        <v>104</v>
      </c>
      <c r="B3" s="898"/>
      <c r="C3" s="486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>
        <f>IF(WEEKDAY(C4,2)=1,INT((C4-SUM(MOD(DATE(YEAR(C4-MOD(C4-2,7)+3),1,2),{1E+99;7})*{1;-1})+5)/7),"")</f>
        <v>27</v>
      </c>
      <c r="B4" s="482" t="str">
        <f>IF(A4&lt;&gt;"",VLOOKUP(A4,juin!$L$49:$M$101,2,FALSE),"")</f>
        <v>Matin</v>
      </c>
      <c r="C4" s="487">
        <f>+A2</f>
        <v>43647</v>
      </c>
      <c r="D4" s="641" t="s">
        <v>205</v>
      </c>
      <c r="E4" s="637" t="str">
        <f>+IF(AND(WEEKDAY(C4)=1,D4="M"),1,"")</f>
        <v/>
      </c>
      <c r="F4" s="638" t="str">
        <f>+IF(AND(WEEKDAY(C4)=1,D4="N"),1,"")</f>
        <v/>
      </c>
      <c r="G4" s="625" t="s">
        <v>184</v>
      </c>
      <c r="H4" s="128">
        <f t="shared" ref="H4:H34" si="0">+IF(OR(D4="",D4="CP"),"",1)</f>
        <v>1</v>
      </c>
      <c r="I4" s="127" t="str">
        <f>+IF(D4="CP",1,"")</f>
        <v/>
      </c>
      <c r="J4" s="298"/>
      <c r="K4" s="85">
        <v>4.55</v>
      </c>
      <c r="L4" s="8">
        <v>13</v>
      </c>
      <c r="M4" s="8"/>
      <c r="N4" s="368"/>
      <c r="O4" s="371">
        <f>+((K4-INT(K4))/60*100)+INT(K4)</f>
        <v>4.9166666666666661</v>
      </c>
      <c r="P4" s="73">
        <f>+((L4-INT(L4))/60*100)+INT(L4)</f>
        <v>13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>
        <f>+IF(D4="","",IF(D4="CP","",IF(D4="J2",((N4-M4)+(L4-K4)),IF(O4&lt;P4,P4-O4,P4+24-O4)-T4)))</f>
        <v>7.7500000000000009</v>
      </c>
      <c r="V4" s="372">
        <f>IF(O4&lt;P4,IF(K4="","",IF(O4&gt;$D$75,24-O4,IF(O4&lt;$D$76,$D$76-O4,0)))+IF(P4&lt;$D$76,P4,IF(P4&gt;$D$75,P4-$D$75,0)),IF(K4="","",IF(O4&gt;$D$75,24-O4,IF(O4&lt;$D$76,$D$76-O4,3)))+IF(P4&lt;$D$76,P4,IF(P4&gt;$D$75,24-P4,P4)))</f>
        <v>1.0833333333333339</v>
      </c>
      <c r="W4" s="113">
        <f>+IF(U4&gt;=6,U4,IF(D4="J2",((N4-M4)+(L4-K4)),IF(O4&lt;P4,P4-O4,P4+24-O4)))</f>
        <v>7.7500000000000009</v>
      </c>
      <c r="X4" s="249" t="str">
        <f>+IF(D4="cp",(I4*'Récapitulatif '!$AJ$3),"")</f>
        <v/>
      </c>
      <c r="Y4" s="162">
        <f t="shared" ref="Y4:Y34" si="1">+IF(OR(D4="CP",D4=""),"",(IF(V4&gt;6,V4-T4,V4)))</f>
        <v>1.0833333333333339</v>
      </c>
      <c r="Z4" s="154" t="str">
        <f>+IF(D4="CP",1,"")</f>
        <v/>
      </c>
      <c r="AA4" s="154" t="str">
        <f t="shared" ref="AA4:AA34" si="2">+IF(AND(Y4&gt;=3,D4&lt;&gt;""),1,"")</f>
        <v/>
      </c>
      <c r="AB4" s="257" t="str">
        <f>+IF(WEEKDAY(C4)=1,(SUM(W$4:X4)+(juin!AB$34)),"")</f>
        <v/>
      </c>
      <c r="AC4" s="260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+AG4</f>
        <v/>
      </c>
      <c r="AF4" s="260" t="str">
        <f>+IF(AND(WEEKDAY(C4)=1,$C$4:$C$34=$C$68),"",IF(AND($C$4:$C$34=$C$68,D4=""),'Récapitulatif '!$AJ$3,IF(AND(D4="N",AG4&lt;&gt;""),('Récapitulatif '!$AJ$3-AG4),"")))</f>
        <v/>
      </c>
      <c r="AG4" s="294" t="str">
        <f t="shared" ref="AG4:AG34" si="3">+IF(AND($C$4:$C$34=($C$68-1),$D$4:$D$34="N"),(L4-T4),IF(AND($C$4:$C$34=($C$68),$D$4:$D$34="N"),(24-K4),IF($C$4:$C$34=$C$68,$W4,"")))</f>
        <v/>
      </c>
      <c r="AH4" s="380">
        <f t="shared" ref="AH4:AH34" si="4">IF(K4="","",IF(D4="J2","",IF(AI4=1,"",IF(U4&gt;=6,1,""))))</f>
        <v>1</v>
      </c>
      <c r="AI4" s="9" t="str">
        <f t="shared" ref="AI4:AI34" si="5">+IF(K4="","",IF(Y4&gt;=4,1,""))</f>
        <v/>
      </c>
      <c r="AJ4" s="10"/>
      <c r="AL4" s="92" t="s">
        <v>64</v>
      </c>
    </row>
    <row r="5" spans="1:38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487">
        <f>+C4+1</f>
        <v>43648</v>
      </c>
      <c r="D5" s="643" t="s">
        <v>205</v>
      </c>
      <c r="E5" s="637" t="str">
        <f t="shared" ref="E5:E34" si="6">+IF(AND(WEEKDAY(C5)=1,D5="M"),1,"")</f>
        <v/>
      </c>
      <c r="F5" s="638" t="str">
        <f t="shared" ref="F5:F35" si="7">+IF(AND(WEEKDAY(C5)=1,D5="N"),1,"")</f>
        <v/>
      </c>
      <c r="G5" s="626" t="s">
        <v>184</v>
      </c>
      <c r="H5" s="128">
        <f t="shared" si="0"/>
        <v>1</v>
      </c>
      <c r="I5" s="127" t="str">
        <f t="shared" ref="I5:I34" si="8">+IF(D5="CP",1,"")</f>
        <v/>
      </c>
      <c r="J5" s="299"/>
      <c r="K5" s="86">
        <v>4.55</v>
      </c>
      <c r="L5" s="11">
        <v>13</v>
      </c>
      <c r="M5" s="11"/>
      <c r="N5" s="369"/>
      <c r="O5" s="371">
        <f t="shared" ref="O5:O34" si="9">+((K5-INT(K5))/60*100)+INT(K5)</f>
        <v>4.9166666666666661</v>
      </c>
      <c r="P5" s="73">
        <f t="shared" ref="P5:P34" si="10">+((L5-INT(L5))/60*100)+INT(L5)</f>
        <v>13</v>
      </c>
      <c r="Q5" s="73">
        <f t="shared" ref="Q5:Q34" si="11">+((M5-INT(M5))/60*100)+INT(M5)</f>
        <v>0</v>
      </c>
      <c r="R5" s="73">
        <f t="shared" ref="R5:R34" si="12">+((N5-INT(N5))/60*100)+INT(N5)</f>
        <v>0</v>
      </c>
      <c r="S5" s="73">
        <v>0.2</v>
      </c>
      <c r="T5" s="73">
        <f t="shared" ref="T5:T34" si="13">+(S5/60*100)</f>
        <v>0.33333333333333337</v>
      </c>
      <c r="U5" s="12">
        <f t="shared" ref="U5:U34" si="14">+IF(D5="","",IF(D5="CP","",IF(D5="J2",((N5-M5)+(L5-K5)),IF(O5&lt;P5,P5-O5,P5+24-O5)-T5)))</f>
        <v>7.7500000000000009</v>
      </c>
      <c r="V5" s="372">
        <f t="shared" ref="V5:V34" si="15">IF(O5&lt;P5,IF(K5="","",IF(O5&gt;$D$75,24-O5,IF(O5&lt;$D$76,$D$76-O5,0)))+IF(P5&lt;$D$76,P5,IF(P5&gt;$D$75,P5-$D$75,0)),IF(K5="","",IF(O5&gt;$D$75,24-O5,IF(O5&lt;$D$76,$D$76-O5,3)))+IF(P5&lt;$D$76,P5,IF(P5&gt;$D$75,24-P5,P5)))</f>
        <v>1.0833333333333339</v>
      </c>
      <c r="W5" s="114">
        <f t="shared" ref="W5:W34" si="16">+IF(U5&gt;=6,U5,IF(D5="J2",((N5-M5)+(L5-K5)),IF(O5&lt;P5,P5-O5,P5+24-O5)))</f>
        <v>7.7500000000000009</v>
      </c>
      <c r="X5" s="161" t="str">
        <f>+IF(D5="cp",(I5*'Récapitulatif '!$AJ$3),"")</f>
        <v/>
      </c>
      <c r="Y5" s="163">
        <f t="shared" si="1"/>
        <v>1.0833333333333339</v>
      </c>
      <c r="Z5" s="154" t="str">
        <f t="shared" ref="Z5:Z34" si="17">+IF(D5="CP",1,"")</f>
        <v/>
      </c>
      <c r="AA5" s="154" t="str">
        <f t="shared" si="2"/>
        <v/>
      </c>
      <c r="AB5" s="258" t="str">
        <f>+IF(WEEKDAY(C5)=1,(SUM(W$4:X5)+(juin!AB$34)),"")</f>
        <v/>
      </c>
      <c r="AC5" s="220" t="str">
        <f t="shared" ref="AC5:AC34" si="18">+IF(AND(WEEKDAY(C5)=7,D5="N"),(24-O5),IF(WEEKDAY(C5)=7,W5,IF(AND(WEEKDAY(C5)=6,D5="N"),(L5-0.33),IF(WEEKDAY(C5)=7,W5,""))))</f>
        <v/>
      </c>
      <c r="AD5" s="118" t="str">
        <f t="shared" ref="AD5:AD34" si="19">+IF(AND(WEEKDAY(C5)=1,D5="N"),(24-O5),IF(WEEKDAY(C5)=1,W5,IF(AND(WEEKDAY(C5)=7,D5="N"),(L5-0.33),IF(WEEKDAY(C5)=1,W5,""))))</f>
        <v/>
      </c>
      <c r="AE5" s="261" t="str">
        <f t="shared" ref="AE5:AE34" si="20">+AG5</f>
        <v/>
      </c>
      <c r="AF5" s="220" t="str">
        <f>+IF(AND(WEEKDAY(C5)=1,$C$4:$C$34=$C$68),"",IF(AND($C$4:$C$34=$C$68,D5=""),'Récapitulatif '!$AJ$3,IF(AND(D5="N",AG5&lt;&gt;""),('Récapitulatif '!$AJ$3-AG5),"")))</f>
        <v/>
      </c>
      <c r="AG5" s="119" t="str">
        <f t="shared" si="3"/>
        <v/>
      </c>
      <c r="AH5" s="218">
        <f t="shared" si="4"/>
        <v>1</v>
      </c>
      <c r="AI5" s="13" t="str">
        <f t="shared" si="5"/>
        <v/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487">
        <f t="shared" ref="C6:C31" si="21">+C5+1</f>
        <v>43649</v>
      </c>
      <c r="D6" s="650" t="s">
        <v>205</v>
      </c>
      <c r="E6" s="637" t="str">
        <f t="shared" si="6"/>
        <v/>
      </c>
      <c r="F6" s="638" t="str">
        <f t="shared" si="7"/>
        <v/>
      </c>
      <c r="G6" s="628" t="s">
        <v>184</v>
      </c>
      <c r="H6" s="128">
        <f t="shared" si="0"/>
        <v>1</v>
      </c>
      <c r="I6" s="127" t="str">
        <f t="shared" si="8"/>
        <v/>
      </c>
      <c r="J6" s="299"/>
      <c r="K6" s="86">
        <v>4.55</v>
      </c>
      <c r="L6" s="11">
        <v>13</v>
      </c>
      <c r="M6" s="11"/>
      <c r="N6" s="369"/>
      <c r="O6" s="371">
        <f t="shared" si="9"/>
        <v>4.9166666666666661</v>
      </c>
      <c r="P6" s="73">
        <f t="shared" si="10"/>
        <v>13</v>
      </c>
      <c r="Q6" s="73">
        <f t="shared" si="11"/>
        <v>0</v>
      </c>
      <c r="R6" s="73">
        <f t="shared" si="12"/>
        <v>0</v>
      </c>
      <c r="S6" s="73">
        <v>0.2</v>
      </c>
      <c r="T6" s="73">
        <f t="shared" si="13"/>
        <v>0.33333333333333337</v>
      </c>
      <c r="U6" s="12">
        <f t="shared" si="14"/>
        <v>7.7500000000000009</v>
      </c>
      <c r="V6" s="372">
        <f t="shared" si="15"/>
        <v>1.0833333333333339</v>
      </c>
      <c r="W6" s="114">
        <f t="shared" si="16"/>
        <v>7.7500000000000009</v>
      </c>
      <c r="X6" s="161" t="str">
        <f>+IF(D6="cp",(I6*'Récapitulatif '!$AJ$3),"")</f>
        <v/>
      </c>
      <c r="Y6" s="163">
        <f t="shared" si="1"/>
        <v>1.0833333333333339</v>
      </c>
      <c r="Z6" s="154" t="str">
        <f t="shared" si="17"/>
        <v/>
      </c>
      <c r="AA6" s="154" t="str">
        <f t="shared" si="2"/>
        <v/>
      </c>
      <c r="AB6" s="258" t="str">
        <f>+IF(WEEKDAY(C6)=1,(SUM(W$4:X6)+(juin!AB$34)),"")</f>
        <v/>
      </c>
      <c r="AC6" s="220" t="str">
        <f t="shared" si="18"/>
        <v/>
      </c>
      <c r="AD6" s="118" t="str">
        <f t="shared" si="19"/>
        <v/>
      </c>
      <c r="AE6" s="261" t="str">
        <f t="shared" si="20"/>
        <v/>
      </c>
      <c r="AF6" s="220" t="str">
        <f>+IF(AND(WEEKDAY(C6)=1,$C$4:$C$34=$C$68),"",IF(AND($C$4:$C$34=$C$68,D6=""),'Récapitulatif '!$AJ$3,IF(AND(D6="N",AG6&lt;&gt;""),('Récapitulatif '!$AJ$3-AG6),"")))</f>
        <v/>
      </c>
      <c r="AG6" s="119" t="str">
        <f t="shared" si="3"/>
        <v/>
      </c>
      <c r="AH6" s="218">
        <f t="shared" si="4"/>
        <v>1</v>
      </c>
      <c r="AI6" s="13" t="str">
        <f t="shared" si="5"/>
        <v/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487">
        <f t="shared" si="21"/>
        <v>43650</v>
      </c>
      <c r="D7" s="650" t="s">
        <v>205</v>
      </c>
      <c r="E7" s="637" t="str">
        <f t="shared" si="6"/>
        <v/>
      </c>
      <c r="F7" s="638" t="str">
        <f t="shared" si="7"/>
        <v/>
      </c>
      <c r="G7" s="626" t="s">
        <v>184</v>
      </c>
      <c r="H7" s="128">
        <f t="shared" si="0"/>
        <v>1</v>
      </c>
      <c r="I7" s="127" t="str">
        <f t="shared" si="8"/>
        <v/>
      </c>
      <c r="J7" s="299"/>
      <c r="K7" s="86">
        <v>4.55</v>
      </c>
      <c r="L7" s="11">
        <v>13</v>
      </c>
      <c r="M7" s="11"/>
      <c r="N7" s="369"/>
      <c r="O7" s="371">
        <f t="shared" si="9"/>
        <v>4.9166666666666661</v>
      </c>
      <c r="P7" s="73">
        <f t="shared" si="10"/>
        <v>13</v>
      </c>
      <c r="Q7" s="73">
        <f t="shared" si="11"/>
        <v>0</v>
      </c>
      <c r="R7" s="73">
        <f t="shared" si="12"/>
        <v>0</v>
      </c>
      <c r="S7" s="73">
        <v>0.2</v>
      </c>
      <c r="T7" s="73">
        <f t="shared" si="13"/>
        <v>0.33333333333333337</v>
      </c>
      <c r="U7" s="12">
        <f t="shared" si="14"/>
        <v>7.7500000000000009</v>
      </c>
      <c r="V7" s="372">
        <f t="shared" si="15"/>
        <v>1.0833333333333339</v>
      </c>
      <c r="W7" s="114">
        <f t="shared" si="16"/>
        <v>7.7500000000000009</v>
      </c>
      <c r="X7" s="161" t="str">
        <f>+IF(D7="cp",(I7*'Récapitulatif '!$AJ$3),"")</f>
        <v/>
      </c>
      <c r="Y7" s="163">
        <f t="shared" si="1"/>
        <v>1.0833333333333339</v>
      </c>
      <c r="Z7" s="154" t="str">
        <f t="shared" si="17"/>
        <v/>
      </c>
      <c r="AA7" s="154" t="str">
        <f t="shared" si="2"/>
        <v/>
      </c>
      <c r="AB7" s="258" t="str">
        <f>+IF(WEEKDAY(C7)=1,(SUM(W$4:X7)+(juin!AB$34)),"")</f>
        <v/>
      </c>
      <c r="AC7" s="220" t="str">
        <f t="shared" si="18"/>
        <v/>
      </c>
      <c r="AD7" s="118" t="str">
        <f t="shared" si="19"/>
        <v/>
      </c>
      <c r="AE7" s="261" t="str">
        <f t="shared" si="20"/>
        <v/>
      </c>
      <c r="AF7" s="220" t="str">
        <f>+IF(AND(WEEKDAY(C7)=1,$C$4:$C$34=$C$68),"",IF(AND($C$4:$C$34=$C$68,D7=""),'Récapitulatif '!$AJ$3,IF(AND(D7="N",AG7&lt;&gt;""),('Récapitulatif '!$AJ$3-AG7),"")))</f>
        <v/>
      </c>
      <c r="AG7" s="119" t="str">
        <f t="shared" si="3"/>
        <v/>
      </c>
      <c r="AH7" s="218">
        <f t="shared" si="4"/>
        <v>1</v>
      </c>
      <c r="AI7" s="13" t="str">
        <f t="shared" si="5"/>
        <v/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487">
        <f t="shared" si="21"/>
        <v>43651</v>
      </c>
      <c r="D8" s="650"/>
      <c r="E8" s="637" t="str">
        <f t="shared" si="6"/>
        <v/>
      </c>
      <c r="F8" s="638" t="str">
        <f t="shared" si="7"/>
        <v/>
      </c>
      <c r="G8" s="628"/>
      <c r="H8" s="128" t="str">
        <f t="shared" si="0"/>
        <v/>
      </c>
      <c r="I8" s="127" t="str">
        <f t="shared" si="8"/>
        <v/>
      </c>
      <c r="J8" s="299"/>
      <c r="K8" s="86"/>
      <c r="L8" s="11"/>
      <c r="M8" s="11"/>
      <c r="N8" s="369"/>
      <c r="O8" s="371">
        <f t="shared" si="9"/>
        <v>0</v>
      </c>
      <c r="P8" s="73">
        <f t="shared" si="10"/>
        <v>0</v>
      </c>
      <c r="Q8" s="73">
        <f t="shared" si="11"/>
        <v>0</v>
      </c>
      <c r="R8" s="73">
        <f t="shared" si="12"/>
        <v>0</v>
      </c>
      <c r="S8" s="73">
        <v>0.2</v>
      </c>
      <c r="T8" s="73">
        <f t="shared" si="13"/>
        <v>0.33333333333333337</v>
      </c>
      <c r="U8" s="12" t="str">
        <f t="shared" si="14"/>
        <v/>
      </c>
      <c r="V8" s="372" t="e">
        <f t="shared" si="15"/>
        <v>#VALUE!</v>
      </c>
      <c r="W8" s="114" t="str">
        <f t="shared" si="16"/>
        <v/>
      </c>
      <c r="X8" s="161" t="str">
        <f>+IF(D8="cp",(I8*'Récapitulatif '!$AJ$3),"")</f>
        <v/>
      </c>
      <c r="Y8" s="163" t="str">
        <f t="shared" si="1"/>
        <v/>
      </c>
      <c r="Z8" s="154" t="str">
        <f t="shared" si="17"/>
        <v/>
      </c>
      <c r="AA8" s="154" t="str">
        <f t="shared" si="2"/>
        <v/>
      </c>
      <c r="AB8" s="258" t="str">
        <f>+IF(WEEKDAY(C8)=1,(SUM(W$4:X8)+(juin!AB$34)),"")</f>
        <v/>
      </c>
      <c r="AC8" s="220" t="str">
        <f t="shared" si="18"/>
        <v/>
      </c>
      <c r="AD8" s="118" t="str">
        <f t="shared" si="19"/>
        <v/>
      </c>
      <c r="AE8" s="261" t="str">
        <f t="shared" si="20"/>
        <v/>
      </c>
      <c r="AF8" s="220" t="str">
        <f>+IF(AND(WEEKDAY(C8)=1,$C$4:$C$34=$C$68),"",IF(AND($C$4:$C$34=$C$68,D8=""),'Récapitulatif '!$AJ$3,IF(AND(D8="N",AG8&lt;&gt;""),('Récapitulatif '!$AJ$3-AG8),"")))</f>
        <v/>
      </c>
      <c r="AG8" s="119" t="str">
        <f t="shared" si="3"/>
        <v/>
      </c>
      <c r="AH8" s="218" t="str">
        <f t="shared" si="4"/>
        <v/>
      </c>
      <c r="AI8" s="13" t="str">
        <f t="shared" si="5"/>
        <v/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487">
        <f t="shared" si="21"/>
        <v>43652</v>
      </c>
      <c r="D9" s="650"/>
      <c r="E9" s="637" t="str">
        <f t="shared" si="6"/>
        <v/>
      </c>
      <c r="F9" s="638" t="str">
        <f t="shared" si="7"/>
        <v/>
      </c>
      <c r="G9" s="626"/>
      <c r="H9" s="128" t="str">
        <f t="shared" si="0"/>
        <v/>
      </c>
      <c r="I9" s="127" t="str">
        <f t="shared" si="8"/>
        <v/>
      </c>
      <c r="J9" s="299"/>
      <c r="K9" s="86"/>
      <c r="L9" s="11"/>
      <c r="M9" s="11"/>
      <c r="N9" s="369"/>
      <c r="O9" s="371">
        <f t="shared" si="9"/>
        <v>0</v>
      </c>
      <c r="P9" s="73">
        <f t="shared" si="10"/>
        <v>0</v>
      </c>
      <c r="Q9" s="73">
        <f t="shared" si="11"/>
        <v>0</v>
      </c>
      <c r="R9" s="73">
        <f t="shared" si="12"/>
        <v>0</v>
      </c>
      <c r="S9" s="73">
        <v>0.2</v>
      </c>
      <c r="T9" s="73">
        <f t="shared" si="13"/>
        <v>0.33333333333333337</v>
      </c>
      <c r="U9" s="12" t="str">
        <f t="shared" si="14"/>
        <v/>
      </c>
      <c r="V9" s="372" t="e">
        <f t="shared" si="15"/>
        <v>#VALUE!</v>
      </c>
      <c r="W9" s="114" t="str">
        <f t="shared" si="16"/>
        <v/>
      </c>
      <c r="X9" s="161" t="str">
        <f>+IF(D9="cp",(I9*'Récapitulatif '!$AJ$3),"")</f>
        <v/>
      </c>
      <c r="Y9" s="163" t="str">
        <f t="shared" si="1"/>
        <v/>
      </c>
      <c r="Z9" s="154" t="str">
        <f t="shared" si="17"/>
        <v/>
      </c>
      <c r="AA9" s="154" t="str">
        <f t="shared" si="2"/>
        <v/>
      </c>
      <c r="AB9" s="258" t="str">
        <f>+IF(WEEKDAY(C9)=1,(SUM(W$4:X9)+(juin!AB$34)),"")</f>
        <v/>
      </c>
      <c r="AC9" s="220" t="str">
        <f t="shared" si="18"/>
        <v/>
      </c>
      <c r="AD9" s="118" t="str">
        <f t="shared" si="19"/>
        <v/>
      </c>
      <c r="AE9" s="261" t="str">
        <f t="shared" si="20"/>
        <v/>
      </c>
      <c r="AF9" s="220" t="str">
        <f>+IF(AND(WEEKDAY(C9)=1,$C$4:$C$34=$C$68),"",IF(AND($C$4:$C$34=$C$68,D9=""),'Récapitulatif '!$AJ$3,IF(AND(D9="N",AG9&lt;&gt;""),('Récapitulatif '!$AJ$3-AG9),"")))</f>
        <v/>
      </c>
      <c r="AG9" s="119" t="str">
        <f t="shared" si="3"/>
        <v/>
      </c>
      <c r="AH9" s="218" t="str">
        <f t="shared" si="4"/>
        <v/>
      </c>
      <c r="AI9" s="13" t="str">
        <f t="shared" si="5"/>
        <v/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487">
        <f t="shared" si="21"/>
        <v>43653</v>
      </c>
      <c r="D10" s="650" t="s">
        <v>205</v>
      </c>
      <c r="E10" s="637">
        <f t="shared" si="6"/>
        <v>1</v>
      </c>
      <c r="F10" s="638" t="str">
        <f t="shared" si="7"/>
        <v/>
      </c>
      <c r="G10" s="628" t="s">
        <v>184</v>
      </c>
      <c r="H10" s="128">
        <f t="shared" si="0"/>
        <v>1</v>
      </c>
      <c r="I10" s="127" t="str">
        <f t="shared" si="8"/>
        <v/>
      </c>
      <c r="J10" s="299"/>
      <c r="K10" s="86">
        <v>5</v>
      </c>
      <c r="L10" s="11">
        <v>11.1</v>
      </c>
      <c r="M10" s="11"/>
      <c r="N10" s="369"/>
      <c r="O10" s="371">
        <f t="shared" si="9"/>
        <v>5</v>
      </c>
      <c r="P10" s="73">
        <f t="shared" si="10"/>
        <v>11.166666666666666</v>
      </c>
      <c r="Q10" s="73">
        <f t="shared" si="11"/>
        <v>0</v>
      </c>
      <c r="R10" s="73">
        <f t="shared" si="12"/>
        <v>0</v>
      </c>
      <c r="S10" s="73">
        <v>0.2</v>
      </c>
      <c r="T10" s="73">
        <f t="shared" si="13"/>
        <v>0.33333333333333337</v>
      </c>
      <c r="U10" s="12">
        <f t="shared" si="14"/>
        <v>5.833333333333333</v>
      </c>
      <c r="V10" s="372">
        <f t="shared" si="15"/>
        <v>1</v>
      </c>
      <c r="W10" s="114">
        <f t="shared" si="16"/>
        <v>6.1666666666666661</v>
      </c>
      <c r="X10" s="161" t="str">
        <f>+IF(D10="cp",(I10*'Récapitulatif '!$AJ$3),"")</f>
        <v/>
      </c>
      <c r="Y10" s="163">
        <f t="shared" si="1"/>
        <v>1</v>
      </c>
      <c r="Z10" s="154" t="str">
        <f t="shared" si="17"/>
        <v/>
      </c>
      <c r="AA10" s="154" t="str">
        <f t="shared" si="2"/>
        <v/>
      </c>
      <c r="AB10" s="258">
        <f>+IF(WEEKDAY(C10)=1,SUM(W4:X10),"")</f>
        <v>37.166666666666671</v>
      </c>
      <c r="AC10" s="220" t="str">
        <f t="shared" si="18"/>
        <v/>
      </c>
      <c r="AD10" s="118">
        <f t="shared" si="19"/>
        <v>6.1666666666666661</v>
      </c>
      <c r="AE10" s="261" t="str">
        <f t="shared" si="20"/>
        <v/>
      </c>
      <c r="AF10" s="220" t="str">
        <f>+IF(AND(WEEKDAY(C10)=1,$C$4:$C$34=$C$68),"",IF(AND($C$4:$C$34=$C$68,D10=""),'Récapitulatif '!$AJ$3,IF(AND(D10="N",AG10&lt;&gt;""),('Récapitulatif '!$AJ$3-AG10),"")))</f>
        <v/>
      </c>
      <c r="AG10" s="119" t="str">
        <f t="shared" si="3"/>
        <v/>
      </c>
      <c r="AH10" s="218" t="str">
        <f t="shared" si="4"/>
        <v/>
      </c>
      <c r="AI10" s="13" t="str">
        <f t="shared" si="5"/>
        <v/>
      </c>
      <c r="AJ10" s="10"/>
      <c r="AL10" s="92" t="s">
        <v>158</v>
      </c>
    </row>
    <row r="11" spans="1:38">
      <c r="A11" s="482">
        <f>IF(WEEKDAY(C11,2)=1,INT((C11-SUM(MOD(DATE(YEAR(C11-MOD(C11-2,7)+3),1,2),{1E+99;7})*{1;-1})+5)/7),"")</f>
        <v>28</v>
      </c>
      <c r="B11" s="482" t="str">
        <f>IF(A11&lt;&gt;"",VLOOKUP(A11,juin!$L$49:$M$101,2,FALSE),"")</f>
        <v>Mystère</v>
      </c>
      <c r="C11" s="487">
        <f t="shared" si="21"/>
        <v>43654</v>
      </c>
      <c r="D11" s="646" t="s">
        <v>202</v>
      </c>
      <c r="E11" s="637" t="str">
        <f t="shared" si="6"/>
        <v/>
      </c>
      <c r="F11" s="638" t="str">
        <f t="shared" si="7"/>
        <v/>
      </c>
      <c r="G11" s="628" t="s">
        <v>184</v>
      </c>
      <c r="H11" s="128">
        <f t="shared" si="0"/>
        <v>1</v>
      </c>
      <c r="I11" s="127" t="str">
        <f t="shared" si="8"/>
        <v/>
      </c>
      <c r="J11" s="299"/>
      <c r="K11" s="86">
        <v>12.55</v>
      </c>
      <c r="L11" s="11">
        <v>21</v>
      </c>
      <c r="M11" s="11"/>
      <c r="N11" s="369"/>
      <c r="O11" s="371">
        <f t="shared" si="9"/>
        <v>12.916666666666668</v>
      </c>
      <c r="P11" s="73">
        <f t="shared" si="10"/>
        <v>21</v>
      </c>
      <c r="Q11" s="73">
        <f t="shared" si="11"/>
        <v>0</v>
      </c>
      <c r="R11" s="73">
        <f t="shared" si="12"/>
        <v>0</v>
      </c>
      <c r="S11" s="73">
        <v>0.2</v>
      </c>
      <c r="T11" s="73">
        <f t="shared" si="13"/>
        <v>0.33333333333333337</v>
      </c>
      <c r="U11" s="12">
        <f t="shared" si="14"/>
        <v>7.7499999999999991</v>
      </c>
      <c r="V11" s="372">
        <f t="shared" si="15"/>
        <v>0</v>
      </c>
      <c r="W11" s="114">
        <f t="shared" si="16"/>
        <v>7.7499999999999991</v>
      </c>
      <c r="X11" s="161" t="str">
        <f>+IF(D11="cp",(I11*'Récapitulatif '!$AJ$3),"")</f>
        <v/>
      </c>
      <c r="Y11" s="163">
        <f t="shared" si="1"/>
        <v>0</v>
      </c>
      <c r="Z11" s="154" t="str">
        <f t="shared" si="17"/>
        <v/>
      </c>
      <c r="AA11" s="154" t="str">
        <f t="shared" si="2"/>
        <v/>
      </c>
      <c r="AB11" s="258" t="str">
        <f t="shared" ref="AB11:AB34" si="22">+IF(WEEKDAY(C11)=1,SUM(W5:X11),"")</f>
        <v/>
      </c>
      <c r="AC11" s="220" t="str">
        <f t="shared" si="18"/>
        <v/>
      </c>
      <c r="AD11" s="118" t="str">
        <f t="shared" si="19"/>
        <v/>
      </c>
      <c r="AE11" s="261" t="str">
        <f t="shared" si="20"/>
        <v/>
      </c>
      <c r="AF11" s="220" t="str">
        <f>+IF(AND(WEEKDAY(C11)=1,$C$4:$C$34=$C$68),"",IF(AND($C$4:$C$34=$C$68,D11=""),'Récapitulatif '!$AJ$3,IF(AND(D11="N",AG11&lt;&gt;""),('Récapitulatif '!$AJ$3-AG11),"")))</f>
        <v/>
      </c>
      <c r="AG11" s="119" t="str">
        <f t="shared" si="3"/>
        <v/>
      </c>
      <c r="AH11" s="218">
        <f t="shared" si="4"/>
        <v>1</v>
      </c>
      <c r="AI11" s="13" t="str">
        <f t="shared" si="5"/>
        <v/>
      </c>
      <c r="AJ11" s="10"/>
      <c r="AL11" s="1" t="s">
        <v>60</v>
      </c>
    </row>
    <row r="12" spans="1:38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487">
        <f t="shared" si="21"/>
        <v>43655</v>
      </c>
      <c r="D12" s="646" t="s">
        <v>202</v>
      </c>
      <c r="E12" s="637" t="str">
        <f t="shared" si="6"/>
        <v/>
      </c>
      <c r="F12" s="638" t="str">
        <f t="shared" si="7"/>
        <v/>
      </c>
      <c r="G12" s="628" t="s">
        <v>184</v>
      </c>
      <c r="H12" s="128">
        <f t="shared" si="0"/>
        <v>1</v>
      </c>
      <c r="I12" s="127" t="str">
        <f t="shared" si="8"/>
        <v/>
      </c>
      <c r="J12" s="299"/>
      <c r="K12" s="86">
        <v>12.55</v>
      </c>
      <c r="L12" s="11">
        <v>21</v>
      </c>
      <c r="M12" s="11"/>
      <c r="N12" s="369"/>
      <c r="O12" s="371">
        <f t="shared" si="9"/>
        <v>12.916666666666668</v>
      </c>
      <c r="P12" s="73">
        <f t="shared" si="10"/>
        <v>21</v>
      </c>
      <c r="Q12" s="73">
        <f t="shared" si="11"/>
        <v>0</v>
      </c>
      <c r="R12" s="73">
        <f t="shared" si="12"/>
        <v>0</v>
      </c>
      <c r="S12" s="73">
        <v>0.2</v>
      </c>
      <c r="T12" s="73">
        <f t="shared" si="13"/>
        <v>0.33333333333333337</v>
      </c>
      <c r="U12" s="12">
        <f t="shared" si="14"/>
        <v>7.7499999999999991</v>
      </c>
      <c r="V12" s="372">
        <f t="shared" si="15"/>
        <v>0</v>
      </c>
      <c r="W12" s="114">
        <f t="shared" si="16"/>
        <v>7.7499999999999991</v>
      </c>
      <c r="X12" s="161" t="str">
        <f>+IF(D12="cp",(I12*'Récapitulatif '!$AJ$3),"")</f>
        <v/>
      </c>
      <c r="Y12" s="163">
        <f t="shared" si="1"/>
        <v>0</v>
      </c>
      <c r="Z12" s="154" t="str">
        <f t="shared" si="17"/>
        <v/>
      </c>
      <c r="AA12" s="154" t="str">
        <f t="shared" si="2"/>
        <v/>
      </c>
      <c r="AB12" s="258" t="str">
        <f t="shared" si="22"/>
        <v/>
      </c>
      <c r="AC12" s="220" t="str">
        <f t="shared" si="18"/>
        <v/>
      </c>
      <c r="AD12" s="118" t="str">
        <f t="shared" si="19"/>
        <v/>
      </c>
      <c r="AE12" s="261" t="str">
        <f t="shared" si="20"/>
        <v/>
      </c>
      <c r="AF12" s="220" t="str">
        <f>+IF(AND(WEEKDAY(C12)=1,$C$4:$C$34=$C$68),"",IF(AND($C$4:$C$34=$C$68,D12=""),'Récapitulatif '!$AJ$3,IF(AND(D12="N",AG12&lt;&gt;""),('Récapitulatif '!$AJ$3-AG12),"")))</f>
        <v/>
      </c>
      <c r="AG12" s="119" t="str">
        <f t="shared" si="3"/>
        <v/>
      </c>
      <c r="AH12" s="218">
        <f t="shared" si="4"/>
        <v>1</v>
      </c>
      <c r="AI12" s="13" t="str">
        <f t="shared" si="5"/>
        <v/>
      </c>
      <c r="AJ12" s="10"/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487">
        <f t="shared" si="21"/>
        <v>43656</v>
      </c>
      <c r="D13" s="646" t="s">
        <v>202</v>
      </c>
      <c r="E13" s="637" t="str">
        <f t="shared" si="6"/>
        <v/>
      </c>
      <c r="F13" s="638" t="str">
        <f t="shared" si="7"/>
        <v/>
      </c>
      <c r="G13" s="628" t="s">
        <v>184</v>
      </c>
      <c r="H13" s="128">
        <f t="shared" si="0"/>
        <v>1</v>
      </c>
      <c r="I13" s="127" t="str">
        <f t="shared" si="8"/>
        <v/>
      </c>
      <c r="J13" s="299"/>
      <c r="K13" s="86">
        <v>12.55</v>
      </c>
      <c r="L13" s="11">
        <v>21</v>
      </c>
      <c r="M13" s="11"/>
      <c r="N13" s="369"/>
      <c r="O13" s="371">
        <f t="shared" si="9"/>
        <v>12.916666666666668</v>
      </c>
      <c r="P13" s="73">
        <f t="shared" si="10"/>
        <v>21</v>
      </c>
      <c r="Q13" s="73">
        <f t="shared" si="11"/>
        <v>0</v>
      </c>
      <c r="R13" s="73">
        <f t="shared" si="12"/>
        <v>0</v>
      </c>
      <c r="S13" s="73">
        <v>0.2</v>
      </c>
      <c r="T13" s="73">
        <f t="shared" si="13"/>
        <v>0.33333333333333337</v>
      </c>
      <c r="U13" s="12">
        <f t="shared" si="14"/>
        <v>7.7499999999999991</v>
      </c>
      <c r="V13" s="372">
        <f t="shared" si="15"/>
        <v>0</v>
      </c>
      <c r="W13" s="114">
        <f t="shared" si="16"/>
        <v>7.7499999999999991</v>
      </c>
      <c r="X13" s="161" t="str">
        <f>+IF(D13="cp",(I13*'Récapitulatif '!$AJ$3),"")</f>
        <v/>
      </c>
      <c r="Y13" s="163">
        <f t="shared" si="1"/>
        <v>0</v>
      </c>
      <c r="Z13" s="154" t="str">
        <f t="shared" si="17"/>
        <v/>
      </c>
      <c r="AA13" s="154" t="str">
        <f t="shared" si="2"/>
        <v/>
      </c>
      <c r="AB13" s="258" t="str">
        <f t="shared" si="22"/>
        <v/>
      </c>
      <c r="AC13" s="220" t="str">
        <f t="shared" si="18"/>
        <v/>
      </c>
      <c r="AD13" s="118" t="str">
        <f t="shared" si="19"/>
        <v/>
      </c>
      <c r="AE13" s="261" t="str">
        <f t="shared" si="20"/>
        <v/>
      </c>
      <c r="AF13" s="220" t="str">
        <f>+IF(AND(WEEKDAY(C13)=1,$C$4:$C$34=$C$68),"",IF(AND($C$4:$C$34=$C$68,D13=""),'Récapitulatif '!$AJ$3,IF(AND(D13="N",AG13&lt;&gt;""),('Récapitulatif '!$AJ$3-AG13),"")))</f>
        <v/>
      </c>
      <c r="AG13" s="119" t="str">
        <f t="shared" si="3"/>
        <v/>
      </c>
      <c r="AH13" s="218">
        <f t="shared" si="4"/>
        <v>1</v>
      </c>
      <c r="AI13" s="13" t="str">
        <f t="shared" si="5"/>
        <v/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487">
        <f t="shared" si="21"/>
        <v>43657</v>
      </c>
      <c r="D14" s="646" t="s">
        <v>202</v>
      </c>
      <c r="E14" s="637" t="str">
        <f t="shared" si="6"/>
        <v/>
      </c>
      <c r="F14" s="638" t="str">
        <f t="shared" si="7"/>
        <v/>
      </c>
      <c r="G14" s="628" t="s">
        <v>184</v>
      </c>
      <c r="H14" s="128">
        <f t="shared" si="0"/>
        <v>1</v>
      </c>
      <c r="I14" s="127" t="str">
        <f t="shared" si="8"/>
        <v/>
      </c>
      <c r="J14" s="299"/>
      <c r="K14" s="86">
        <v>12.55</v>
      </c>
      <c r="L14" s="11">
        <v>19</v>
      </c>
      <c r="M14" s="11"/>
      <c r="N14" s="369"/>
      <c r="O14" s="371">
        <f t="shared" si="9"/>
        <v>12.916666666666668</v>
      </c>
      <c r="P14" s="73">
        <f t="shared" si="10"/>
        <v>19</v>
      </c>
      <c r="Q14" s="73">
        <f t="shared" si="11"/>
        <v>0</v>
      </c>
      <c r="R14" s="73">
        <f t="shared" si="12"/>
        <v>0</v>
      </c>
      <c r="S14" s="73">
        <v>0.2</v>
      </c>
      <c r="T14" s="73">
        <f t="shared" si="13"/>
        <v>0.33333333333333337</v>
      </c>
      <c r="U14" s="12">
        <f t="shared" si="14"/>
        <v>5.7499999999999991</v>
      </c>
      <c r="V14" s="372">
        <f t="shared" si="15"/>
        <v>0</v>
      </c>
      <c r="W14" s="114">
        <f t="shared" si="16"/>
        <v>6.0833333333333321</v>
      </c>
      <c r="X14" s="161" t="str">
        <f>+IF(D14="cp",(I14*'Récapitulatif '!$AJ$3),"")</f>
        <v/>
      </c>
      <c r="Y14" s="163">
        <f t="shared" si="1"/>
        <v>0</v>
      </c>
      <c r="Z14" s="154" t="str">
        <f t="shared" si="17"/>
        <v/>
      </c>
      <c r="AA14" s="154" t="str">
        <f t="shared" si="2"/>
        <v/>
      </c>
      <c r="AB14" s="258" t="str">
        <f t="shared" si="22"/>
        <v/>
      </c>
      <c r="AC14" s="220" t="str">
        <f t="shared" si="18"/>
        <v/>
      </c>
      <c r="AD14" s="118" t="str">
        <f t="shared" si="19"/>
        <v/>
      </c>
      <c r="AE14" s="261" t="str">
        <f t="shared" si="20"/>
        <v/>
      </c>
      <c r="AF14" s="220" t="str">
        <f>+IF(AND(WEEKDAY(C14)=1,$C$4:$C$34=$C$68),"",IF(AND($C$4:$C$34=$C$68,D14=""),'Récapitulatif '!$AJ$3,IF(AND(D14="N",AG14&lt;&gt;""),('Récapitulatif '!$AJ$3-AG14),"")))</f>
        <v/>
      </c>
      <c r="AG14" s="119" t="str">
        <f t="shared" si="3"/>
        <v/>
      </c>
      <c r="AH14" s="218" t="str">
        <f t="shared" si="4"/>
        <v/>
      </c>
      <c r="AI14" s="13" t="str">
        <f t="shared" si="5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487">
        <f t="shared" si="21"/>
        <v>43658</v>
      </c>
      <c r="D15" s="646" t="s">
        <v>202</v>
      </c>
      <c r="E15" s="637" t="str">
        <f t="shared" si="6"/>
        <v/>
      </c>
      <c r="F15" s="638" t="str">
        <f t="shared" si="7"/>
        <v/>
      </c>
      <c r="G15" s="628" t="s">
        <v>184</v>
      </c>
      <c r="H15" s="128">
        <f t="shared" si="0"/>
        <v>1</v>
      </c>
      <c r="I15" s="127" t="str">
        <f t="shared" si="8"/>
        <v/>
      </c>
      <c r="J15" s="299"/>
      <c r="K15" s="86">
        <v>11.55</v>
      </c>
      <c r="L15" s="11">
        <v>18.149999999999999</v>
      </c>
      <c r="M15" s="11"/>
      <c r="N15" s="369"/>
      <c r="O15" s="371">
        <f t="shared" si="9"/>
        <v>11.916666666666668</v>
      </c>
      <c r="P15" s="73">
        <f t="shared" si="10"/>
        <v>18.249999999999996</v>
      </c>
      <c r="Q15" s="73">
        <f t="shared" si="11"/>
        <v>0</v>
      </c>
      <c r="R15" s="73">
        <f t="shared" si="12"/>
        <v>0</v>
      </c>
      <c r="S15" s="73">
        <v>0.2</v>
      </c>
      <c r="T15" s="73">
        <f t="shared" si="13"/>
        <v>0.33333333333333337</v>
      </c>
      <c r="U15" s="12">
        <f t="shared" si="14"/>
        <v>5.9999999999999956</v>
      </c>
      <c r="V15" s="372">
        <f t="shared" si="15"/>
        <v>0</v>
      </c>
      <c r="W15" s="114">
        <f t="shared" si="16"/>
        <v>5.9999999999999956</v>
      </c>
      <c r="X15" s="161" t="str">
        <f>+IF(D15="cp",(I15*'Récapitulatif '!$AJ$3),"")</f>
        <v/>
      </c>
      <c r="Y15" s="163">
        <f t="shared" si="1"/>
        <v>0</v>
      </c>
      <c r="Z15" s="154" t="str">
        <f t="shared" si="17"/>
        <v/>
      </c>
      <c r="AA15" s="154" t="str">
        <f t="shared" si="2"/>
        <v/>
      </c>
      <c r="AB15" s="258" t="str">
        <f t="shared" si="22"/>
        <v/>
      </c>
      <c r="AC15" s="220" t="str">
        <f t="shared" si="18"/>
        <v/>
      </c>
      <c r="AD15" s="118" t="str">
        <f t="shared" si="19"/>
        <v/>
      </c>
      <c r="AE15" s="261" t="str">
        <f t="shared" si="20"/>
        <v/>
      </c>
      <c r="AF15" s="220" t="str">
        <f>+IF(AND(WEEKDAY(C15)=1,$C$4:$C$34=$C$68),"",IF(AND($C$4:$C$34=$C$68,D15=""),'Récapitulatif '!$AJ$3,IF(AND(D15="N",AG15&lt;&gt;""),('Récapitulatif '!$AJ$3-AG15),"")))</f>
        <v/>
      </c>
      <c r="AG15" s="119" t="str">
        <f t="shared" si="3"/>
        <v/>
      </c>
      <c r="AH15" s="218">
        <f t="shared" si="4"/>
        <v>1</v>
      </c>
      <c r="AI15" s="13" t="str">
        <f t="shared" si="5"/>
        <v/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487">
        <f t="shared" si="21"/>
        <v>43659</v>
      </c>
      <c r="D16" s="646"/>
      <c r="E16" s="637" t="str">
        <f t="shared" si="6"/>
        <v/>
      </c>
      <c r="F16" s="638" t="str">
        <f t="shared" si="7"/>
        <v/>
      </c>
      <c r="G16" s="628"/>
      <c r="H16" s="128" t="str">
        <f t="shared" si="0"/>
        <v/>
      </c>
      <c r="I16" s="127" t="str">
        <f t="shared" si="8"/>
        <v/>
      </c>
      <c r="J16" s="299"/>
      <c r="K16" s="86"/>
      <c r="L16" s="11"/>
      <c r="M16" s="11"/>
      <c r="N16" s="369"/>
      <c r="O16" s="371">
        <f t="shared" si="9"/>
        <v>0</v>
      </c>
      <c r="P16" s="73">
        <f t="shared" si="10"/>
        <v>0</v>
      </c>
      <c r="Q16" s="73">
        <f t="shared" si="11"/>
        <v>0</v>
      </c>
      <c r="R16" s="73">
        <f t="shared" si="12"/>
        <v>0</v>
      </c>
      <c r="S16" s="73">
        <v>0.2</v>
      </c>
      <c r="T16" s="73">
        <f t="shared" si="13"/>
        <v>0.33333333333333337</v>
      </c>
      <c r="U16" s="12" t="str">
        <f t="shared" si="14"/>
        <v/>
      </c>
      <c r="V16" s="372" t="e">
        <f t="shared" si="15"/>
        <v>#VALUE!</v>
      </c>
      <c r="W16" s="114" t="str">
        <f t="shared" si="16"/>
        <v/>
      </c>
      <c r="X16" s="161" t="str">
        <f>+IF(D16="cp",(I16*'Récapitulatif '!$AJ$3),"")</f>
        <v/>
      </c>
      <c r="Y16" s="163" t="str">
        <f t="shared" si="1"/>
        <v/>
      </c>
      <c r="Z16" s="154" t="str">
        <f t="shared" si="17"/>
        <v/>
      </c>
      <c r="AA16" s="154" t="str">
        <f t="shared" si="2"/>
        <v/>
      </c>
      <c r="AB16" s="258" t="str">
        <f t="shared" si="22"/>
        <v/>
      </c>
      <c r="AC16" s="220" t="str">
        <f t="shared" si="18"/>
        <v/>
      </c>
      <c r="AD16" s="118" t="str">
        <f t="shared" si="19"/>
        <v/>
      </c>
      <c r="AE16" s="261" t="str">
        <f t="shared" si="20"/>
        <v/>
      </c>
      <c r="AF16" s="220" t="str">
        <f>+IF(AND(WEEKDAY(C16)=1,$C$4:$C$34=$C$68),"",IF(AND($C$4:$C$34=$C$68,D16=""),'Récapitulatif '!$AJ$3,IF(AND(D16="N",AG16&lt;&gt;""),('Récapitulatif '!$AJ$3-AG16),"")))</f>
        <v/>
      </c>
      <c r="AG16" s="119" t="str">
        <f t="shared" si="3"/>
        <v/>
      </c>
      <c r="AH16" s="218" t="str">
        <f t="shared" si="4"/>
        <v/>
      </c>
      <c r="AI16" s="13" t="str">
        <f t="shared" si="5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487">
        <f t="shared" si="21"/>
        <v>43660</v>
      </c>
      <c r="D17" s="646" t="s">
        <v>203</v>
      </c>
      <c r="E17" s="637" t="str">
        <f t="shared" si="6"/>
        <v/>
      </c>
      <c r="F17" s="638">
        <f t="shared" si="7"/>
        <v>1</v>
      </c>
      <c r="G17" s="628" t="s">
        <v>184</v>
      </c>
      <c r="H17" s="128">
        <f t="shared" si="0"/>
        <v>1</v>
      </c>
      <c r="I17" s="127" t="str">
        <f t="shared" si="8"/>
        <v/>
      </c>
      <c r="J17" s="299"/>
      <c r="K17" s="86">
        <v>21</v>
      </c>
      <c r="L17" s="11">
        <v>5</v>
      </c>
      <c r="M17" s="11"/>
      <c r="N17" s="369"/>
      <c r="O17" s="371">
        <f t="shared" si="9"/>
        <v>21</v>
      </c>
      <c r="P17" s="73">
        <f t="shared" si="10"/>
        <v>5</v>
      </c>
      <c r="Q17" s="73">
        <f t="shared" si="11"/>
        <v>0</v>
      </c>
      <c r="R17" s="73">
        <f t="shared" si="12"/>
        <v>0</v>
      </c>
      <c r="S17" s="73">
        <v>0.2</v>
      </c>
      <c r="T17" s="73">
        <f t="shared" si="13"/>
        <v>0.33333333333333337</v>
      </c>
      <c r="U17" s="12">
        <f t="shared" si="14"/>
        <v>7.666666666666667</v>
      </c>
      <c r="V17" s="372">
        <f t="shared" si="15"/>
        <v>8</v>
      </c>
      <c r="W17" s="114">
        <f t="shared" si="16"/>
        <v>7.666666666666667</v>
      </c>
      <c r="X17" s="161" t="str">
        <f>+IF(D17="cp",(I17*'Récapitulatif '!$AJ$3),"")</f>
        <v/>
      </c>
      <c r="Y17" s="163">
        <f t="shared" si="1"/>
        <v>7.666666666666667</v>
      </c>
      <c r="Z17" s="154" t="str">
        <f t="shared" si="17"/>
        <v/>
      </c>
      <c r="AA17" s="154">
        <f t="shared" si="2"/>
        <v>1</v>
      </c>
      <c r="AB17" s="258">
        <f t="shared" si="22"/>
        <v>42.999999999999986</v>
      </c>
      <c r="AC17" s="220" t="str">
        <f t="shared" si="18"/>
        <v/>
      </c>
      <c r="AD17" s="118">
        <f t="shared" si="19"/>
        <v>3</v>
      </c>
      <c r="AE17" s="261">
        <f t="shared" si="20"/>
        <v>3</v>
      </c>
      <c r="AF17" s="220" t="str">
        <f>+IF(AND(WEEKDAY(C17)=1,$C$4:$C$34=$C$68),"",IF(AND($C$4:$C$34=$C$68,D17=""),'Récapitulatif '!$AJ$3,IF(AND(D17="N",AG17&lt;&gt;""),('Récapitulatif '!$AJ$3-AG17),"")))</f>
        <v/>
      </c>
      <c r="AG17" s="119">
        <f>+IF(AND($C$4:$C$34=($C$68-1),$D$4:$D$34="N"),(L17-T17),IF(AND($C$4:$C$34=($C$68),$D$4:$D$34="N"),(24-K17),IF($C$4:$C$34=$C$68,$W17,"")))</f>
        <v>3</v>
      </c>
      <c r="AH17" s="218" t="str">
        <f t="shared" si="4"/>
        <v/>
      </c>
      <c r="AI17" s="13">
        <f t="shared" si="5"/>
        <v>1</v>
      </c>
      <c r="AL17" s="1" t="s">
        <v>70</v>
      </c>
    </row>
    <row r="18" spans="1:38">
      <c r="A18" s="482">
        <f>IF(WEEKDAY(C18,2)=1,INT((C18-SUM(MOD(DATE(YEAR(C18-MOD(C18-2,7)+3),1,2),{1E+99;7})*{1;-1})+5)/7),"")</f>
        <v>29</v>
      </c>
      <c r="B18" s="482" t="str">
        <f>IF(A18&lt;&gt;"",VLOOKUP(A18,juin!$L$49:$M$101,2,FALSE),"")</f>
        <v>Nuit</v>
      </c>
      <c r="C18" s="487">
        <f t="shared" si="21"/>
        <v>43661</v>
      </c>
      <c r="D18" s="646" t="s">
        <v>203</v>
      </c>
      <c r="E18" s="637" t="str">
        <f t="shared" si="6"/>
        <v/>
      </c>
      <c r="F18" s="638" t="str">
        <f t="shared" si="7"/>
        <v/>
      </c>
      <c r="G18" s="628" t="s">
        <v>184</v>
      </c>
      <c r="H18" s="128">
        <f t="shared" si="0"/>
        <v>1</v>
      </c>
      <c r="I18" s="127" t="str">
        <f t="shared" si="8"/>
        <v/>
      </c>
      <c r="J18" s="299"/>
      <c r="K18" s="86">
        <v>20.55</v>
      </c>
      <c r="L18" s="11">
        <v>5</v>
      </c>
      <c r="M18" s="11"/>
      <c r="N18" s="369"/>
      <c r="O18" s="371">
        <f t="shared" si="9"/>
        <v>20.916666666666668</v>
      </c>
      <c r="P18" s="73">
        <f t="shared" si="10"/>
        <v>5</v>
      </c>
      <c r="Q18" s="73">
        <f t="shared" si="11"/>
        <v>0</v>
      </c>
      <c r="R18" s="73">
        <f t="shared" si="12"/>
        <v>0</v>
      </c>
      <c r="S18" s="73">
        <v>0.2</v>
      </c>
      <c r="T18" s="73">
        <f t="shared" si="13"/>
        <v>0.33333333333333337</v>
      </c>
      <c r="U18" s="12">
        <f t="shared" si="14"/>
        <v>7.7499999999999991</v>
      </c>
      <c r="V18" s="372">
        <f t="shared" si="15"/>
        <v>8</v>
      </c>
      <c r="W18" s="114">
        <f t="shared" si="16"/>
        <v>7.7499999999999991</v>
      </c>
      <c r="X18" s="161" t="str">
        <f>+IF(D18="cp",(I18*'Récapitulatif '!$AJ$3),"")</f>
        <v/>
      </c>
      <c r="Y18" s="163">
        <f t="shared" si="1"/>
        <v>7.666666666666667</v>
      </c>
      <c r="Z18" s="154" t="str">
        <f t="shared" si="17"/>
        <v/>
      </c>
      <c r="AA18" s="154">
        <f t="shared" si="2"/>
        <v>1</v>
      </c>
      <c r="AB18" s="258" t="str">
        <f t="shared" si="22"/>
        <v/>
      </c>
      <c r="AC18" s="220" t="str">
        <f t="shared" si="18"/>
        <v/>
      </c>
      <c r="AD18" s="118" t="str">
        <f t="shared" si="19"/>
        <v/>
      </c>
      <c r="AE18" s="261" t="str">
        <f t="shared" si="20"/>
        <v/>
      </c>
      <c r="AF18" s="220" t="str">
        <f>+IF(AND(WEEKDAY(C18)=1,$C$4:$C$34=$C$68),"",IF(AND($C$4:$C$34=$C$68,D18=""),'Récapitulatif '!$AJ$3,IF(AND(D18="N",AG18&lt;&gt;""),('Récapitulatif '!$AJ$3-AG18),"")))</f>
        <v/>
      </c>
      <c r="AG18" s="119" t="str">
        <f t="shared" si="3"/>
        <v/>
      </c>
      <c r="AH18" s="218" t="str">
        <f t="shared" si="4"/>
        <v/>
      </c>
      <c r="AI18" s="13">
        <f t="shared" si="5"/>
        <v>1</v>
      </c>
      <c r="AL18" s="1" t="s">
        <v>71</v>
      </c>
    </row>
    <row r="19" spans="1:38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487">
        <f t="shared" si="21"/>
        <v>43662</v>
      </c>
      <c r="D19" s="646" t="s">
        <v>203</v>
      </c>
      <c r="E19" s="637" t="str">
        <f t="shared" si="6"/>
        <v/>
      </c>
      <c r="F19" s="638" t="str">
        <f t="shared" si="7"/>
        <v/>
      </c>
      <c r="G19" s="628" t="s">
        <v>184</v>
      </c>
      <c r="H19" s="128">
        <f t="shared" si="0"/>
        <v>1</v>
      </c>
      <c r="I19" s="127" t="str">
        <f t="shared" si="8"/>
        <v/>
      </c>
      <c r="J19" s="299"/>
      <c r="K19" s="86">
        <v>20.55</v>
      </c>
      <c r="L19" s="11">
        <v>5</v>
      </c>
      <c r="M19" s="11"/>
      <c r="N19" s="369"/>
      <c r="O19" s="371">
        <f t="shared" si="9"/>
        <v>20.916666666666668</v>
      </c>
      <c r="P19" s="73">
        <f t="shared" si="10"/>
        <v>5</v>
      </c>
      <c r="Q19" s="73">
        <f t="shared" si="11"/>
        <v>0</v>
      </c>
      <c r="R19" s="73">
        <f t="shared" si="12"/>
        <v>0</v>
      </c>
      <c r="S19" s="73">
        <v>0.2</v>
      </c>
      <c r="T19" s="73">
        <f t="shared" si="13"/>
        <v>0.33333333333333337</v>
      </c>
      <c r="U19" s="12">
        <f t="shared" si="14"/>
        <v>7.7499999999999991</v>
      </c>
      <c r="V19" s="372">
        <f t="shared" si="15"/>
        <v>8</v>
      </c>
      <c r="W19" s="114">
        <f t="shared" si="16"/>
        <v>7.7499999999999991</v>
      </c>
      <c r="X19" s="161" t="str">
        <f>+IF(D19="cp",(I19*'Récapitulatif '!$AJ$3),"")</f>
        <v/>
      </c>
      <c r="Y19" s="163">
        <f t="shared" si="1"/>
        <v>7.666666666666667</v>
      </c>
      <c r="Z19" s="154" t="str">
        <f t="shared" si="17"/>
        <v/>
      </c>
      <c r="AA19" s="154">
        <f t="shared" si="2"/>
        <v>1</v>
      </c>
      <c r="AB19" s="258" t="str">
        <f t="shared" si="22"/>
        <v/>
      </c>
      <c r="AC19" s="220" t="str">
        <f t="shared" si="18"/>
        <v/>
      </c>
      <c r="AD19" s="118" t="str">
        <f t="shared" si="19"/>
        <v/>
      </c>
      <c r="AE19" s="261" t="str">
        <f t="shared" si="20"/>
        <v/>
      </c>
      <c r="AF19" s="220" t="str">
        <f>+IF(AND(WEEKDAY(C19)=1,$C$4:$C$34=$C$68),"",IF(AND($C$4:$C$34=$C$68,D19=""),'Récapitulatif '!$AJ$3,IF(AND(D19="N",AG19&lt;&gt;""),('Récapitulatif '!$AJ$3-AG19),"")))</f>
        <v/>
      </c>
      <c r="AG19" s="119" t="str">
        <f t="shared" si="3"/>
        <v/>
      </c>
      <c r="AH19" s="218" t="str">
        <f t="shared" si="4"/>
        <v/>
      </c>
      <c r="AI19" s="13">
        <f t="shared" si="5"/>
        <v>1</v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487">
        <f t="shared" si="21"/>
        <v>43663</v>
      </c>
      <c r="D20" s="646" t="s">
        <v>203</v>
      </c>
      <c r="E20" s="637" t="str">
        <f t="shared" si="6"/>
        <v/>
      </c>
      <c r="F20" s="638" t="str">
        <f t="shared" si="7"/>
        <v/>
      </c>
      <c r="G20" s="628" t="s">
        <v>184</v>
      </c>
      <c r="H20" s="128">
        <f t="shared" si="0"/>
        <v>1</v>
      </c>
      <c r="I20" s="127" t="str">
        <f t="shared" si="8"/>
        <v/>
      </c>
      <c r="J20" s="299"/>
      <c r="K20" s="86">
        <v>20.55</v>
      </c>
      <c r="L20" s="11">
        <v>5</v>
      </c>
      <c r="M20" s="11"/>
      <c r="N20" s="369"/>
      <c r="O20" s="371">
        <f t="shared" si="9"/>
        <v>20.916666666666668</v>
      </c>
      <c r="P20" s="73">
        <f t="shared" si="10"/>
        <v>5</v>
      </c>
      <c r="Q20" s="73">
        <f t="shared" si="11"/>
        <v>0</v>
      </c>
      <c r="R20" s="73">
        <f t="shared" si="12"/>
        <v>0</v>
      </c>
      <c r="S20" s="73">
        <v>0.2</v>
      </c>
      <c r="T20" s="73">
        <f t="shared" si="13"/>
        <v>0.33333333333333337</v>
      </c>
      <c r="U20" s="12">
        <f t="shared" si="14"/>
        <v>7.7499999999999991</v>
      </c>
      <c r="V20" s="372">
        <f t="shared" si="15"/>
        <v>8</v>
      </c>
      <c r="W20" s="114">
        <f t="shared" si="16"/>
        <v>7.7499999999999991</v>
      </c>
      <c r="X20" s="161" t="str">
        <f>+IF(D20="cp",(I20*'Récapitulatif '!$AJ$3),"")</f>
        <v/>
      </c>
      <c r="Y20" s="163">
        <f t="shared" si="1"/>
        <v>7.666666666666667</v>
      </c>
      <c r="Z20" s="154" t="str">
        <f t="shared" si="17"/>
        <v/>
      </c>
      <c r="AA20" s="154">
        <f t="shared" si="2"/>
        <v>1</v>
      </c>
      <c r="AB20" s="258" t="str">
        <f t="shared" si="22"/>
        <v/>
      </c>
      <c r="AC20" s="220" t="str">
        <f t="shared" si="18"/>
        <v/>
      </c>
      <c r="AD20" s="118" t="str">
        <f t="shared" si="19"/>
        <v/>
      </c>
      <c r="AE20" s="261" t="str">
        <f t="shared" si="20"/>
        <v/>
      </c>
      <c r="AF20" s="220" t="str">
        <f>+IF(AND(WEEKDAY(C20)=1,$C$4:$C$34=$C$68),"",IF(AND($C$4:$C$34=$C$68,D20=""),'Récapitulatif '!$AJ$3,IF(AND(D20="N",AG20&lt;&gt;""),('Récapitulatif '!$AJ$3-AG20),"")))</f>
        <v/>
      </c>
      <c r="AG20" s="119" t="str">
        <f t="shared" si="3"/>
        <v/>
      </c>
      <c r="AH20" s="218" t="str">
        <f t="shared" si="4"/>
        <v/>
      </c>
      <c r="AI20" s="13">
        <f t="shared" si="5"/>
        <v>1</v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487">
        <f t="shared" si="21"/>
        <v>43664</v>
      </c>
      <c r="D21" s="646" t="s">
        <v>203</v>
      </c>
      <c r="E21" s="637" t="str">
        <f t="shared" si="6"/>
        <v/>
      </c>
      <c r="F21" s="638" t="str">
        <f t="shared" si="7"/>
        <v/>
      </c>
      <c r="G21" s="628" t="s">
        <v>184</v>
      </c>
      <c r="H21" s="128">
        <f t="shared" si="0"/>
        <v>1</v>
      </c>
      <c r="I21" s="127" t="str">
        <f t="shared" si="8"/>
        <v/>
      </c>
      <c r="J21" s="299"/>
      <c r="K21" s="86">
        <v>19</v>
      </c>
      <c r="L21" s="11">
        <v>0.15</v>
      </c>
      <c r="M21" s="11"/>
      <c r="N21" s="369"/>
      <c r="O21" s="371">
        <f t="shared" si="9"/>
        <v>19</v>
      </c>
      <c r="P21" s="73">
        <f t="shared" si="10"/>
        <v>0.25</v>
      </c>
      <c r="Q21" s="73">
        <f t="shared" si="11"/>
        <v>0</v>
      </c>
      <c r="R21" s="73">
        <f t="shared" si="12"/>
        <v>0</v>
      </c>
      <c r="S21" s="73">
        <v>0.2</v>
      </c>
      <c r="T21" s="73">
        <f t="shared" si="13"/>
        <v>0.33333333333333337</v>
      </c>
      <c r="U21" s="12">
        <f t="shared" si="14"/>
        <v>4.916666666666667</v>
      </c>
      <c r="V21" s="372">
        <f t="shared" si="15"/>
        <v>3.25</v>
      </c>
      <c r="W21" s="114">
        <f t="shared" si="16"/>
        <v>5.25</v>
      </c>
      <c r="X21" s="161" t="str">
        <f>+IF(D21="cp",(I21*'Récapitulatif '!$AJ$3),"")</f>
        <v/>
      </c>
      <c r="Y21" s="163">
        <f t="shared" si="1"/>
        <v>3.25</v>
      </c>
      <c r="Z21" s="154" t="str">
        <f t="shared" si="17"/>
        <v/>
      </c>
      <c r="AA21" s="154">
        <f t="shared" si="2"/>
        <v>1</v>
      </c>
      <c r="AB21" s="258" t="str">
        <f t="shared" si="22"/>
        <v/>
      </c>
      <c r="AC21" s="220" t="str">
        <f t="shared" si="18"/>
        <v/>
      </c>
      <c r="AD21" s="118" t="str">
        <f t="shared" si="19"/>
        <v/>
      </c>
      <c r="AE21" s="261" t="str">
        <f t="shared" si="20"/>
        <v/>
      </c>
      <c r="AF21" s="220" t="str">
        <f>+IF(AND(WEEKDAY(C21)=1,$C$4:$C$34=$C$68),"",IF(AND($C$4:$C$34=$C$68,D21=""),'Récapitulatif '!$AJ$3,IF(AND(D21="N",AG21&lt;&gt;""),('Récapitulatif '!$AJ$3-AG21),"")))</f>
        <v/>
      </c>
      <c r="AG21" s="119" t="str">
        <f t="shared" si="3"/>
        <v/>
      </c>
      <c r="AH21" s="218" t="str">
        <f t="shared" si="4"/>
        <v/>
      </c>
      <c r="AI21" s="13" t="str">
        <f t="shared" si="5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487">
        <f t="shared" si="21"/>
        <v>43665</v>
      </c>
      <c r="D22" s="646"/>
      <c r="E22" s="637" t="str">
        <f t="shared" si="6"/>
        <v/>
      </c>
      <c r="F22" s="638" t="str">
        <f t="shared" si="7"/>
        <v/>
      </c>
      <c r="G22" s="628"/>
      <c r="H22" s="128" t="str">
        <f t="shared" si="0"/>
        <v/>
      </c>
      <c r="I22" s="127" t="str">
        <f t="shared" si="8"/>
        <v/>
      </c>
      <c r="J22" s="299"/>
      <c r="K22" s="86"/>
      <c r="L22" s="11"/>
      <c r="M22" s="11"/>
      <c r="N22" s="369"/>
      <c r="O22" s="371">
        <f t="shared" si="9"/>
        <v>0</v>
      </c>
      <c r="P22" s="73">
        <f t="shared" si="10"/>
        <v>0</v>
      </c>
      <c r="Q22" s="73">
        <f t="shared" si="11"/>
        <v>0</v>
      </c>
      <c r="R22" s="73">
        <f t="shared" si="12"/>
        <v>0</v>
      </c>
      <c r="S22" s="73">
        <v>0.2</v>
      </c>
      <c r="T22" s="73">
        <f t="shared" si="13"/>
        <v>0.33333333333333337</v>
      </c>
      <c r="U22" s="12" t="str">
        <f t="shared" si="14"/>
        <v/>
      </c>
      <c r="V22" s="372" t="e">
        <f t="shared" si="15"/>
        <v>#VALUE!</v>
      </c>
      <c r="W22" s="114" t="str">
        <f t="shared" si="16"/>
        <v/>
      </c>
      <c r="X22" s="161" t="str">
        <f>+IF(D22="cp",(I22*'Récapitulatif '!$AJ$3),"")</f>
        <v/>
      </c>
      <c r="Y22" s="163" t="str">
        <f t="shared" si="1"/>
        <v/>
      </c>
      <c r="Z22" s="154" t="str">
        <f t="shared" si="17"/>
        <v/>
      </c>
      <c r="AA22" s="154" t="str">
        <f t="shared" si="2"/>
        <v/>
      </c>
      <c r="AB22" s="258" t="str">
        <f t="shared" si="22"/>
        <v/>
      </c>
      <c r="AC22" s="220" t="str">
        <f t="shared" si="18"/>
        <v/>
      </c>
      <c r="AD22" s="118" t="str">
        <f t="shared" si="19"/>
        <v/>
      </c>
      <c r="AE22" s="261" t="str">
        <f t="shared" si="20"/>
        <v/>
      </c>
      <c r="AF22" s="220" t="str">
        <f>+IF(AND(WEEKDAY(C22)=1,$C$4:$C$34=$C$68),"",IF(AND($C$4:$C$34=$C$68,D22=""),'Récapitulatif '!$AJ$3,IF(AND(D22="N",AG22&lt;&gt;""),('Récapitulatif '!$AJ$3-AG22),"")))</f>
        <v/>
      </c>
      <c r="AG22" s="119" t="str">
        <f t="shared" si="3"/>
        <v/>
      </c>
      <c r="AH22" s="218" t="str">
        <f t="shared" si="4"/>
        <v/>
      </c>
      <c r="AI22" s="13" t="str">
        <f t="shared" si="5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487">
        <f t="shared" si="21"/>
        <v>43666</v>
      </c>
      <c r="D23" s="646"/>
      <c r="E23" s="637" t="str">
        <f t="shared" si="6"/>
        <v/>
      </c>
      <c r="F23" s="638" t="str">
        <f t="shared" si="7"/>
        <v/>
      </c>
      <c r="G23" s="628"/>
      <c r="H23" s="128" t="str">
        <f t="shared" si="0"/>
        <v/>
      </c>
      <c r="I23" s="127" t="str">
        <f t="shared" si="8"/>
        <v/>
      </c>
      <c r="J23" s="299"/>
      <c r="K23" s="86"/>
      <c r="L23" s="11"/>
      <c r="M23" s="11"/>
      <c r="N23" s="369"/>
      <c r="O23" s="371">
        <f t="shared" si="9"/>
        <v>0</v>
      </c>
      <c r="P23" s="73">
        <f t="shared" si="10"/>
        <v>0</v>
      </c>
      <c r="Q23" s="73">
        <f t="shared" si="11"/>
        <v>0</v>
      </c>
      <c r="R23" s="73">
        <f t="shared" si="12"/>
        <v>0</v>
      </c>
      <c r="S23" s="73">
        <v>0.2</v>
      </c>
      <c r="T23" s="73">
        <f t="shared" si="13"/>
        <v>0.33333333333333337</v>
      </c>
      <c r="U23" s="12" t="str">
        <f t="shared" si="14"/>
        <v/>
      </c>
      <c r="V23" s="372" t="e">
        <f t="shared" si="15"/>
        <v>#VALUE!</v>
      </c>
      <c r="W23" s="114" t="str">
        <f t="shared" si="16"/>
        <v/>
      </c>
      <c r="X23" s="161" t="str">
        <f>+IF(D23="cp",(I23*'Récapitulatif '!$AJ$3),"")</f>
        <v/>
      </c>
      <c r="Y23" s="163" t="str">
        <f t="shared" si="1"/>
        <v/>
      </c>
      <c r="Z23" s="154" t="str">
        <f t="shared" si="17"/>
        <v/>
      </c>
      <c r="AA23" s="154" t="str">
        <f t="shared" si="2"/>
        <v/>
      </c>
      <c r="AB23" s="258" t="str">
        <f t="shared" si="22"/>
        <v/>
      </c>
      <c r="AC23" s="220" t="str">
        <f t="shared" si="18"/>
        <v/>
      </c>
      <c r="AD23" s="118" t="str">
        <f t="shared" si="19"/>
        <v/>
      </c>
      <c r="AE23" s="261" t="str">
        <f t="shared" si="20"/>
        <v/>
      </c>
      <c r="AF23" s="220" t="str">
        <f>+IF(AND(WEEKDAY(C23)=1,$C$4:$C$34=$C$68),"",IF(AND($C$4:$C$34=$C$68,D23=""),'Récapitulatif '!$AJ$3,IF(AND(D23="N",AG23&lt;&gt;""),('Récapitulatif '!$AJ$3-AG23),"")))</f>
        <v/>
      </c>
      <c r="AG23" s="119" t="str">
        <f t="shared" si="3"/>
        <v/>
      </c>
      <c r="AH23" s="218" t="str">
        <f t="shared" si="4"/>
        <v/>
      </c>
      <c r="AI23" s="13" t="str">
        <f t="shared" si="5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487">
        <f t="shared" si="21"/>
        <v>43667</v>
      </c>
      <c r="D24" s="646" t="s">
        <v>205</v>
      </c>
      <c r="E24" s="637">
        <f t="shared" si="6"/>
        <v>1</v>
      </c>
      <c r="F24" s="638" t="str">
        <f t="shared" si="7"/>
        <v/>
      </c>
      <c r="G24" s="628" t="s">
        <v>184</v>
      </c>
      <c r="H24" s="128">
        <f t="shared" si="0"/>
        <v>1</v>
      </c>
      <c r="I24" s="127" t="str">
        <f t="shared" si="8"/>
        <v/>
      </c>
      <c r="J24" s="299"/>
      <c r="K24" s="86">
        <v>5</v>
      </c>
      <c r="L24" s="11">
        <v>12.4</v>
      </c>
      <c r="M24" s="11"/>
      <c r="N24" s="369"/>
      <c r="O24" s="371">
        <f t="shared" si="9"/>
        <v>5</v>
      </c>
      <c r="P24" s="73">
        <f t="shared" si="10"/>
        <v>12.666666666666668</v>
      </c>
      <c r="Q24" s="73">
        <f t="shared" si="11"/>
        <v>0</v>
      </c>
      <c r="R24" s="73">
        <f t="shared" si="12"/>
        <v>0</v>
      </c>
      <c r="S24" s="73">
        <v>0.2</v>
      </c>
      <c r="T24" s="73">
        <f t="shared" si="13"/>
        <v>0.33333333333333337</v>
      </c>
      <c r="U24" s="12">
        <f t="shared" si="14"/>
        <v>7.3333333333333348</v>
      </c>
      <c r="V24" s="372">
        <f t="shared" si="15"/>
        <v>1</v>
      </c>
      <c r="W24" s="114">
        <f t="shared" si="16"/>
        <v>7.3333333333333348</v>
      </c>
      <c r="X24" s="161" t="str">
        <f>+IF(D24="cp",(I24*'Récapitulatif '!$AJ$3),"")</f>
        <v/>
      </c>
      <c r="Y24" s="163">
        <f t="shared" si="1"/>
        <v>1</v>
      </c>
      <c r="Z24" s="154" t="str">
        <f t="shared" si="17"/>
        <v/>
      </c>
      <c r="AA24" s="154" t="str">
        <f t="shared" si="2"/>
        <v/>
      </c>
      <c r="AB24" s="258">
        <f t="shared" si="22"/>
        <v>35.833333333333329</v>
      </c>
      <c r="AC24" s="220" t="str">
        <f t="shared" si="18"/>
        <v/>
      </c>
      <c r="AD24" s="118">
        <f t="shared" si="19"/>
        <v>7.3333333333333348</v>
      </c>
      <c r="AE24" s="261" t="str">
        <f t="shared" si="20"/>
        <v/>
      </c>
      <c r="AF24" s="220" t="str">
        <f>+IF(AND(WEEKDAY(C24)=1,$C$4:$C$34=$C$68),"",IF(AND($C$4:$C$34=$C$68,D24=""),'Récapitulatif '!$AJ$3,IF(AND(D24="N",AG24&lt;&gt;""),('Récapitulatif '!$AJ$3-AG24),"")))</f>
        <v/>
      </c>
      <c r="AG24" s="119" t="str">
        <f t="shared" si="3"/>
        <v/>
      </c>
      <c r="AH24" s="218">
        <f t="shared" si="4"/>
        <v>1</v>
      </c>
      <c r="AI24" s="13" t="str">
        <f t="shared" si="5"/>
        <v/>
      </c>
    </row>
    <row r="25" spans="1:38">
      <c r="A25" s="482">
        <f>IF(WEEKDAY(C25,2)=1,INT((C25-SUM(MOD(DATE(YEAR(C25-MOD(C25-2,7)+3),1,2),{1E+99;7})*{1;-1})+5)/7),"")</f>
        <v>30</v>
      </c>
      <c r="B25" s="482" t="str">
        <f>IF(A25&lt;&gt;"",VLOOKUP(A25,juin!$L$49:$M$101,2,FALSE),"")</f>
        <v>A - Midi</v>
      </c>
      <c r="C25" s="487">
        <f t="shared" si="21"/>
        <v>43668</v>
      </c>
      <c r="D25" s="646" t="s">
        <v>202</v>
      </c>
      <c r="E25" s="637" t="str">
        <f t="shared" si="6"/>
        <v/>
      </c>
      <c r="F25" s="638" t="str">
        <f t="shared" si="7"/>
        <v/>
      </c>
      <c r="G25" s="628" t="s">
        <v>184</v>
      </c>
      <c r="H25" s="128">
        <f t="shared" si="0"/>
        <v>1</v>
      </c>
      <c r="I25" s="127" t="str">
        <f t="shared" si="8"/>
        <v/>
      </c>
      <c r="J25" s="299"/>
      <c r="K25" s="86">
        <v>12.55</v>
      </c>
      <c r="L25" s="11">
        <v>21</v>
      </c>
      <c r="M25" s="11"/>
      <c r="N25" s="369"/>
      <c r="O25" s="371">
        <f t="shared" si="9"/>
        <v>12.916666666666668</v>
      </c>
      <c r="P25" s="73">
        <f t="shared" si="10"/>
        <v>21</v>
      </c>
      <c r="Q25" s="73">
        <f t="shared" si="11"/>
        <v>0</v>
      </c>
      <c r="R25" s="73">
        <f t="shared" si="12"/>
        <v>0</v>
      </c>
      <c r="S25" s="73">
        <v>0.2</v>
      </c>
      <c r="T25" s="73">
        <f t="shared" si="13"/>
        <v>0.33333333333333337</v>
      </c>
      <c r="U25" s="12">
        <f t="shared" si="14"/>
        <v>7.7499999999999991</v>
      </c>
      <c r="V25" s="372">
        <f t="shared" si="15"/>
        <v>0</v>
      </c>
      <c r="W25" s="114">
        <f t="shared" si="16"/>
        <v>7.7499999999999991</v>
      </c>
      <c r="X25" s="161" t="str">
        <f>+IF(D25="cp",(I25*'Récapitulatif '!$AJ$3),"")</f>
        <v/>
      </c>
      <c r="Y25" s="163">
        <f t="shared" si="1"/>
        <v>0</v>
      </c>
      <c r="Z25" s="154" t="str">
        <f t="shared" si="17"/>
        <v/>
      </c>
      <c r="AA25" s="154" t="str">
        <f t="shared" si="2"/>
        <v/>
      </c>
      <c r="AB25" s="258" t="str">
        <f t="shared" si="22"/>
        <v/>
      </c>
      <c r="AC25" s="220" t="str">
        <f t="shared" si="18"/>
        <v/>
      </c>
      <c r="AD25" s="118" t="str">
        <f t="shared" si="19"/>
        <v/>
      </c>
      <c r="AE25" s="261" t="str">
        <f t="shared" si="20"/>
        <v/>
      </c>
      <c r="AF25" s="220" t="str">
        <f>+IF(AND(WEEKDAY(C25)=1,$C$4:$C$34=$C$68),"",IF(AND($C$4:$C$34=$C$68,D25=""),'Récapitulatif '!$AJ$3,IF(AND(D25="N",AG25&lt;&gt;""),('Récapitulatif '!$AJ$3-AG25),"")))</f>
        <v/>
      </c>
      <c r="AG25" s="119" t="str">
        <f t="shared" si="3"/>
        <v/>
      </c>
      <c r="AH25" s="218">
        <f t="shared" si="4"/>
        <v>1</v>
      </c>
      <c r="AI25" s="13" t="str">
        <f t="shared" si="5"/>
        <v/>
      </c>
    </row>
    <row r="26" spans="1:38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487">
        <f t="shared" si="21"/>
        <v>43669</v>
      </c>
      <c r="D26" s="646" t="s">
        <v>202</v>
      </c>
      <c r="E26" s="637" t="str">
        <f t="shared" si="6"/>
        <v/>
      </c>
      <c r="F26" s="638" t="str">
        <f t="shared" si="7"/>
        <v/>
      </c>
      <c r="G26" s="628" t="s">
        <v>184</v>
      </c>
      <c r="H26" s="128">
        <f t="shared" si="0"/>
        <v>1</v>
      </c>
      <c r="I26" s="127" t="str">
        <f t="shared" si="8"/>
        <v/>
      </c>
      <c r="J26" s="299"/>
      <c r="K26" s="86">
        <v>12.55</v>
      </c>
      <c r="L26" s="11">
        <v>21</v>
      </c>
      <c r="M26" s="11"/>
      <c r="N26" s="369"/>
      <c r="O26" s="371">
        <f t="shared" si="9"/>
        <v>12.916666666666668</v>
      </c>
      <c r="P26" s="73">
        <f t="shared" si="10"/>
        <v>21</v>
      </c>
      <c r="Q26" s="73">
        <f t="shared" si="11"/>
        <v>0</v>
      </c>
      <c r="R26" s="73">
        <f t="shared" si="12"/>
        <v>0</v>
      </c>
      <c r="S26" s="73">
        <v>0.2</v>
      </c>
      <c r="T26" s="73">
        <f t="shared" si="13"/>
        <v>0.33333333333333337</v>
      </c>
      <c r="U26" s="12">
        <f t="shared" si="14"/>
        <v>7.7499999999999991</v>
      </c>
      <c r="V26" s="372">
        <f t="shared" si="15"/>
        <v>0</v>
      </c>
      <c r="W26" s="114">
        <f t="shared" si="16"/>
        <v>7.7499999999999991</v>
      </c>
      <c r="X26" s="161" t="str">
        <f>+IF(D26="cp",(I26*'Récapitulatif '!$AJ$3),"")</f>
        <v/>
      </c>
      <c r="Y26" s="163">
        <f t="shared" si="1"/>
        <v>0</v>
      </c>
      <c r="Z26" s="154" t="str">
        <f t="shared" si="17"/>
        <v/>
      </c>
      <c r="AA26" s="154" t="str">
        <f t="shared" si="2"/>
        <v/>
      </c>
      <c r="AB26" s="258" t="str">
        <f t="shared" si="22"/>
        <v/>
      </c>
      <c r="AC26" s="220" t="str">
        <f t="shared" si="18"/>
        <v/>
      </c>
      <c r="AD26" s="118" t="str">
        <f t="shared" si="19"/>
        <v/>
      </c>
      <c r="AE26" s="261" t="str">
        <f t="shared" si="20"/>
        <v/>
      </c>
      <c r="AF26" s="220" t="str">
        <f>+IF(AND(WEEKDAY(C26)=1,$C$4:$C$34=$C$68),"",IF(AND($C$4:$C$34=$C$68,D26=""),'Récapitulatif '!$AJ$3,IF(AND(D26="N",AG26&lt;&gt;""),('Récapitulatif '!$AJ$3-AG26),"")))</f>
        <v/>
      </c>
      <c r="AG26" s="119" t="str">
        <f t="shared" si="3"/>
        <v/>
      </c>
      <c r="AH26" s="218">
        <f t="shared" si="4"/>
        <v>1</v>
      </c>
      <c r="AI26" s="13" t="str">
        <f t="shared" si="5"/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487">
        <f t="shared" si="21"/>
        <v>43670</v>
      </c>
      <c r="D27" s="646" t="s">
        <v>202</v>
      </c>
      <c r="E27" s="637" t="str">
        <f t="shared" si="6"/>
        <v/>
      </c>
      <c r="F27" s="638" t="str">
        <f t="shared" si="7"/>
        <v/>
      </c>
      <c r="G27" s="628" t="s">
        <v>184</v>
      </c>
      <c r="H27" s="128">
        <f t="shared" si="0"/>
        <v>1</v>
      </c>
      <c r="I27" s="127" t="str">
        <f t="shared" si="8"/>
        <v/>
      </c>
      <c r="J27" s="299"/>
      <c r="K27" s="86">
        <v>12.55</v>
      </c>
      <c r="L27" s="11">
        <v>21</v>
      </c>
      <c r="M27" s="11"/>
      <c r="N27" s="369"/>
      <c r="O27" s="371">
        <f t="shared" si="9"/>
        <v>12.916666666666668</v>
      </c>
      <c r="P27" s="73">
        <f t="shared" si="10"/>
        <v>21</v>
      </c>
      <c r="Q27" s="73">
        <f t="shared" si="11"/>
        <v>0</v>
      </c>
      <c r="R27" s="73">
        <f t="shared" si="12"/>
        <v>0</v>
      </c>
      <c r="S27" s="73">
        <v>0.2</v>
      </c>
      <c r="T27" s="73">
        <f t="shared" si="13"/>
        <v>0.33333333333333337</v>
      </c>
      <c r="U27" s="12">
        <f t="shared" si="14"/>
        <v>7.7499999999999991</v>
      </c>
      <c r="V27" s="372">
        <f t="shared" si="15"/>
        <v>0</v>
      </c>
      <c r="W27" s="114">
        <f t="shared" si="16"/>
        <v>7.7499999999999991</v>
      </c>
      <c r="X27" s="161" t="str">
        <f>+IF(D27="cp",(I27*'Récapitulatif '!$AJ$3),"")</f>
        <v/>
      </c>
      <c r="Y27" s="163">
        <f t="shared" si="1"/>
        <v>0</v>
      </c>
      <c r="Z27" s="154" t="str">
        <f t="shared" si="17"/>
        <v/>
      </c>
      <c r="AA27" s="154" t="str">
        <f t="shared" si="2"/>
        <v/>
      </c>
      <c r="AB27" s="258" t="str">
        <f t="shared" si="22"/>
        <v/>
      </c>
      <c r="AC27" s="220" t="str">
        <f t="shared" si="18"/>
        <v/>
      </c>
      <c r="AD27" s="118" t="str">
        <f t="shared" si="19"/>
        <v/>
      </c>
      <c r="AE27" s="261" t="str">
        <f t="shared" si="20"/>
        <v/>
      </c>
      <c r="AF27" s="220" t="str">
        <f>+IF(AND(WEEKDAY(C27)=1,$C$4:$C$34=$C$68),"",IF(AND($C$4:$C$34=$C$68,D27=""),'Récapitulatif '!$AJ$3,IF(AND(D27="N",AG27&lt;&gt;""),('Récapitulatif '!$AJ$3-AG27),"")))</f>
        <v/>
      </c>
      <c r="AG27" s="119" t="str">
        <f t="shared" si="3"/>
        <v/>
      </c>
      <c r="AH27" s="218">
        <f t="shared" si="4"/>
        <v>1</v>
      </c>
      <c r="AI27" s="13" t="str">
        <f t="shared" si="5"/>
        <v/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487">
        <f t="shared" si="21"/>
        <v>43671</v>
      </c>
      <c r="D28" s="646" t="s">
        <v>202</v>
      </c>
      <c r="E28" s="637" t="str">
        <f t="shared" si="6"/>
        <v/>
      </c>
      <c r="F28" s="638" t="str">
        <f t="shared" si="7"/>
        <v/>
      </c>
      <c r="G28" s="628" t="s">
        <v>184</v>
      </c>
      <c r="H28" s="128">
        <f t="shared" si="0"/>
        <v>1</v>
      </c>
      <c r="I28" s="127" t="str">
        <f t="shared" si="8"/>
        <v/>
      </c>
      <c r="J28" s="299"/>
      <c r="K28" s="86">
        <v>12.55</v>
      </c>
      <c r="L28" s="11">
        <v>21</v>
      </c>
      <c r="M28" s="11"/>
      <c r="N28" s="369"/>
      <c r="O28" s="371">
        <f t="shared" si="9"/>
        <v>12.916666666666668</v>
      </c>
      <c r="P28" s="73">
        <f t="shared" si="10"/>
        <v>21</v>
      </c>
      <c r="Q28" s="73">
        <f t="shared" si="11"/>
        <v>0</v>
      </c>
      <c r="R28" s="73">
        <f t="shared" si="12"/>
        <v>0</v>
      </c>
      <c r="S28" s="73">
        <v>0.2</v>
      </c>
      <c r="T28" s="73">
        <f t="shared" si="13"/>
        <v>0.33333333333333337</v>
      </c>
      <c r="U28" s="12">
        <f t="shared" si="14"/>
        <v>7.7499999999999991</v>
      </c>
      <c r="V28" s="372">
        <f t="shared" si="15"/>
        <v>0</v>
      </c>
      <c r="W28" s="114">
        <f t="shared" si="16"/>
        <v>7.7499999999999991</v>
      </c>
      <c r="X28" s="161" t="str">
        <f>+IF(D28="cp",(I28*'Récapitulatif '!$AJ$3),"")</f>
        <v/>
      </c>
      <c r="Y28" s="163">
        <f t="shared" si="1"/>
        <v>0</v>
      </c>
      <c r="Z28" s="154" t="str">
        <f t="shared" si="17"/>
        <v/>
      </c>
      <c r="AA28" s="154" t="str">
        <f t="shared" si="2"/>
        <v/>
      </c>
      <c r="AB28" s="258" t="str">
        <f t="shared" si="22"/>
        <v/>
      </c>
      <c r="AC28" s="220" t="str">
        <f t="shared" si="18"/>
        <v/>
      </c>
      <c r="AD28" s="118" t="str">
        <f t="shared" si="19"/>
        <v/>
      </c>
      <c r="AE28" s="261" t="str">
        <f t="shared" si="20"/>
        <v/>
      </c>
      <c r="AF28" s="220" t="str">
        <f>+IF(AND(WEEKDAY(C28)=1,$C$4:$C$34=$C$68),"",IF(AND($C$4:$C$34=$C$68,D28=""),'Récapitulatif '!$AJ$3,IF(AND(D28="N",AG28&lt;&gt;""),('Récapitulatif '!$AJ$3-AG28),"")))</f>
        <v/>
      </c>
      <c r="AG28" s="119" t="str">
        <f t="shared" si="3"/>
        <v/>
      </c>
      <c r="AH28" s="218">
        <f t="shared" si="4"/>
        <v>1</v>
      </c>
      <c r="AI28" s="13" t="str">
        <f t="shared" si="5"/>
        <v/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487">
        <f t="shared" si="21"/>
        <v>43672</v>
      </c>
      <c r="D29" s="646" t="s">
        <v>202</v>
      </c>
      <c r="E29" s="637" t="str">
        <f t="shared" si="6"/>
        <v/>
      </c>
      <c r="F29" s="638" t="str">
        <f t="shared" si="7"/>
        <v/>
      </c>
      <c r="G29" s="628" t="s">
        <v>184</v>
      </c>
      <c r="H29" s="128">
        <f t="shared" si="0"/>
        <v>1</v>
      </c>
      <c r="I29" s="127" t="str">
        <f t="shared" si="8"/>
        <v/>
      </c>
      <c r="J29" s="299"/>
      <c r="K29" s="86">
        <v>12</v>
      </c>
      <c r="L29" s="11">
        <v>20</v>
      </c>
      <c r="M29" s="11"/>
      <c r="N29" s="369"/>
      <c r="O29" s="371">
        <f t="shared" si="9"/>
        <v>12</v>
      </c>
      <c r="P29" s="73">
        <f t="shared" si="10"/>
        <v>20</v>
      </c>
      <c r="Q29" s="73">
        <f t="shared" si="11"/>
        <v>0</v>
      </c>
      <c r="R29" s="73">
        <f t="shared" si="12"/>
        <v>0</v>
      </c>
      <c r="S29" s="73">
        <v>0.2</v>
      </c>
      <c r="T29" s="73">
        <f t="shared" si="13"/>
        <v>0.33333333333333337</v>
      </c>
      <c r="U29" s="12">
        <f t="shared" si="14"/>
        <v>7.666666666666667</v>
      </c>
      <c r="V29" s="372">
        <f t="shared" si="15"/>
        <v>0</v>
      </c>
      <c r="W29" s="114">
        <f t="shared" si="16"/>
        <v>7.666666666666667</v>
      </c>
      <c r="X29" s="161" t="str">
        <f>+IF(D29="cp",(I29*'Récapitulatif '!$AJ$3),"")</f>
        <v/>
      </c>
      <c r="Y29" s="163">
        <f t="shared" si="1"/>
        <v>0</v>
      </c>
      <c r="Z29" s="154" t="str">
        <f t="shared" si="17"/>
        <v/>
      </c>
      <c r="AA29" s="154" t="str">
        <f t="shared" si="2"/>
        <v/>
      </c>
      <c r="AB29" s="258" t="str">
        <f t="shared" si="22"/>
        <v/>
      </c>
      <c r="AC29" s="220" t="str">
        <f t="shared" si="18"/>
        <v/>
      </c>
      <c r="AD29" s="118" t="str">
        <f t="shared" si="19"/>
        <v/>
      </c>
      <c r="AE29" s="261" t="str">
        <f t="shared" si="20"/>
        <v/>
      </c>
      <c r="AF29" s="220" t="str">
        <f>+IF(AND(WEEKDAY(C29)=1,$C$4:$C$34=$C$68),"",IF(AND($C$4:$C$34=$C$68,D29=""),'Récapitulatif '!$AJ$3,IF(AND(D29="N",AG29&lt;&gt;""),('Récapitulatif '!$AJ$3-AG29),"")))</f>
        <v/>
      </c>
      <c r="AG29" s="119" t="str">
        <f t="shared" si="3"/>
        <v/>
      </c>
      <c r="AH29" s="218">
        <f t="shared" si="4"/>
        <v>1</v>
      </c>
      <c r="AI29" s="13" t="str">
        <f t="shared" si="5"/>
        <v/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487">
        <f t="shared" si="21"/>
        <v>43673</v>
      </c>
      <c r="D30" s="651"/>
      <c r="E30" s="637" t="str">
        <f t="shared" si="6"/>
        <v/>
      </c>
      <c r="F30" s="638" t="str">
        <f t="shared" si="7"/>
        <v/>
      </c>
      <c r="G30" s="626"/>
      <c r="H30" s="128" t="str">
        <f t="shared" si="0"/>
        <v/>
      </c>
      <c r="I30" s="127" t="str">
        <f t="shared" si="8"/>
        <v/>
      </c>
      <c r="J30" s="299"/>
      <c r="K30" s="86"/>
      <c r="L30" s="11"/>
      <c r="M30" s="11"/>
      <c r="N30" s="369"/>
      <c r="O30" s="371">
        <f t="shared" si="9"/>
        <v>0</v>
      </c>
      <c r="P30" s="73">
        <f t="shared" si="10"/>
        <v>0</v>
      </c>
      <c r="Q30" s="73">
        <f t="shared" si="11"/>
        <v>0</v>
      </c>
      <c r="R30" s="73">
        <f t="shared" si="12"/>
        <v>0</v>
      </c>
      <c r="S30" s="73">
        <v>0.2</v>
      </c>
      <c r="T30" s="73">
        <f t="shared" si="13"/>
        <v>0.33333333333333337</v>
      </c>
      <c r="U30" s="12" t="str">
        <f t="shared" si="14"/>
        <v/>
      </c>
      <c r="V30" s="372" t="e">
        <f t="shared" si="15"/>
        <v>#VALUE!</v>
      </c>
      <c r="W30" s="114" t="str">
        <f t="shared" si="16"/>
        <v/>
      </c>
      <c r="X30" s="161" t="str">
        <f>+IF(D30="cp",(I30*'Récapitulatif '!$AJ$3),"")</f>
        <v/>
      </c>
      <c r="Y30" s="163" t="str">
        <f t="shared" si="1"/>
        <v/>
      </c>
      <c r="Z30" s="154" t="str">
        <f t="shared" si="17"/>
        <v/>
      </c>
      <c r="AA30" s="154" t="str">
        <f t="shared" si="2"/>
        <v/>
      </c>
      <c r="AB30" s="258" t="str">
        <f t="shared" si="22"/>
        <v/>
      </c>
      <c r="AC30" s="220" t="str">
        <f t="shared" si="18"/>
        <v/>
      </c>
      <c r="AD30" s="118" t="str">
        <f t="shared" si="19"/>
        <v/>
      </c>
      <c r="AE30" s="261" t="str">
        <f t="shared" si="20"/>
        <v/>
      </c>
      <c r="AF30" s="220" t="str">
        <f>+IF(AND(WEEKDAY(C30)=1,$C$4:$C$34=$C$68),"",IF(AND($C$4:$C$34=$C$68,D30=""),'Récapitulatif '!$AJ$3,IF(AND(D30="N",AG30&lt;&gt;""),('Récapitulatif '!$AJ$3-AG30),"")))</f>
        <v/>
      </c>
      <c r="AG30" s="119" t="str">
        <f t="shared" si="3"/>
        <v/>
      </c>
      <c r="AH30" s="218" t="str">
        <f t="shared" si="4"/>
        <v/>
      </c>
      <c r="AI30" s="13" t="str">
        <f t="shared" si="5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487">
        <f t="shared" si="21"/>
        <v>43674</v>
      </c>
      <c r="D31" s="650"/>
      <c r="E31" s="637" t="str">
        <f t="shared" si="6"/>
        <v/>
      </c>
      <c r="F31" s="638" t="str">
        <f t="shared" si="7"/>
        <v/>
      </c>
      <c r="G31" s="628"/>
      <c r="H31" s="128" t="str">
        <f t="shared" si="0"/>
        <v/>
      </c>
      <c r="I31" s="127" t="str">
        <f t="shared" si="8"/>
        <v/>
      </c>
      <c r="J31" s="299"/>
      <c r="K31" s="86"/>
      <c r="L31" s="11"/>
      <c r="M31" s="11"/>
      <c r="N31" s="369"/>
      <c r="O31" s="371">
        <f t="shared" si="9"/>
        <v>0</v>
      </c>
      <c r="P31" s="73">
        <f t="shared" si="10"/>
        <v>0</v>
      </c>
      <c r="Q31" s="73">
        <f t="shared" si="11"/>
        <v>0</v>
      </c>
      <c r="R31" s="73">
        <f t="shared" si="12"/>
        <v>0</v>
      </c>
      <c r="S31" s="73">
        <v>0.2</v>
      </c>
      <c r="T31" s="73">
        <f t="shared" si="13"/>
        <v>0.33333333333333337</v>
      </c>
      <c r="U31" s="12" t="str">
        <f t="shared" si="14"/>
        <v/>
      </c>
      <c r="V31" s="372" t="e">
        <f t="shared" si="15"/>
        <v>#VALUE!</v>
      </c>
      <c r="W31" s="114" t="str">
        <f t="shared" si="16"/>
        <v/>
      </c>
      <c r="X31" s="161" t="str">
        <f>+IF(D31="cp",(I31*'Récapitulatif '!$AJ$3),"")</f>
        <v/>
      </c>
      <c r="Y31" s="163" t="str">
        <f t="shared" si="1"/>
        <v/>
      </c>
      <c r="Z31" s="154" t="str">
        <f t="shared" si="17"/>
        <v/>
      </c>
      <c r="AA31" s="154" t="str">
        <f t="shared" si="2"/>
        <v/>
      </c>
      <c r="AB31" s="258">
        <f t="shared" si="22"/>
        <v>38.666666666666664</v>
      </c>
      <c r="AC31" s="220" t="str">
        <f t="shared" si="18"/>
        <v/>
      </c>
      <c r="AD31" s="118" t="str">
        <f t="shared" si="19"/>
        <v/>
      </c>
      <c r="AE31" s="261" t="str">
        <f t="shared" si="20"/>
        <v/>
      </c>
      <c r="AF31" s="220" t="str">
        <f>+IF(AND(WEEKDAY(C31)=1,$C$4:$C$34=$C$68),"",IF(AND($C$4:$C$34=$C$68,D31=""),'Récapitulatif '!$AJ$3,IF(AND(D31="N",AG31&lt;&gt;""),('Récapitulatif '!$AJ$3-AG31),"")))</f>
        <v/>
      </c>
      <c r="AG31" s="119" t="str">
        <f t="shared" si="3"/>
        <v/>
      </c>
      <c r="AH31" s="218" t="str">
        <f t="shared" si="4"/>
        <v/>
      </c>
      <c r="AI31" s="13" t="str">
        <f t="shared" si="5"/>
        <v/>
      </c>
    </row>
    <row r="32" spans="1:38">
      <c r="A32" s="482">
        <f>IF(WEEKDAY(C32,2)=1,INT((C32-SUM(MOD(DATE(YEAR(C32-MOD(C32-2,7)+3),1,2),{1E+99;7})*{1;-1})+5)/7),"")</f>
        <v>31</v>
      </c>
      <c r="B32" s="482" t="str">
        <f>IF(A32&lt;&gt;"",VLOOKUP(A32,juin!$L$49:$M$101,2,FALSE),"")</f>
        <v>Matin</v>
      </c>
      <c r="C32" s="487">
        <f>+IF(MONTH(C$31+1)=MONTH(C$31)+1,"",C$31+1)</f>
        <v>43675</v>
      </c>
      <c r="D32" s="646"/>
      <c r="E32" s="637" t="str">
        <f t="shared" si="6"/>
        <v/>
      </c>
      <c r="F32" s="638" t="str">
        <f t="shared" si="7"/>
        <v/>
      </c>
      <c r="G32" s="628"/>
      <c r="H32" s="128" t="str">
        <f t="shared" si="0"/>
        <v/>
      </c>
      <c r="I32" s="127" t="str">
        <f t="shared" si="8"/>
        <v/>
      </c>
      <c r="J32" s="299"/>
      <c r="K32" s="86"/>
      <c r="L32" s="11"/>
      <c r="M32" s="11"/>
      <c r="N32" s="369"/>
      <c r="O32" s="371">
        <f t="shared" si="9"/>
        <v>0</v>
      </c>
      <c r="P32" s="73">
        <f t="shared" si="10"/>
        <v>0</v>
      </c>
      <c r="Q32" s="73">
        <f t="shared" si="11"/>
        <v>0</v>
      </c>
      <c r="R32" s="73">
        <f t="shared" si="12"/>
        <v>0</v>
      </c>
      <c r="S32" s="73">
        <v>0.2</v>
      </c>
      <c r="T32" s="73">
        <f t="shared" si="13"/>
        <v>0.33333333333333337</v>
      </c>
      <c r="U32" s="12" t="str">
        <f t="shared" si="14"/>
        <v/>
      </c>
      <c r="V32" s="372" t="e">
        <f t="shared" si="15"/>
        <v>#VALUE!</v>
      </c>
      <c r="W32" s="114" t="str">
        <f t="shared" si="16"/>
        <v/>
      </c>
      <c r="X32" s="161" t="str">
        <f>+IF(D32="cp",(I32*'Récapitulatif '!$AJ$3),"")</f>
        <v/>
      </c>
      <c r="Y32" s="163" t="str">
        <f t="shared" si="1"/>
        <v/>
      </c>
      <c r="Z32" s="154" t="str">
        <f t="shared" si="17"/>
        <v/>
      </c>
      <c r="AA32" s="154" t="str">
        <f t="shared" si="2"/>
        <v/>
      </c>
      <c r="AB32" s="258" t="str">
        <f t="shared" si="22"/>
        <v/>
      </c>
      <c r="AC32" s="220" t="str">
        <f t="shared" si="18"/>
        <v/>
      </c>
      <c r="AD32" s="118" t="str">
        <f t="shared" si="19"/>
        <v/>
      </c>
      <c r="AE32" s="261" t="str">
        <f t="shared" si="20"/>
        <v/>
      </c>
      <c r="AF32" s="220" t="str">
        <f>+IF(AND(WEEKDAY(C32)=1,$C$4:$C$34=$C$68),"",IF(AND($C$4:$C$34=$C$68,D32=""),'Récapitulatif '!$AJ$3,IF(AND(D32="N",AG32&lt;&gt;""),('Récapitulatif '!$AJ$3-AG32),"")))</f>
        <v/>
      </c>
      <c r="AG32" s="119" t="str">
        <f t="shared" si="3"/>
        <v/>
      </c>
      <c r="AH32" s="218" t="str">
        <f t="shared" si="4"/>
        <v/>
      </c>
      <c r="AI32" s="13" t="str">
        <f t="shared" si="5"/>
        <v/>
      </c>
    </row>
    <row r="33" spans="1:39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487">
        <f>+IF(MONTH(C$31+2)=MONTH(C$31)+1,"",C$31+2)</f>
        <v>43676</v>
      </c>
      <c r="D33" s="646"/>
      <c r="E33" s="637" t="str">
        <f t="shared" si="6"/>
        <v/>
      </c>
      <c r="F33" s="638" t="str">
        <f t="shared" si="7"/>
        <v/>
      </c>
      <c r="G33" s="628"/>
      <c r="H33" s="128" t="str">
        <f t="shared" si="0"/>
        <v/>
      </c>
      <c r="I33" s="127" t="str">
        <f t="shared" si="8"/>
        <v/>
      </c>
      <c r="J33" s="299"/>
      <c r="K33" s="86"/>
      <c r="L33" s="11"/>
      <c r="M33" s="11"/>
      <c r="N33" s="369"/>
      <c r="O33" s="371">
        <f t="shared" si="9"/>
        <v>0</v>
      </c>
      <c r="P33" s="73">
        <f t="shared" si="10"/>
        <v>0</v>
      </c>
      <c r="Q33" s="73">
        <f t="shared" si="11"/>
        <v>0</v>
      </c>
      <c r="R33" s="73">
        <f t="shared" si="12"/>
        <v>0</v>
      </c>
      <c r="S33" s="73">
        <v>0.2</v>
      </c>
      <c r="T33" s="73">
        <f t="shared" si="13"/>
        <v>0.33333333333333337</v>
      </c>
      <c r="U33" s="12" t="str">
        <f t="shared" si="14"/>
        <v/>
      </c>
      <c r="V33" s="372" t="e">
        <f t="shared" si="15"/>
        <v>#VALUE!</v>
      </c>
      <c r="W33" s="114" t="str">
        <f t="shared" si="16"/>
        <v/>
      </c>
      <c r="X33" s="161" t="str">
        <f>+IF(D33="cp",(I33*'Récapitulatif '!$AJ$3),"")</f>
        <v/>
      </c>
      <c r="Y33" s="163" t="str">
        <f t="shared" si="1"/>
        <v/>
      </c>
      <c r="Z33" s="154" t="str">
        <f t="shared" si="17"/>
        <v/>
      </c>
      <c r="AA33" s="154" t="str">
        <f t="shared" si="2"/>
        <v/>
      </c>
      <c r="AB33" s="258" t="str">
        <f t="shared" si="22"/>
        <v/>
      </c>
      <c r="AC33" s="220" t="str">
        <f t="shared" si="18"/>
        <v/>
      </c>
      <c r="AD33" s="118" t="str">
        <f t="shared" si="19"/>
        <v/>
      </c>
      <c r="AE33" s="261" t="str">
        <f t="shared" si="20"/>
        <v/>
      </c>
      <c r="AF33" s="220" t="str">
        <f>+IF(AND(WEEKDAY(C33)=1,$C$4:$C$34=$C$68),"",IF(AND($C$4:$C$34=$C$68,D33=""),'Récapitulatif '!$AJ$3,IF(AND(D33="N",AG33&lt;&gt;""),('Récapitulatif '!$AJ$3-AG33),"")))</f>
        <v/>
      </c>
      <c r="AG33" s="119" t="str">
        <f t="shared" si="3"/>
        <v/>
      </c>
      <c r="AH33" s="218" t="str">
        <f t="shared" si="4"/>
        <v/>
      </c>
      <c r="AI33" s="13" t="str">
        <f t="shared" si="5"/>
        <v/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488">
        <f>+IF(MONTH(C$31+3)=MONTH(C$31)+1,"",C$31+3)</f>
        <v>43677</v>
      </c>
      <c r="D34" s="649" t="s">
        <v>205</v>
      </c>
      <c r="E34" s="639" t="str">
        <f t="shared" si="6"/>
        <v/>
      </c>
      <c r="F34" s="640" t="str">
        <f t="shared" si="7"/>
        <v/>
      </c>
      <c r="G34" s="629" t="s">
        <v>184</v>
      </c>
      <c r="H34" s="128">
        <f t="shared" si="0"/>
        <v>1</v>
      </c>
      <c r="I34" s="127" t="str">
        <f t="shared" si="8"/>
        <v/>
      </c>
      <c r="J34" s="300"/>
      <c r="K34" s="87">
        <v>4.55</v>
      </c>
      <c r="L34" s="14">
        <v>13</v>
      </c>
      <c r="M34" s="14"/>
      <c r="N34" s="370"/>
      <c r="O34" s="373">
        <f t="shared" si="9"/>
        <v>4.9166666666666661</v>
      </c>
      <c r="P34" s="202">
        <f t="shared" si="10"/>
        <v>13</v>
      </c>
      <c r="Q34" s="202">
        <f t="shared" si="11"/>
        <v>0</v>
      </c>
      <c r="R34" s="202">
        <f t="shared" si="12"/>
        <v>0</v>
      </c>
      <c r="S34" s="202">
        <v>0.2</v>
      </c>
      <c r="T34" s="202">
        <f t="shared" si="13"/>
        <v>0.33333333333333337</v>
      </c>
      <c r="U34" s="203">
        <f t="shared" si="14"/>
        <v>7.7500000000000009</v>
      </c>
      <c r="V34" s="374">
        <f t="shared" si="15"/>
        <v>1.0833333333333339</v>
      </c>
      <c r="W34" s="115">
        <f t="shared" si="16"/>
        <v>7.7500000000000009</v>
      </c>
      <c r="X34" s="204" t="str">
        <f>+IF(D34="cp",(I34*'Récapitulatif '!$AJ$3),"")</f>
        <v/>
      </c>
      <c r="Y34" s="164">
        <f t="shared" si="1"/>
        <v>1.0833333333333339</v>
      </c>
      <c r="Z34" s="154" t="str">
        <f t="shared" si="17"/>
        <v/>
      </c>
      <c r="AA34" s="154" t="str">
        <f t="shared" si="2"/>
        <v/>
      </c>
      <c r="AB34" s="259" t="str">
        <f t="shared" si="22"/>
        <v/>
      </c>
      <c r="AC34" s="221" t="str">
        <f t="shared" si="18"/>
        <v/>
      </c>
      <c r="AD34" s="120" t="str">
        <f t="shared" si="19"/>
        <v/>
      </c>
      <c r="AE34" s="262" t="str">
        <f t="shared" si="20"/>
        <v/>
      </c>
      <c r="AF34" s="221" t="str">
        <f>+IF(AND(WEEKDAY(C34)=1,$C$4:$C$34=$C$68),"",IF(AND($C$4:$C$34=$C$68,D34=""),'Récapitulatif '!$AJ$3,IF(AND(D34="N",AG34&lt;&gt;""),('Récapitulatif '!$AJ$3-AG34),"")))</f>
        <v/>
      </c>
      <c r="AG34" s="131" t="str">
        <f t="shared" si="3"/>
        <v/>
      </c>
      <c r="AH34" s="219">
        <f t="shared" si="4"/>
        <v>1</v>
      </c>
      <c r="AI34" s="15" t="str">
        <f t="shared" si="5"/>
        <v/>
      </c>
    </row>
    <row r="35" spans="1:39" ht="13.5" hidden="1" thickBot="1">
      <c r="A35" s="482" t="e">
        <f>INT((C35-SUM(MOD(DATE(YEAR(C35-MOD(C35-2,7)+3),1,2),{1E+99;7})*{1;-1})+5)/7)</f>
        <v>#NUM!</v>
      </c>
      <c r="B35" s="482" t="e">
        <f>IF(A35&lt;&gt;"",VLOOKUP(A35,juin!$L$49:$M$101,2,FALSE),"")</f>
        <v>#NUM!</v>
      </c>
      <c r="C35" s="191"/>
      <c r="D35" s="192"/>
      <c r="E35" s="192"/>
      <c r="F35" s="623" t="str">
        <f t="shared" si="7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207">
        <f>+IF(WEEKDAY(C27)=1,SUM(W28:X34),IF(WEEKDAY(C28)=1,SUM(W29:X34),IF(WEEKDAY(C29)=1,SUM(W30:X34),IF(WEEKDAY(C30)=1,SUM(W31:X34),IF(WEEKDAY(C31)=1,SUM(W32:X34),IF(WEEKDAY(C32)=1,SUM(W33:X34),IF(WEEKDAY(C33)=1,SUM(W34:X34),"")))))))</f>
        <v>7.7500000000000009</v>
      </c>
      <c r="AC35" s="199"/>
      <c r="AD35" s="199"/>
      <c r="AE35" s="174" t="e">
        <f>+IF(OR($C$4:$C$34=C99),W35,"")</f>
        <v>#VALUE!</v>
      </c>
      <c r="AF35" s="260" t="e">
        <f>+IF(AND(WEEKDAY(C35)=1,$C$4:$C$34=$C$68),"",IF(AND($C$4:$C$34=$C$68,D35=""),'Récapitulatif '!$AJ$3,IF(AND(D35="N",AG35&lt;&gt;""),('Récapitulatif '!$AJ$3-AG35),"")))</f>
        <v>#VALUE!</v>
      </c>
      <c r="AG35" s="174" t="str">
        <f>+IF(AND($C$4:$C$43=($C$68),$C$4:$C$43=7),"",IF(AND($C$4:$C$43=($C$68-1),$D$4:$D$43="N"),(L35-T35),IF(AND($C$4:$C$43=($C$68),$D$4:$D$43="N"),(24-K35),IF($C$4:$C$43=$C$68,$W35,""))))</f>
        <v/>
      </c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0</v>
      </c>
      <c r="E37" s="609"/>
      <c r="F37" s="609"/>
      <c r="G37" s="836" t="s">
        <v>206</v>
      </c>
      <c r="H37" s="837"/>
      <c r="I37" s="837"/>
      <c r="J37" s="837"/>
      <c r="K37" s="616">
        <f>SUM(E4:E34)</f>
        <v>2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161.41666666666666</v>
      </c>
      <c r="X37" s="117">
        <f>SUM(X4:X34)</f>
        <v>0</v>
      </c>
      <c r="Y37" s="117">
        <f t="shared" ref="Y37:AI37" si="23">SUM(Y4:Y34)</f>
        <v>41.333333333333343</v>
      </c>
      <c r="Z37" s="155">
        <f>SUM(Z4:Z34)</f>
        <v>0</v>
      </c>
      <c r="AA37" s="155">
        <f>SUM(AA4:AA34)-Z37</f>
        <v>5</v>
      </c>
      <c r="AC37" s="121">
        <f t="shared" si="23"/>
        <v>0</v>
      </c>
      <c r="AD37" s="122">
        <f t="shared" si="23"/>
        <v>16.5</v>
      </c>
      <c r="AE37" s="123">
        <f t="shared" si="23"/>
        <v>3</v>
      </c>
      <c r="AF37" s="121">
        <f>SUM(AF4:AF34)</f>
        <v>0</v>
      </c>
      <c r="AG37" s="123">
        <f>SUM(AG4:AG34)</f>
        <v>3</v>
      </c>
      <c r="AH37" s="314">
        <f t="shared" si="23"/>
        <v>15</v>
      </c>
      <c r="AI37" s="23">
        <f t="shared" si="23"/>
        <v>4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22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162.41666666666666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0.83333333333333337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+(juin!AE40+Juillet!Y41)-Juillet!AC41</f>
        <v>46.563333333333333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52.250000000000007</v>
      </c>
      <c r="M43" s="505">
        <f>COUNTIF($D$4:$D$34,"M")</f>
        <v>7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73.999999999999986</v>
      </c>
      <c r="M44" s="504">
        <f>COUNTIF($D$4:$D$34,"aM")</f>
        <v>10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36.166666666666664</v>
      </c>
      <c r="M45" s="506">
        <f>COUNTIF($D$4:$D$34,"n")</f>
        <v>5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60" spans="3:14" ht="15" hidden="1" customHeight="1">
      <c r="C60" s="813" t="s">
        <v>108</v>
      </c>
      <c r="D60" s="814"/>
      <c r="E60" s="814"/>
      <c r="F60" s="814"/>
      <c r="G60" s="815"/>
    </row>
    <row r="61" spans="3:14" ht="12.75" hidden="1" customHeight="1" thickBot="1">
      <c r="C61" s="816">
        <f>+juin!C52</f>
        <v>2019</v>
      </c>
      <c r="D61" s="817"/>
      <c r="E61" s="817"/>
      <c r="F61" s="817"/>
      <c r="G61" s="818"/>
    </row>
    <row r="62" spans="3:14" ht="15" hidden="1">
      <c r="C62" s="666">
        <f>+DATE(C61,1,1)</f>
        <v>43466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AE55-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43586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43593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43615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43626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43660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43692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43770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43780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43824</v>
      </c>
      <c r="D72" s="677" t="s">
        <v>119</v>
      </c>
      <c r="E72" s="673"/>
      <c r="F72" s="673"/>
      <c r="G72" s="674"/>
    </row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>
      <c r="D77" s="26"/>
      <c r="E77" s="26"/>
      <c r="F77" s="26"/>
      <c r="G77" s="26"/>
    </row>
  </sheetData>
  <sheetProtection password="E404" sheet="1" objects="1" scenarios="1"/>
  <mergeCells count="21">
    <mergeCell ref="AH1:AI1"/>
    <mergeCell ref="K2:L2"/>
    <mergeCell ref="M2:N2"/>
    <mergeCell ref="K1:Y1"/>
    <mergeCell ref="Q2:R2"/>
    <mergeCell ref="AF1:AG1"/>
    <mergeCell ref="AF2:AG2"/>
    <mergeCell ref="C60:G60"/>
    <mergeCell ref="C61:G61"/>
    <mergeCell ref="A1:D1"/>
    <mergeCell ref="A2:D2"/>
    <mergeCell ref="AC1:AE1"/>
    <mergeCell ref="A3:B3"/>
    <mergeCell ref="K41:M41"/>
    <mergeCell ref="O2:P2"/>
    <mergeCell ref="N39:Y39"/>
    <mergeCell ref="N41:W41"/>
    <mergeCell ref="O3:P3"/>
    <mergeCell ref="S3:T3"/>
    <mergeCell ref="G37:J37"/>
    <mergeCell ref="G39:J39"/>
  </mergeCells>
  <phoneticPr fontId="0" type="noConversion"/>
  <conditionalFormatting sqref="AH4:IY4 AE4:AE35 AG35">
    <cfRule type="expression" dxfId="113" priority="6" stopIfTrue="1">
      <formula>"OU(JOURSEM(A4)=1;SOMME(Q$4:Q4);"""")"</formula>
    </cfRule>
  </conditionalFormatting>
  <conditionalFormatting sqref="C4:AB35">
    <cfRule type="expression" dxfId="112" priority="7" stopIfTrue="1">
      <formula>OR(WEEKDAY($C4)=1)</formula>
    </cfRule>
  </conditionalFormatting>
  <conditionalFormatting sqref="A35:B35">
    <cfRule type="expression" dxfId="111" priority="4" stopIfTrue="1">
      <formula>OR(WEEKDAY($C35)=1)</formula>
    </cfRule>
  </conditionalFormatting>
  <conditionalFormatting sqref="A4:B34 B5:B35">
    <cfRule type="expression" dxfId="110" priority="3" stopIfTrue="1">
      <formula>OR(WEEKDAY($C4)=1)</formula>
    </cfRule>
  </conditionalFormatting>
  <conditionalFormatting sqref="A4:B34 B5:B35">
    <cfRule type="expression" dxfId="109" priority="2" stopIfTrue="1">
      <formula>OR(WEEKDAY($C4)=1)</formula>
    </cfRule>
  </conditionalFormatting>
  <conditionalFormatting sqref="C4:C34">
    <cfRule type="cellIs" dxfId="108" priority="1" operator="equal">
      <formula>$C$68</formula>
    </cfRule>
  </conditionalFormatting>
  <dataValidations disablePrompts="1"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25" bottom="0.21" header="0.25" footer="0.21"/>
  <pageSetup paperSize="9" scale="78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M77"/>
  <sheetViews>
    <sheetView showGridLines="0" view="pageBreakPreview" zoomScaleNormal="75" zoomScaleSheetLayoutView="100" workbookViewId="0">
      <selection activeCell="AB9" sqref="AB9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+Juillet!C34+1</f>
        <v>43678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43678</v>
      </c>
      <c r="D4" s="641" t="s">
        <v>205</v>
      </c>
      <c r="E4" s="633" t="str">
        <f>+IF(AND(WEEKDAY(C4)=1,D4="M"),1,"")</f>
        <v/>
      </c>
      <c r="F4" s="634" t="str">
        <f>+IF(AND(WEEKDAY(C4)=1,D4="N"),1,"")</f>
        <v/>
      </c>
      <c r="G4" s="630" t="s">
        <v>184</v>
      </c>
      <c r="H4" s="128">
        <f t="shared" ref="H4:H34" si="0">+IF(OR(D4="",D4="CP"),"",1)</f>
        <v>1</v>
      </c>
      <c r="I4" s="127" t="str">
        <f>+IF(D4="CP",1,"")</f>
        <v/>
      </c>
      <c r="J4" s="298"/>
      <c r="K4" s="85">
        <v>4.55</v>
      </c>
      <c r="L4" s="8">
        <v>13</v>
      </c>
      <c r="M4" s="8"/>
      <c r="N4" s="375"/>
      <c r="O4" s="371">
        <f>+((K4-INT(K4))/60*100)+INT(K4)</f>
        <v>4.9166666666666661</v>
      </c>
      <c r="P4" s="73">
        <f>+((L4-INT(L4))/60*100)+INT(L4)</f>
        <v>13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>
        <f>+IF(D4="","",IF(D4="CP","",IF(D4="J2",((N4-M4)+(L4-K4)),IF(O4&lt;P4,P4-O4,P4+24-O4)-T4)))</f>
        <v>7.7500000000000009</v>
      </c>
      <c r="V4" s="372">
        <f>IF(O4&lt;P4,IF(K4="","",IF(O4&gt;$D$75,24-O4,IF(O4&lt;$D$76,$D$76-O4,0)))+IF(P4&lt;$D$76,P4,IF(P4&gt;$D$75,P4-$D$75,0)),IF(K4="","",IF(O4&gt;$D$75,24-O4,IF(O4&lt;$D$76,$D$76-O4,3)))+IF(P4&lt;$D$76,P4,IF(P4&gt;$D$75,24-P4,P4)))</f>
        <v>1.0833333333333339</v>
      </c>
      <c r="W4" s="113">
        <f>+IF(U4&gt;=6,U4,IF(D4="J2",((N4-M4)+(L4-K4)),IF(O4&lt;P4,P4-O4,P4+24-O4)))</f>
        <v>7.7500000000000009</v>
      </c>
      <c r="X4" s="249" t="str">
        <f>+IF(D4="cp",(I4*'Récapitulatif '!$AJ$3),"")</f>
        <v/>
      </c>
      <c r="Y4" s="162">
        <f t="shared" ref="Y4:Y34" si="1">+IF(OR(D4="CP",D4=""),"",(IF(V4&gt;6,V4-T4,V4)))</f>
        <v>1.0833333333333339</v>
      </c>
      <c r="Z4" s="154" t="str">
        <f>+IF(D4="CP",1,"")</f>
        <v/>
      </c>
      <c r="AA4" s="154" t="str">
        <f t="shared" ref="AA4:AA34" si="2">+IF(AND(Y4&gt;=3,D4&lt;&gt;""),1,"")</f>
        <v/>
      </c>
      <c r="AB4" s="478" t="str">
        <f>+IF(WEEKDAY(C4)=1,(SUM(W$4:X4)+(Juillet!$AB$35)),"")</f>
        <v/>
      </c>
      <c r="AC4" s="260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+AG4</f>
        <v/>
      </c>
      <c r="AF4" s="260" t="str">
        <f>+IF(AND(WEEKDAY(C4)=1,$C$4:$C$34=$C$69),"",IF(AND($C$4:$C$34=$C$69,D4=""),'Récapitulatif '!$AJ$3,IF(AND(D4="N",AG4&lt;&gt;""),('Récapitulatif '!$AJ$3-AG4),"")))</f>
        <v/>
      </c>
      <c r="AG4" s="294" t="str">
        <f>+IF(AND($C$4:$C$34=($C$69-1),$D$4:$D$34="N"),(L4-T4),IF(AND($C$4:$C$34=($C$69),$D$4:$D$34="N"),(24-K4),IF($C$4:$C$34=$C$69,$W4,"")))</f>
        <v/>
      </c>
      <c r="AH4" s="380">
        <f t="shared" ref="AH4:AH34" si="3">IF(K4="","",IF(D4="J2","",IF(AI4=1,"",IF(U4&gt;=6,1,""))))</f>
        <v>1</v>
      </c>
      <c r="AI4" s="9" t="str">
        <f t="shared" ref="AI4:AI34" si="4">+IF(K4="","",IF(Y4&gt;=4,1,""))</f>
        <v/>
      </c>
      <c r="AJ4" s="10"/>
      <c r="AL4" s="92" t="s">
        <v>64</v>
      </c>
    </row>
    <row r="5" spans="1:38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112">
        <f>+C4+1</f>
        <v>43679</v>
      </c>
      <c r="D5" s="643" t="s">
        <v>205</v>
      </c>
      <c r="E5" s="633" t="str">
        <f t="shared" ref="E5:E34" si="5">+IF(AND(WEEKDAY(C5)=1,D5="M"),1,"")</f>
        <v/>
      </c>
      <c r="F5" s="634" t="str">
        <f t="shared" ref="F5:F35" si="6">+IF(AND(WEEKDAY(C5)=1,D5="N"),1,"")</f>
        <v/>
      </c>
      <c r="G5" s="628" t="s">
        <v>184</v>
      </c>
      <c r="H5" s="128">
        <f t="shared" si="0"/>
        <v>1</v>
      </c>
      <c r="I5" s="127" t="str">
        <f t="shared" ref="I5:I34" si="7">+IF(D5="CP",1,"")</f>
        <v/>
      </c>
      <c r="J5" s="299"/>
      <c r="K5" s="86">
        <v>4.55</v>
      </c>
      <c r="L5" s="11">
        <v>12.1</v>
      </c>
      <c r="M5" s="11"/>
      <c r="N5" s="125"/>
      <c r="O5" s="371">
        <f t="shared" ref="O5:O34" si="8">+((K5-INT(K5))/60*100)+INT(K5)</f>
        <v>4.9166666666666661</v>
      </c>
      <c r="P5" s="73">
        <f t="shared" ref="P5:P34" si="9">+((L5-INT(L5))/60*100)+INT(L5)</f>
        <v>12.166666666666666</v>
      </c>
      <c r="Q5" s="73">
        <f t="shared" ref="Q5:Q34" si="10">+((M5-INT(M5))/60*100)+INT(M5)</f>
        <v>0</v>
      </c>
      <c r="R5" s="73">
        <f t="shared" ref="R5:R34" si="11">+((N5-INT(N5))/60*100)+INT(N5)</f>
        <v>0</v>
      </c>
      <c r="S5" s="73">
        <v>0.2</v>
      </c>
      <c r="T5" s="73">
        <f t="shared" ref="T5:T34" si="12">+(S5/60*100)</f>
        <v>0.33333333333333337</v>
      </c>
      <c r="U5" s="12">
        <f t="shared" ref="U5:U34" si="13">+IF(D5="","",IF(D5="CP","",IF(D5="J2",((N5-M5)+(L5-K5)),IF(O5&lt;P5,P5-O5,P5+24-O5)-T5)))</f>
        <v>6.916666666666667</v>
      </c>
      <c r="V5" s="372">
        <f t="shared" ref="V5:V34" si="14">IF(O5&lt;P5,IF(K5="","",IF(O5&gt;$D$75,24-O5,IF(O5&lt;$D$76,$D$76-O5,0)))+IF(P5&lt;$D$76,P5,IF(P5&gt;$D$75,P5-$D$75,0)),IF(K5="","",IF(O5&gt;$D$75,24-O5,IF(O5&lt;$D$76,$D$76-O5,3)))+IF(P5&lt;$D$76,P5,IF(P5&gt;$D$75,24-P5,P5)))</f>
        <v>1.0833333333333339</v>
      </c>
      <c r="W5" s="114">
        <f t="shared" ref="W5:W34" si="15">+IF(U5&gt;=6,U5,IF(D5="J2",((N5-M5)+(L5-K5)),IF(O5&lt;P5,P5-O5,P5+24-O5)))</f>
        <v>6.916666666666667</v>
      </c>
      <c r="X5" s="161" t="str">
        <f>+IF(D5="cp",(I5*'Récapitulatif '!$AJ$3),"")</f>
        <v/>
      </c>
      <c r="Y5" s="163">
        <f t="shared" si="1"/>
        <v>1.0833333333333339</v>
      </c>
      <c r="Z5" s="154" t="str">
        <f t="shared" ref="Z5:Z34" si="16">+IF(D5="CP",1,"")</f>
        <v/>
      </c>
      <c r="AA5" s="154" t="str">
        <f t="shared" si="2"/>
        <v/>
      </c>
      <c r="AB5" s="479" t="str">
        <f>+IF(WEEKDAY(C5)=1,(SUM(W$4:X5)+(Juillet!$AB$35)),"")</f>
        <v/>
      </c>
      <c r="AC5" s="220" t="str">
        <f t="shared" ref="AC5:AC34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 t="str">
        <f t="shared" ref="AE5:AE34" si="19">+AG5</f>
        <v/>
      </c>
      <c r="AF5" s="220" t="str">
        <f>+IF(AND(WEEKDAY(C5)=1,$C$4:$C$34=$C$69),"",IF(AND($C$4:$C$34=$C$69,D5=""),'Récapitulatif '!$AJ$3,IF(AND(D5="N",AG5&lt;&gt;""),('Récapitulatif '!$AJ$3-AG5),"")))</f>
        <v/>
      </c>
      <c r="AG5" s="119" t="str">
        <f t="shared" ref="AG5:AG34" si="20">+IF(AND($C$4:$C$34=($C$69-1),$D$4:$D$34="N"),(L5-T5),IF(AND($C$4:$C$34=($C$69),$D$4:$D$34="N"),(24-K5),IF($C$4:$C$34=$C$69,$W5,"")))</f>
        <v/>
      </c>
      <c r="AH5" s="218">
        <f t="shared" si="3"/>
        <v>1</v>
      </c>
      <c r="AI5" s="13" t="str">
        <f t="shared" si="4"/>
        <v/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1">+C5+1</f>
        <v>43680</v>
      </c>
      <c r="D6" s="643"/>
      <c r="E6" s="633" t="str">
        <f t="shared" si="5"/>
        <v/>
      </c>
      <c r="F6" s="634" t="str">
        <f t="shared" si="6"/>
        <v/>
      </c>
      <c r="G6" s="628"/>
      <c r="H6" s="128" t="str">
        <f t="shared" si="0"/>
        <v/>
      </c>
      <c r="I6" s="127" t="str">
        <f t="shared" si="7"/>
        <v/>
      </c>
      <c r="J6" s="299"/>
      <c r="K6" s="86"/>
      <c r="L6" s="11"/>
      <c r="M6" s="11"/>
      <c r="N6" s="125"/>
      <c r="O6" s="371">
        <f t="shared" si="8"/>
        <v>0</v>
      </c>
      <c r="P6" s="73">
        <f t="shared" si="9"/>
        <v>0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 t="str">
        <f t="shared" si="13"/>
        <v/>
      </c>
      <c r="V6" s="372" t="e">
        <f t="shared" si="14"/>
        <v>#VALUE!</v>
      </c>
      <c r="W6" s="114" t="str">
        <f t="shared" si="15"/>
        <v/>
      </c>
      <c r="X6" s="161" t="str">
        <f>+IF(D6="cp",(I6*'Récapitulatif '!$AJ$3),"")</f>
        <v/>
      </c>
      <c r="Y6" s="163" t="str">
        <f t="shared" si="1"/>
        <v/>
      </c>
      <c r="Z6" s="154" t="str">
        <f t="shared" si="16"/>
        <v/>
      </c>
      <c r="AA6" s="154" t="str">
        <f t="shared" si="2"/>
        <v/>
      </c>
      <c r="AB6" s="479" t="str">
        <f>+IF(WEEKDAY(C6)=1,(SUM(W$4:X6)+(Juillet!$AB$35)),"")</f>
        <v/>
      </c>
      <c r="AC6" s="220" t="str">
        <f t="shared" si="17"/>
        <v/>
      </c>
      <c r="AD6" s="118" t="str">
        <f t="shared" si="18"/>
        <v/>
      </c>
      <c r="AE6" s="261" t="str">
        <f t="shared" si="19"/>
        <v/>
      </c>
      <c r="AF6" s="220" t="str">
        <f>+IF(AND(WEEKDAY(C6)=1,$C$4:$C$34=$C$69),"",IF(AND($C$4:$C$34=$C$69,D6=""),'Récapitulatif '!$AJ$3,IF(AND(D6="N",AG6&lt;&gt;""),('Récapitulatif '!$AJ$3-AG6),"")))</f>
        <v/>
      </c>
      <c r="AG6" s="119" t="str">
        <f t="shared" si="20"/>
        <v/>
      </c>
      <c r="AH6" s="218" t="str">
        <f t="shared" si="3"/>
        <v/>
      </c>
      <c r="AI6" s="13" t="str">
        <f t="shared" si="4"/>
        <v/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21"/>
        <v>43681</v>
      </c>
      <c r="D7" s="646" t="s">
        <v>203</v>
      </c>
      <c r="E7" s="633" t="str">
        <f t="shared" si="5"/>
        <v/>
      </c>
      <c r="F7" s="634">
        <f t="shared" si="6"/>
        <v>1</v>
      </c>
      <c r="G7" s="628" t="s">
        <v>184</v>
      </c>
      <c r="H7" s="128">
        <f t="shared" si="0"/>
        <v>1</v>
      </c>
      <c r="I7" s="127" t="str">
        <f t="shared" si="7"/>
        <v/>
      </c>
      <c r="J7" s="299"/>
      <c r="K7" s="86">
        <v>21</v>
      </c>
      <c r="L7" s="11">
        <v>5</v>
      </c>
      <c r="M7" s="11"/>
      <c r="N7" s="125"/>
      <c r="O7" s="371">
        <f t="shared" si="8"/>
        <v>21</v>
      </c>
      <c r="P7" s="73">
        <f t="shared" si="9"/>
        <v>5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>
        <f t="shared" si="13"/>
        <v>7.666666666666667</v>
      </c>
      <c r="V7" s="372">
        <f t="shared" si="14"/>
        <v>8</v>
      </c>
      <c r="W7" s="114">
        <f t="shared" si="15"/>
        <v>7.666666666666667</v>
      </c>
      <c r="X7" s="161" t="str">
        <f>+IF(D7="cp",(I7*'Récapitulatif '!$AJ$3),"")</f>
        <v/>
      </c>
      <c r="Y7" s="163">
        <f t="shared" si="1"/>
        <v>7.666666666666667</v>
      </c>
      <c r="Z7" s="154" t="str">
        <f t="shared" si="16"/>
        <v/>
      </c>
      <c r="AA7" s="154">
        <f t="shared" si="2"/>
        <v>1</v>
      </c>
      <c r="AB7" s="479">
        <f>+IF(WEEKDAY(C7)=1,(SUM(W$4:X7)+(Juillet!$AB$35)),"")</f>
        <v>30.083333333333336</v>
      </c>
      <c r="AC7" s="220" t="str">
        <f t="shared" si="17"/>
        <v/>
      </c>
      <c r="AD7" s="118">
        <f t="shared" si="18"/>
        <v>3</v>
      </c>
      <c r="AE7" s="261" t="str">
        <f t="shared" si="19"/>
        <v/>
      </c>
      <c r="AF7" s="220" t="str">
        <f>+IF(AND(WEEKDAY(C7)=1,$C$4:$C$34=$C$69),"",IF(AND($C$4:$C$34=$C$69,D7=""),'Récapitulatif '!$AJ$3,IF(AND(D7="N",AG7&lt;&gt;""),('Récapitulatif '!$AJ$3-AG7),"")))</f>
        <v/>
      </c>
      <c r="AG7" s="119" t="str">
        <f t="shared" si="20"/>
        <v/>
      </c>
      <c r="AH7" s="218" t="str">
        <f t="shared" si="3"/>
        <v/>
      </c>
      <c r="AI7" s="13">
        <f t="shared" si="4"/>
        <v>1</v>
      </c>
      <c r="AJ7" s="10"/>
      <c r="AL7" s="92" t="s">
        <v>84</v>
      </c>
    </row>
    <row r="8" spans="1:38">
      <c r="A8" s="482">
        <f>IF(WEEKDAY(C8,2)=1,INT((C8-SUM(MOD(DATE(YEAR(C8-MOD(C8-2,7)+3),1,2),{1E+99;7})*{1;-1})+5)/7),"")</f>
        <v>32</v>
      </c>
      <c r="B8" s="482" t="str">
        <f>IF(A8&lt;&gt;"",VLOOKUP(A8,juin!$L$49:$M$101,2,FALSE),"")</f>
        <v>Mystère</v>
      </c>
      <c r="C8" s="112">
        <f t="shared" si="21"/>
        <v>43682</v>
      </c>
      <c r="D8" s="646" t="s">
        <v>203</v>
      </c>
      <c r="E8" s="633" t="str">
        <f t="shared" si="5"/>
        <v/>
      </c>
      <c r="F8" s="634" t="str">
        <f t="shared" si="6"/>
        <v/>
      </c>
      <c r="G8" s="628" t="s">
        <v>184</v>
      </c>
      <c r="H8" s="128">
        <f t="shared" si="0"/>
        <v>1</v>
      </c>
      <c r="I8" s="127" t="str">
        <f t="shared" si="7"/>
        <v/>
      </c>
      <c r="J8" s="299"/>
      <c r="K8" s="86">
        <v>20.55</v>
      </c>
      <c r="L8" s="11">
        <v>5</v>
      </c>
      <c r="M8" s="11"/>
      <c r="N8" s="125"/>
      <c r="O8" s="371">
        <f t="shared" si="8"/>
        <v>20.916666666666668</v>
      </c>
      <c r="P8" s="73">
        <f t="shared" si="9"/>
        <v>5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>
        <f t="shared" si="13"/>
        <v>7.7499999999999991</v>
      </c>
      <c r="V8" s="372">
        <f t="shared" si="14"/>
        <v>8</v>
      </c>
      <c r="W8" s="114">
        <f t="shared" si="15"/>
        <v>7.7499999999999991</v>
      </c>
      <c r="X8" s="161" t="str">
        <f>+IF(D8="cp",(I8*'Récapitulatif '!$AJ$3),"")</f>
        <v/>
      </c>
      <c r="Y8" s="163">
        <f t="shared" si="1"/>
        <v>7.666666666666667</v>
      </c>
      <c r="Z8" s="154" t="str">
        <f t="shared" si="16"/>
        <v/>
      </c>
      <c r="AA8" s="154">
        <f t="shared" si="2"/>
        <v>1</v>
      </c>
      <c r="AB8" s="479" t="str">
        <f>+IF(WEEKDAY(C8)=1,(SUM(W$4:X8)+(Juillet!$AB$35)),"")</f>
        <v/>
      </c>
      <c r="AC8" s="220" t="str">
        <f t="shared" si="17"/>
        <v/>
      </c>
      <c r="AD8" s="118" t="str">
        <f t="shared" si="18"/>
        <v/>
      </c>
      <c r="AE8" s="261" t="str">
        <f t="shared" si="19"/>
        <v/>
      </c>
      <c r="AF8" s="220" t="str">
        <f>+IF(AND(WEEKDAY(C8)=1,$C$4:$C$34=$C$69),"",IF(AND($C$4:$C$34=$C$69,D8=""),'Récapitulatif '!$AJ$3,IF(AND(D8="N",AG8&lt;&gt;""),('Récapitulatif '!$AJ$3-AG8),"")))</f>
        <v/>
      </c>
      <c r="AG8" s="119" t="str">
        <f t="shared" si="20"/>
        <v/>
      </c>
      <c r="AH8" s="218" t="str">
        <f t="shared" si="3"/>
        <v/>
      </c>
      <c r="AI8" s="13">
        <f t="shared" si="4"/>
        <v>1</v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21"/>
        <v>43683</v>
      </c>
      <c r="D9" s="646" t="s">
        <v>203</v>
      </c>
      <c r="E9" s="633" t="str">
        <f t="shared" si="5"/>
        <v/>
      </c>
      <c r="F9" s="634" t="str">
        <f t="shared" si="6"/>
        <v/>
      </c>
      <c r="G9" s="628" t="s">
        <v>184</v>
      </c>
      <c r="H9" s="128">
        <f t="shared" si="0"/>
        <v>1</v>
      </c>
      <c r="I9" s="127" t="str">
        <f t="shared" si="7"/>
        <v/>
      </c>
      <c r="J9" s="299"/>
      <c r="K9" s="86">
        <v>20.55</v>
      </c>
      <c r="L9" s="11">
        <v>5</v>
      </c>
      <c r="M9" s="11"/>
      <c r="N9" s="125"/>
      <c r="O9" s="371">
        <f t="shared" si="8"/>
        <v>20.916666666666668</v>
      </c>
      <c r="P9" s="73">
        <f t="shared" si="9"/>
        <v>5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>
        <f t="shared" si="13"/>
        <v>7.7499999999999991</v>
      </c>
      <c r="V9" s="372">
        <f t="shared" si="14"/>
        <v>8</v>
      </c>
      <c r="W9" s="114">
        <f t="shared" si="15"/>
        <v>7.7499999999999991</v>
      </c>
      <c r="X9" s="161" t="str">
        <f>+IF(D9="cp",(I9*'Récapitulatif '!$AJ$3),"")</f>
        <v/>
      </c>
      <c r="Y9" s="163">
        <f t="shared" si="1"/>
        <v>7.666666666666667</v>
      </c>
      <c r="Z9" s="154" t="str">
        <f t="shared" si="16"/>
        <v/>
      </c>
      <c r="AA9" s="154">
        <f t="shared" si="2"/>
        <v>1</v>
      </c>
      <c r="AB9" s="479" t="str">
        <f>+IF(WEEKDAY(C9)=1,(SUM(W$4:X9)+(Juillet!$AB$35)),"")</f>
        <v/>
      </c>
      <c r="AC9" s="220" t="str">
        <f t="shared" si="17"/>
        <v/>
      </c>
      <c r="AD9" s="118" t="str">
        <f t="shared" si="18"/>
        <v/>
      </c>
      <c r="AE9" s="261" t="str">
        <f t="shared" si="19"/>
        <v/>
      </c>
      <c r="AF9" s="220" t="str">
        <f>+IF(AND(WEEKDAY(C9)=1,$C$4:$C$34=$C$69),"",IF(AND($C$4:$C$34=$C$69,D9=""),'Récapitulatif '!$AJ$3,IF(AND(D9="N",AG9&lt;&gt;""),('Récapitulatif '!$AJ$3-AG9),"")))</f>
        <v/>
      </c>
      <c r="AG9" s="119" t="str">
        <f t="shared" si="20"/>
        <v/>
      </c>
      <c r="AH9" s="218" t="str">
        <f t="shared" si="3"/>
        <v/>
      </c>
      <c r="AI9" s="13">
        <f t="shared" si="4"/>
        <v>1</v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21"/>
        <v>43684</v>
      </c>
      <c r="D10" s="646" t="s">
        <v>203</v>
      </c>
      <c r="E10" s="633" t="str">
        <f t="shared" si="5"/>
        <v/>
      </c>
      <c r="F10" s="634" t="str">
        <f t="shared" si="6"/>
        <v/>
      </c>
      <c r="G10" s="628" t="s">
        <v>184</v>
      </c>
      <c r="H10" s="128">
        <f t="shared" si="0"/>
        <v>1</v>
      </c>
      <c r="I10" s="127" t="str">
        <f t="shared" si="7"/>
        <v/>
      </c>
      <c r="J10" s="299"/>
      <c r="K10" s="86">
        <v>20.55</v>
      </c>
      <c r="L10" s="11">
        <v>5</v>
      </c>
      <c r="M10" s="11"/>
      <c r="N10" s="125"/>
      <c r="O10" s="371">
        <f t="shared" si="8"/>
        <v>20.916666666666668</v>
      </c>
      <c r="P10" s="73">
        <f t="shared" si="9"/>
        <v>5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>
        <f t="shared" si="13"/>
        <v>7.7499999999999991</v>
      </c>
      <c r="V10" s="372">
        <f t="shared" si="14"/>
        <v>8</v>
      </c>
      <c r="W10" s="114">
        <f t="shared" si="15"/>
        <v>7.7499999999999991</v>
      </c>
      <c r="X10" s="161" t="str">
        <f>+IF(D10="cp",(I10*'Récapitulatif '!$AJ$3),"")</f>
        <v/>
      </c>
      <c r="Y10" s="163">
        <f t="shared" si="1"/>
        <v>7.666666666666667</v>
      </c>
      <c r="Z10" s="154" t="str">
        <f t="shared" si="16"/>
        <v/>
      </c>
      <c r="AA10" s="154">
        <f t="shared" si="2"/>
        <v>1</v>
      </c>
      <c r="AB10" s="479" t="str">
        <f>+IF(WEEKDAY(C10)=1,SUM(W4:X10),"")</f>
        <v/>
      </c>
      <c r="AC10" s="220" t="str">
        <f t="shared" si="17"/>
        <v/>
      </c>
      <c r="AD10" s="118" t="str">
        <f t="shared" si="18"/>
        <v/>
      </c>
      <c r="AE10" s="261" t="str">
        <f t="shared" si="19"/>
        <v/>
      </c>
      <c r="AF10" s="220" t="str">
        <f>+IF(AND(WEEKDAY(C10)=1,$C$4:$C$34=$C$69),"",IF(AND($C$4:$C$34=$C$69,D10=""),'Récapitulatif '!$AJ$3,IF(AND(D10="N",AG10&lt;&gt;""),('Récapitulatif '!$AJ$3-AG10),"")))</f>
        <v/>
      </c>
      <c r="AG10" s="119" t="str">
        <f t="shared" si="20"/>
        <v/>
      </c>
      <c r="AH10" s="218" t="str">
        <f t="shared" si="3"/>
        <v/>
      </c>
      <c r="AI10" s="13">
        <f t="shared" si="4"/>
        <v>1</v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1"/>
        <v>43685</v>
      </c>
      <c r="D11" s="646" t="s">
        <v>203</v>
      </c>
      <c r="E11" s="633" t="str">
        <f t="shared" si="5"/>
        <v/>
      </c>
      <c r="F11" s="634" t="str">
        <f t="shared" si="6"/>
        <v/>
      </c>
      <c r="G11" s="628" t="s">
        <v>184</v>
      </c>
      <c r="H11" s="128">
        <f t="shared" si="0"/>
        <v>1</v>
      </c>
      <c r="I11" s="127" t="str">
        <f t="shared" si="7"/>
        <v/>
      </c>
      <c r="J11" s="299"/>
      <c r="K11" s="86">
        <v>20.55</v>
      </c>
      <c r="L11" s="11">
        <v>3.15</v>
      </c>
      <c r="M11" s="11"/>
      <c r="N11" s="125"/>
      <c r="O11" s="371">
        <f t="shared" si="8"/>
        <v>20.916666666666668</v>
      </c>
      <c r="P11" s="73">
        <f t="shared" si="9"/>
        <v>3.25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>
        <f t="shared" si="13"/>
        <v>5.9999999999999991</v>
      </c>
      <c r="V11" s="372">
        <f t="shared" si="14"/>
        <v>6.25</v>
      </c>
      <c r="W11" s="114">
        <f t="shared" si="15"/>
        <v>5.9999999999999991</v>
      </c>
      <c r="X11" s="161" t="str">
        <f>+IF(D11="cp",(I11*'Récapitulatif '!$AJ$3),"")</f>
        <v/>
      </c>
      <c r="Y11" s="163">
        <f t="shared" si="1"/>
        <v>5.916666666666667</v>
      </c>
      <c r="Z11" s="154" t="str">
        <f t="shared" si="16"/>
        <v/>
      </c>
      <c r="AA11" s="154">
        <f t="shared" si="2"/>
        <v>1</v>
      </c>
      <c r="AB11" s="479" t="str">
        <f t="shared" ref="AB11:AB34" si="22">+IF(WEEKDAY(C11)=1,SUM(W5:X11),"")</f>
        <v/>
      </c>
      <c r="AC11" s="220" t="str">
        <f t="shared" si="17"/>
        <v/>
      </c>
      <c r="AD11" s="118" t="str">
        <f t="shared" si="18"/>
        <v/>
      </c>
      <c r="AE11" s="261" t="str">
        <f t="shared" si="19"/>
        <v/>
      </c>
      <c r="AF11" s="220" t="str">
        <f>+IF(AND(WEEKDAY(C11)=1,$C$4:$C$34=$C$69),"",IF(AND($C$4:$C$34=$C$69,D11=""),'Récapitulatif '!$AJ$3,IF(AND(D11="N",AG11&lt;&gt;""),('Récapitulatif '!$AJ$3-AG11),"")))</f>
        <v/>
      </c>
      <c r="AG11" s="119" t="str">
        <f t="shared" si="20"/>
        <v/>
      </c>
      <c r="AH11" s="218" t="str">
        <f t="shared" si="3"/>
        <v/>
      </c>
      <c r="AI11" s="13">
        <f t="shared" si="4"/>
        <v>1</v>
      </c>
      <c r="AJ11" s="10"/>
      <c r="AL11" s="1" t="s">
        <v>60</v>
      </c>
    </row>
    <row r="12" spans="1:38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112">
        <f t="shared" si="21"/>
        <v>43686</v>
      </c>
      <c r="D12" s="643"/>
      <c r="E12" s="633" t="str">
        <f t="shared" si="5"/>
        <v/>
      </c>
      <c r="F12" s="634" t="str">
        <f t="shared" si="6"/>
        <v/>
      </c>
      <c r="G12" s="628"/>
      <c r="H12" s="128" t="str">
        <f t="shared" si="0"/>
        <v/>
      </c>
      <c r="I12" s="127" t="str">
        <f t="shared" si="7"/>
        <v/>
      </c>
      <c r="J12" s="299"/>
      <c r="K12" s="86"/>
      <c r="L12" s="11"/>
      <c r="M12" s="11"/>
      <c r="N12" s="125"/>
      <c r="O12" s="371">
        <f t="shared" si="8"/>
        <v>0</v>
      </c>
      <c r="P12" s="73">
        <f t="shared" si="9"/>
        <v>0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 t="str">
        <f t="shared" si="13"/>
        <v/>
      </c>
      <c r="V12" s="372" t="e">
        <f t="shared" si="14"/>
        <v>#VALUE!</v>
      </c>
      <c r="W12" s="114" t="str">
        <f t="shared" si="15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6"/>
        <v/>
      </c>
      <c r="AA12" s="154" t="str">
        <f t="shared" si="2"/>
        <v/>
      </c>
      <c r="AB12" s="479" t="str">
        <f t="shared" si="22"/>
        <v/>
      </c>
      <c r="AC12" s="220" t="str">
        <f t="shared" si="17"/>
        <v/>
      </c>
      <c r="AD12" s="118" t="str">
        <f t="shared" si="18"/>
        <v/>
      </c>
      <c r="AE12" s="261" t="str">
        <f t="shared" si="19"/>
        <v/>
      </c>
      <c r="AF12" s="220" t="str">
        <f>+IF(AND(WEEKDAY(C12)=1,$C$4:$C$34=$C$69),"",IF(AND($C$4:$C$34=$C$69,D12=""),'Récapitulatif '!$AJ$3,IF(AND(D12="N",AG12&lt;&gt;""),('Récapitulatif '!$AJ$3-AG12),"")))</f>
        <v/>
      </c>
      <c r="AG12" s="119" t="str">
        <f t="shared" si="20"/>
        <v/>
      </c>
      <c r="AH12" s="218" t="str">
        <f t="shared" si="3"/>
        <v/>
      </c>
      <c r="AI12" s="13" t="str">
        <f t="shared" si="4"/>
        <v/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1"/>
        <v>43687</v>
      </c>
      <c r="D13" s="643"/>
      <c r="E13" s="633" t="str">
        <f t="shared" si="5"/>
        <v/>
      </c>
      <c r="F13" s="634" t="str">
        <f t="shared" si="6"/>
        <v/>
      </c>
      <c r="G13" s="626"/>
      <c r="H13" s="128" t="str">
        <f t="shared" si="0"/>
        <v/>
      </c>
      <c r="I13" s="127" t="str">
        <f t="shared" si="7"/>
        <v/>
      </c>
      <c r="J13" s="299"/>
      <c r="K13" s="86"/>
      <c r="L13" s="11"/>
      <c r="M13" s="11"/>
      <c r="N13" s="125"/>
      <c r="O13" s="371">
        <f t="shared" si="8"/>
        <v>0</v>
      </c>
      <c r="P13" s="73">
        <f t="shared" si="9"/>
        <v>0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 t="str">
        <f t="shared" si="13"/>
        <v/>
      </c>
      <c r="V13" s="372" t="e">
        <f t="shared" si="14"/>
        <v>#VALUE!</v>
      </c>
      <c r="W13" s="114" t="str">
        <f t="shared" si="15"/>
        <v/>
      </c>
      <c r="X13" s="161" t="str">
        <f>+IF(D13="cp",(I13*'Récapitulatif '!$AJ$3),"")</f>
        <v/>
      </c>
      <c r="Y13" s="163" t="str">
        <f t="shared" si="1"/>
        <v/>
      </c>
      <c r="Z13" s="154" t="str">
        <f t="shared" si="16"/>
        <v/>
      </c>
      <c r="AA13" s="154" t="str">
        <f t="shared" si="2"/>
        <v/>
      </c>
      <c r="AB13" s="479" t="str">
        <f t="shared" si="22"/>
        <v/>
      </c>
      <c r="AC13" s="220" t="str">
        <f t="shared" si="17"/>
        <v/>
      </c>
      <c r="AD13" s="118" t="str">
        <f t="shared" si="18"/>
        <v/>
      </c>
      <c r="AE13" s="261" t="str">
        <f t="shared" si="19"/>
        <v/>
      </c>
      <c r="AF13" s="220" t="str">
        <f>+IF(AND(WEEKDAY(C13)=1,$C$4:$C$34=$C$69),"",IF(AND($C$4:$C$34=$C$69,D13=""),'Récapitulatif '!$AJ$3,IF(AND(D13="N",AG13&lt;&gt;""),('Récapitulatif '!$AJ$3-AG13),"")))</f>
        <v/>
      </c>
      <c r="AG13" s="119" t="str">
        <f t="shared" si="20"/>
        <v/>
      </c>
      <c r="AH13" s="218" t="str">
        <f t="shared" si="3"/>
        <v/>
      </c>
      <c r="AI13" s="13" t="str">
        <f t="shared" si="4"/>
        <v/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21"/>
        <v>43688</v>
      </c>
      <c r="D14" s="646" t="s">
        <v>203</v>
      </c>
      <c r="E14" s="633" t="str">
        <f t="shared" si="5"/>
        <v/>
      </c>
      <c r="F14" s="634">
        <f t="shared" si="6"/>
        <v>1</v>
      </c>
      <c r="G14" s="628" t="s">
        <v>184</v>
      </c>
      <c r="H14" s="128">
        <f t="shared" si="0"/>
        <v>1</v>
      </c>
      <c r="I14" s="127" t="str">
        <f t="shared" si="7"/>
        <v/>
      </c>
      <c r="J14" s="299"/>
      <c r="K14" s="86">
        <v>21</v>
      </c>
      <c r="L14" s="11">
        <v>5</v>
      </c>
      <c r="M14" s="11"/>
      <c r="N14" s="125"/>
      <c r="O14" s="371">
        <f t="shared" si="8"/>
        <v>21</v>
      </c>
      <c r="P14" s="73">
        <f t="shared" si="9"/>
        <v>5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>
        <f t="shared" si="13"/>
        <v>7.666666666666667</v>
      </c>
      <c r="V14" s="372">
        <f t="shared" si="14"/>
        <v>8</v>
      </c>
      <c r="W14" s="114">
        <f t="shared" si="15"/>
        <v>7.666666666666667</v>
      </c>
      <c r="X14" s="161" t="str">
        <f>+IF(D14="cp",(I14*'Récapitulatif '!$AJ$3),"")</f>
        <v/>
      </c>
      <c r="Y14" s="163">
        <f t="shared" si="1"/>
        <v>7.666666666666667</v>
      </c>
      <c r="Z14" s="154" t="str">
        <f t="shared" si="16"/>
        <v/>
      </c>
      <c r="AA14" s="154">
        <f t="shared" si="2"/>
        <v>1</v>
      </c>
      <c r="AB14" s="479">
        <f t="shared" si="22"/>
        <v>36.916666666666664</v>
      </c>
      <c r="AC14" s="220" t="str">
        <f t="shared" si="17"/>
        <v/>
      </c>
      <c r="AD14" s="118">
        <f t="shared" si="18"/>
        <v>3</v>
      </c>
      <c r="AE14" s="261" t="str">
        <f t="shared" si="19"/>
        <v/>
      </c>
      <c r="AF14" s="220" t="str">
        <f>+IF(AND(WEEKDAY(C14)=1,$C$4:$C$34=$C$69),"",IF(AND($C$4:$C$34=$C$69,D14=""),'Récapitulatif '!$AJ$3,IF(AND(D14="N",AG14&lt;&gt;""),('Récapitulatif '!$AJ$3-AG14),"")))</f>
        <v/>
      </c>
      <c r="AG14" s="119" t="str">
        <f t="shared" si="20"/>
        <v/>
      </c>
      <c r="AH14" s="218" t="str">
        <f t="shared" si="3"/>
        <v/>
      </c>
      <c r="AI14" s="13">
        <f t="shared" si="4"/>
        <v>1</v>
      </c>
    </row>
    <row r="15" spans="1:38">
      <c r="A15" s="482">
        <f>IF(WEEKDAY(C15,2)=1,INT((C15-SUM(MOD(DATE(YEAR(C15-MOD(C15-2,7)+3),1,2),{1E+99;7})*{1;-1})+5)/7),"")</f>
        <v>33</v>
      </c>
      <c r="B15" s="482" t="str">
        <f>IF(A15&lt;&gt;"",VLOOKUP(A15,juin!$L$49:$M$101,2,FALSE),"")</f>
        <v>Nuit</v>
      </c>
      <c r="C15" s="112">
        <f t="shared" si="21"/>
        <v>43689</v>
      </c>
      <c r="D15" s="646" t="s">
        <v>203</v>
      </c>
      <c r="E15" s="633" t="str">
        <f t="shared" si="5"/>
        <v/>
      </c>
      <c r="F15" s="634" t="str">
        <f t="shared" si="6"/>
        <v/>
      </c>
      <c r="G15" s="628" t="s">
        <v>184</v>
      </c>
      <c r="H15" s="128">
        <f t="shared" si="0"/>
        <v>1</v>
      </c>
      <c r="I15" s="127" t="str">
        <f t="shared" si="7"/>
        <v/>
      </c>
      <c r="J15" s="299"/>
      <c r="K15" s="86">
        <v>20.55</v>
      </c>
      <c r="L15" s="11">
        <v>5</v>
      </c>
      <c r="M15" s="11"/>
      <c r="N15" s="125"/>
      <c r="O15" s="371">
        <f t="shared" si="8"/>
        <v>20.916666666666668</v>
      </c>
      <c r="P15" s="73">
        <f t="shared" si="9"/>
        <v>5</v>
      </c>
      <c r="Q15" s="73">
        <f t="shared" si="10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>
        <f t="shared" si="13"/>
        <v>7.7499999999999991</v>
      </c>
      <c r="V15" s="372">
        <f t="shared" si="14"/>
        <v>8</v>
      </c>
      <c r="W15" s="114">
        <f t="shared" si="15"/>
        <v>7.7499999999999991</v>
      </c>
      <c r="X15" s="161" t="str">
        <f>+IF(D15="cp",(I15*'Récapitulatif '!$AJ$3),"")</f>
        <v/>
      </c>
      <c r="Y15" s="163">
        <f t="shared" si="1"/>
        <v>7.666666666666667</v>
      </c>
      <c r="Z15" s="154" t="str">
        <f t="shared" si="16"/>
        <v/>
      </c>
      <c r="AA15" s="154">
        <f t="shared" si="2"/>
        <v>1</v>
      </c>
      <c r="AB15" s="479" t="str">
        <f t="shared" si="22"/>
        <v/>
      </c>
      <c r="AC15" s="220" t="str">
        <f t="shared" si="17"/>
        <v/>
      </c>
      <c r="AD15" s="118" t="str">
        <f t="shared" si="18"/>
        <v/>
      </c>
      <c r="AE15" s="261" t="str">
        <f t="shared" si="19"/>
        <v/>
      </c>
      <c r="AF15" s="220" t="str">
        <f>+IF(AND(WEEKDAY(C15)=1,$C$4:$C$34=$C$69),"",IF(AND($C$4:$C$34=$C$69,D15=""),'Récapitulatif '!$AJ$3,IF(AND(D15="N",AG15&lt;&gt;""),('Récapitulatif '!$AJ$3-AG15),"")))</f>
        <v/>
      </c>
      <c r="AG15" s="119" t="str">
        <f t="shared" si="20"/>
        <v/>
      </c>
      <c r="AH15" s="218" t="str">
        <f t="shared" si="3"/>
        <v/>
      </c>
      <c r="AI15" s="13">
        <f t="shared" si="4"/>
        <v>1</v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21"/>
        <v>43690</v>
      </c>
      <c r="D16" s="646" t="s">
        <v>203</v>
      </c>
      <c r="E16" s="633" t="str">
        <f t="shared" si="5"/>
        <v/>
      </c>
      <c r="F16" s="634" t="str">
        <f t="shared" si="6"/>
        <v/>
      </c>
      <c r="G16" s="628" t="s">
        <v>184</v>
      </c>
      <c r="H16" s="128">
        <f t="shared" si="0"/>
        <v>1</v>
      </c>
      <c r="I16" s="127" t="str">
        <f t="shared" si="7"/>
        <v/>
      </c>
      <c r="J16" s="299"/>
      <c r="K16" s="86">
        <v>20.55</v>
      </c>
      <c r="L16" s="11">
        <v>5</v>
      </c>
      <c r="M16" s="11"/>
      <c r="N16" s="125"/>
      <c r="O16" s="371">
        <f t="shared" si="8"/>
        <v>20.916666666666668</v>
      </c>
      <c r="P16" s="73">
        <f t="shared" si="9"/>
        <v>5</v>
      </c>
      <c r="Q16" s="73">
        <f t="shared" si="10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>
        <f t="shared" si="13"/>
        <v>7.7499999999999991</v>
      </c>
      <c r="V16" s="372">
        <f t="shared" si="14"/>
        <v>8</v>
      </c>
      <c r="W16" s="114">
        <f t="shared" si="15"/>
        <v>7.7499999999999991</v>
      </c>
      <c r="X16" s="161" t="str">
        <f>+IF(D16="cp",(I16*'Récapitulatif '!$AJ$3),"")</f>
        <v/>
      </c>
      <c r="Y16" s="163">
        <f t="shared" si="1"/>
        <v>7.666666666666667</v>
      </c>
      <c r="Z16" s="154" t="str">
        <f t="shared" si="16"/>
        <v/>
      </c>
      <c r="AA16" s="154">
        <f t="shared" si="2"/>
        <v>1</v>
      </c>
      <c r="AB16" s="479" t="str">
        <f t="shared" si="22"/>
        <v/>
      </c>
      <c r="AC16" s="220" t="str">
        <f t="shared" si="17"/>
        <v/>
      </c>
      <c r="AD16" s="118" t="str">
        <f t="shared" si="18"/>
        <v/>
      </c>
      <c r="AE16" s="261" t="str">
        <f t="shared" si="19"/>
        <v/>
      </c>
      <c r="AF16" s="220" t="str">
        <f>+IF(AND(WEEKDAY(C16)=1,$C$4:$C$34=$C$69),"",IF(AND($C$4:$C$34=$C$69,D16=""),'Récapitulatif '!$AJ$3,IF(AND(D16="N",AG16&lt;&gt;""),('Récapitulatif '!$AJ$3-AG16),"")))</f>
        <v/>
      </c>
      <c r="AG16" s="119" t="str">
        <f t="shared" si="20"/>
        <v/>
      </c>
      <c r="AH16" s="218" t="str">
        <f t="shared" si="3"/>
        <v/>
      </c>
      <c r="AI16" s="13">
        <f t="shared" si="4"/>
        <v>1</v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21"/>
        <v>43691</v>
      </c>
      <c r="D17" s="646"/>
      <c r="E17" s="633" t="str">
        <f t="shared" si="5"/>
        <v/>
      </c>
      <c r="F17" s="634" t="str">
        <f t="shared" si="6"/>
        <v/>
      </c>
      <c r="G17" s="628"/>
      <c r="H17" s="128" t="str">
        <f t="shared" si="0"/>
        <v/>
      </c>
      <c r="I17" s="127" t="str">
        <f t="shared" si="7"/>
        <v/>
      </c>
      <c r="J17" s="299"/>
      <c r="K17" s="86"/>
      <c r="L17" s="11"/>
      <c r="M17" s="11"/>
      <c r="N17" s="125"/>
      <c r="O17" s="371">
        <f t="shared" si="8"/>
        <v>0</v>
      </c>
      <c r="P17" s="73">
        <f t="shared" si="9"/>
        <v>0</v>
      </c>
      <c r="Q17" s="73">
        <f t="shared" si="10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 t="str">
        <f t="shared" si="13"/>
        <v/>
      </c>
      <c r="V17" s="372" t="e">
        <f t="shared" si="14"/>
        <v>#VALUE!</v>
      </c>
      <c r="W17" s="114" t="str">
        <f t="shared" si="15"/>
        <v/>
      </c>
      <c r="X17" s="161" t="str">
        <f>+IF(D17="cp",(I17*'Récapitulatif '!$AJ$3),"")</f>
        <v/>
      </c>
      <c r="Y17" s="163" t="str">
        <f t="shared" si="1"/>
        <v/>
      </c>
      <c r="Z17" s="154" t="str">
        <f t="shared" si="16"/>
        <v/>
      </c>
      <c r="AA17" s="154" t="str">
        <f t="shared" si="2"/>
        <v/>
      </c>
      <c r="AB17" s="479" t="str">
        <f t="shared" si="22"/>
        <v/>
      </c>
      <c r="AC17" s="220" t="str">
        <f t="shared" si="17"/>
        <v/>
      </c>
      <c r="AD17" s="118" t="str">
        <f t="shared" si="18"/>
        <v/>
      </c>
      <c r="AE17" s="261" t="str">
        <f t="shared" si="19"/>
        <v/>
      </c>
      <c r="AF17" s="220" t="str">
        <f>+IF(AND(WEEKDAY(C17)=1,$C$4:$C$34=$C$69),"",IF(AND($C$4:$C$34=$C$69,D17=""),'Récapitulatif '!$AJ$3,IF(AND(D17="N",AG17&lt;&gt;""),('Récapitulatif '!$AJ$3-AG17),"")))</f>
        <v/>
      </c>
      <c r="AG17" s="119" t="str">
        <f t="shared" si="20"/>
        <v/>
      </c>
      <c r="AH17" s="218" t="str">
        <f t="shared" si="3"/>
        <v/>
      </c>
      <c r="AI17" s="13" t="str">
        <f t="shared" si="4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1"/>
        <v>43692</v>
      </c>
      <c r="D18" s="646" t="s">
        <v>203</v>
      </c>
      <c r="E18" s="633" t="str">
        <f t="shared" si="5"/>
        <v/>
      </c>
      <c r="F18" s="634" t="str">
        <f t="shared" si="6"/>
        <v/>
      </c>
      <c r="G18" s="628" t="s">
        <v>184</v>
      </c>
      <c r="H18" s="128">
        <f t="shared" si="0"/>
        <v>1</v>
      </c>
      <c r="I18" s="127" t="str">
        <f t="shared" si="7"/>
        <v/>
      </c>
      <c r="J18" s="299"/>
      <c r="K18" s="86">
        <v>21</v>
      </c>
      <c r="L18" s="11">
        <v>5</v>
      </c>
      <c r="M18" s="11"/>
      <c r="N18" s="125"/>
      <c r="O18" s="371">
        <f t="shared" si="8"/>
        <v>21</v>
      </c>
      <c r="P18" s="73">
        <f t="shared" si="9"/>
        <v>5</v>
      </c>
      <c r="Q18" s="73">
        <f t="shared" si="10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>
        <f t="shared" si="13"/>
        <v>7.666666666666667</v>
      </c>
      <c r="V18" s="372">
        <f t="shared" si="14"/>
        <v>8</v>
      </c>
      <c r="W18" s="114">
        <f t="shared" si="15"/>
        <v>7.666666666666667</v>
      </c>
      <c r="X18" s="161" t="str">
        <f>+IF(D18="cp",(I18*'Récapitulatif '!$AJ$3),"")</f>
        <v/>
      </c>
      <c r="Y18" s="163">
        <f t="shared" si="1"/>
        <v>7.666666666666667</v>
      </c>
      <c r="Z18" s="154" t="str">
        <f t="shared" si="16"/>
        <v/>
      </c>
      <c r="AA18" s="154">
        <f t="shared" si="2"/>
        <v>1</v>
      </c>
      <c r="AB18" s="479" t="str">
        <f t="shared" si="22"/>
        <v/>
      </c>
      <c r="AC18" s="220" t="str">
        <f t="shared" si="17"/>
        <v/>
      </c>
      <c r="AD18" s="118" t="str">
        <f t="shared" si="18"/>
        <v/>
      </c>
      <c r="AE18" s="261">
        <f t="shared" si="19"/>
        <v>3</v>
      </c>
      <c r="AF18" s="220">
        <f>+IF(AND(WEEKDAY(C18)=1,$C$4:$C$34=$C$69),"",IF(AND($C$4:$C$34=$C$69,D18=""),'Récapitulatif '!$AJ$3,IF(AND(D18="N",AG18&lt;&gt;""),('Récapitulatif '!$AJ$3-AG18),"")))</f>
        <v>3.9000000000000004</v>
      </c>
      <c r="AG18" s="119">
        <f t="shared" si="20"/>
        <v>3</v>
      </c>
      <c r="AH18" s="218" t="str">
        <f t="shared" si="3"/>
        <v/>
      </c>
      <c r="AI18" s="13">
        <f t="shared" si="4"/>
        <v>1</v>
      </c>
      <c r="AL18" s="1" t="s">
        <v>71</v>
      </c>
    </row>
    <row r="19" spans="1:38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112">
        <f t="shared" si="21"/>
        <v>43693</v>
      </c>
      <c r="D19" s="646"/>
      <c r="E19" s="633" t="str">
        <f t="shared" si="5"/>
        <v/>
      </c>
      <c r="F19" s="634" t="str">
        <f t="shared" si="6"/>
        <v/>
      </c>
      <c r="G19" s="628"/>
      <c r="H19" s="128" t="str">
        <f t="shared" si="0"/>
        <v/>
      </c>
      <c r="I19" s="127" t="str">
        <f t="shared" si="7"/>
        <v/>
      </c>
      <c r="J19" s="299"/>
      <c r="K19" s="86"/>
      <c r="L19" s="11"/>
      <c r="M19" s="11"/>
      <c r="N19" s="125"/>
      <c r="O19" s="371">
        <f t="shared" si="8"/>
        <v>0</v>
      </c>
      <c r="P19" s="73">
        <f t="shared" si="9"/>
        <v>0</v>
      </c>
      <c r="Q19" s="73">
        <f t="shared" si="10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 t="str">
        <f t="shared" si="13"/>
        <v/>
      </c>
      <c r="V19" s="372" t="e">
        <f t="shared" si="14"/>
        <v>#VALUE!</v>
      </c>
      <c r="W19" s="114" t="str">
        <f t="shared" si="15"/>
        <v/>
      </c>
      <c r="X19" s="161" t="str">
        <f>+IF(D19="cp",(I19*'Récapitulatif '!$AJ$3),"")</f>
        <v/>
      </c>
      <c r="Y19" s="163" t="str">
        <f t="shared" si="1"/>
        <v/>
      </c>
      <c r="Z19" s="154" t="str">
        <f t="shared" si="16"/>
        <v/>
      </c>
      <c r="AA19" s="154" t="str">
        <f t="shared" si="2"/>
        <v/>
      </c>
      <c r="AB19" s="479" t="str">
        <f t="shared" si="22"/>
        <v/>
      </c>
      <c r="AC19" s="220" t="str">
        <f t="shared" si="17"/>
        <v/>
      </c>
      <c r="AD19" s="118" t="str">
        <f t="shared" si="18"/>
        <v/>
      </c>
      <c r="AE19" s="261" t="str">
        <f t="shared" si="19"/>
        <v/>
      </c>
      <c r="AF19" s="220" t="str">
        <f>+IF(AND(WEEKDAY(C19)=1,$C$4:$C$34=$C$69),"",IF(AND($C$4:$C$34=$C$69,D19=""),'Récapitulatif '!$AJ$3,IF(AND(D19="N",AG19&lt;&gt;""),('Récapitulatif '!$AJ$3-AG19),"")))</f>
        <v/>
      </c>
      <c r="AG19" s="119" t="str">
        <f t="shared" si="20"/>
        <v/>
      </c>
      <c r="AH19" s="218" t="str">
        <f t="shared" si="3"/>
        <v/>
      </c>
      <c r="AI19" s="13" t="str">
        <f t="shared" si="4"/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1"/>
        <v>43694</v>
      </c>
      <c r="D20" s="650"/>
      <c r="E20" s="633" t="str">
        <f t="shared" si="5"/>
        <v/>
      </c>
      <c r="F20" s="634" t="str">
        <f t="shared" si="6"/>
        <v/>
      </c>
      <c r="G20" s="628"/>
      <c r="H20" s="128" t="str">
        <f t="shared" si="0"/>
        <v/>
      </c>
      <c r="I20" s="127" t="str">
        <f t="shared" si="7"/>
        <v/>
      </c>
      <c r="J20" s="299"/>
      <c r="K20" s="86"/>
      <c r="L20" s="11"/>
      <c r="M20" s="11"/>
      <c r="N20" s="125"/>
      <c r="O20" s="371">
        <f t="shared" si="8"/>
        <v>0</v>
      </c>
      <c r="P20" s="73">
        <f t="shared" si="9"/>
        <v>0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 t="str">
        <f t="shared" si="13"/>
        <v/>
      </c>
      <c r="V20" s="372" t="e">
        <f t="shared" si="14"/>
        <v>#VALUE!</v>
      </c>
      <c r="W20" s="114" t="str">
        <f t="shared" si="15"/>
        <v/>
      </c>
      <c r="X20" s="161" t="str">
        <f>+IF(D20="cp",(I20*'Récapitulatif '!$AJ$3),"")</f>
        <v/>
      </c>
      <c r="Y20" s="163" t="str">
        <f t="shared" si="1"/>
        <v/>
      </c>
      <c r="Z20" s="154" t="str">
        <f t="shared" si="16"/>
        <v/>
      </c>
      <c r="AA20" s="154" t="str">
        <f t="shared" si="2"/>
        <v/>
      </c>
      <c r="AB20" s="479" t="str">
        <f t="shared" si="22"/>
        <v/>
      </c>
      <c r="AC20" s="220" t="str">
        <f t="shared" si="17"/>
        <v/>
      </c>
      <c r="AD20" s="118" t="str">
        <f t="shared" si="18"/>
        <v/>
      </c>
      <c r="AE20" s="261" t="str">
        <f t="shared" si="19"/>
        <v/>
      </c>
      <c r="AF20" s="220" t="str">
        <f>+IF(AND(WEEKDAY(C20)=1,$C$4:$C$34=$C$69),"",IF(AND($C$4:$C$34=$C$69,D20=""),'Récapitulatif '!$AJ$3,IF(AND(D20="N",AG20&lt;&gt;""),('Récapitulatif '!$AJ$3-AG20),"")))</f>
        <v/>
      </c>
      <c r="AG20" s="119" t="str">
        <f t="shared" si="20"/>
        <v/>
      </c>
      <c r="AH20" s="218" t="str">
        <f t="shared" si="3"/>
        <v/>
      </c>
      <c r="AI20" s="13" t="str">
        <f t="shared" si="4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21"/>
        <v>43695</v>
      </c>
      <c r="D21" s="646" t="s">
        <v>205</v>
      </c>
      <c r="E21" s="633">
        <f t="shared" si="5"/>
        <v>1</v>
      </c>
      <c r="F21" s="634" t="str">
        <f t="shared" si="6"/>
        <v/>
      </c>
      <c r="G21" s="628" t="s">
        <v>186</v>
      </c>
      <c r="H21" s="128">
        <f t="shared" si="0"/>
        <v>1</v>
      </c>
      <c r="I21" s="127" t="str">
        <f t="shared" si="7"/>
        <v/>
      </c>
      <c r="J21" s="299"/>
      <c r="K21" s="86">
        <v>5</v>
      </c>
      <c r="L21" s="11">
        <v>13</v>
      </c>
      <c r="M21" s="11"/>
      <c r="N21" s="125"/>
      <c r="O21" s="371">
        <f t="shared" si="8"/>
        <v>5</v>
      </c>
      <c r="P21" s="73">
        <f t="shared" si="9"/>
        <v>13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>
        <f t="shared" si="13"/>
        <v>7.666666666666667</v>
      </c>
      <c r="V21" s="372">
        <f t="shared" si="14"/>
        <v>1</v>
      </c>
      <c r="W21" s="114">
        <f t="shared" si="15"/>
        <v>7.666666666666667</v>
      </c>
      <c r="X21" s="161" t="str">
        <f>+IF(D21="cp",(I21*'Récapitulatif '!$AJ$3),"")</f>
        <v/>
      </c>
      <c r="Y21" s="163">
        <f t="shared" si="1"/>
        <v>1</v>
      </c>
      <c r="Z21" s="154" t="str">
        <f t="shared" si="16"/>
        <v/>
      </c>
      <c r="AA21" s="154" t="str">
        <f t="shared" si="2"/>
        <v/>
      </c>
      <c r="AB21" s="479">
        <f t="shared" si="22"/>
        <v>30.833333333333332</v>
      </c>
      <c r="AC21" s="220" t="str">
        <f t="shared" si="17"/>
        <v/>
      </c>
      <c r="AD21" s="118">
        <f t="shared" si="18"/>
        <v>7.666666666666667</v>
      </c>
      <c r="AE21" s="261" t="str">
        <f t="shared" si="19"/>
        <v/>
      </c>
      <c r="AF21" s="220" t="str">
        <f>+IF(AND(WEEKDAY(C21)=1,$C$4:$C$34=$C$69),"",IF(AND($C$4:$C$34=$C$69,D21=""),'Récapitulatif '!$AJ$3,IF(AND(D21="N",AG21&lt;&gt;""),('Récapitulatif '!$AJ$3-AG21),"")))</f>
        <v/>
      </c>
      <c r="AG21" s="119" t="str">
        <f t="shared" si="20"/>
        <v/>
      </c>
      <c r="AH21" s="218">
        <f t="shared" si="3"/>
        <v>1</v>
      </c>
      <c r="AI21" s="13" t="str">
        <f t="shared" si="4"/>
        <v/>
      </c>
    </row>
    <row r="22" spans="1:38">
      <c r="A22" s="482">
        <f>IF(WEEKDAY(C22,2)=1,INT((C22-SUM(MOD(DATE(YEAR(C22-MOD(C22-2,7)+3),1,2),{1E+99;7})*{1;-1})+5)/7),"")</f>
        <v>34</v>
      </c>
      <c r="B22" s="482" t="str">
        <f>IF(A22&lt;&gt;"",VLOOKUP(A22,juin!$L$49:$M$101,2,FALSE),"")</f>
        <v>A - Midi</v>
      </c>
      <c r="C22" s="112">
        <f t="shared" si="21"/>
        <v>43696</v>
      </c>
      <c r="D22" s="646" t="s">
        <v>205</v>
      </c>
      <c r="E22" s="633" t="str">
        <f t="shared" si="5"/>
        <v/>
      </c>
      <c r="F22" s="634" t="str">
        <f t="shared" si="6"/>
        <v/>
      </c>
      <c r="G22" s="628" t="s">
        <v>184</v>
      </c>
      <c r="H22" s="128">
        <f t="shared" si="0"/>
        <v>1</v>
      </c>
      <c r="I22" s="127" t="str">
        <f t="shared" si="7"/>
        <v/>
      </c>
      <c r="J22" s="299"/>
      <c r="K22" s="86">
        <v>4.55</v>
      </c>
      <c r="L22" s="11">
        <v>13</v>
      </c>
      <c r="M22" s="11"/>
      <c r="N22" s="125"/>
      <c r="O22" s="371">
        <f t="shared" si="8"/>
        <v>4.9166666666666661</v>
      </c>
      <c r="P22" s="73">
        <f t="shared" si="9"/>
        <v>13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>
        <f t="shared" si="13"/>
        <v>7.7500000000000009</v>
      </c>
      <c r="V22" s="372">
        <f t="shared" si="14"/>
        <v>1.0833333333333339</v>
      </c>
      <c r="W22" s="114">
        <f t="shared" si="15"/>
        <v>7.7500000000000009</v>
      </c>
      <c r="X22" s="161" t="str">
        <f>+IF(D22="cp",(I22*'Récapitulatif '!$AJ$3),"")</f>
        <v/>
      </c>
      <c r="Y22" s="163">
        <f t="shared" si="1"/>
        <v>1.0833333333333339</v>
      </c>
      <c r="Z22" s="154" t="str">
        <f t="shared" si="16"/>
        <v/>
      </c>
      <c r="AA22" s="154" t="str">
        <f t="shared" si="2"/>
        <v/>
      </c>
      <c r="AB22" s="479" t="str">
        <f t="shared" si="22"/>
        <v/>
      </c>
      <c r="AC22" s="220" t="str">
        <f t="shared" si="17"/>
        <v/>
      </c>
      <c r="AD22" s="118" t="str">
        <f t="shared" si="18"/>
        <v/>
      </c>
      <c r="AE22" s="261" t="str">
        <f t="shared" si="19"/>
        <v/>
      </c>
      <c r="AF22" s="220" t="str">
        <f>+IF(AND(WEEKDAY(C22)=1,$C$4:$C$34=$C$69),"",IF(AND($C$4:$C$34=$C$69,D22=""),'Récapitulatif '!$AJ$3,IF(AND(D22="N",AG22&lt;&gt;""),('Récapitulatif '!$AJ$3-AG22),"")))</f>
        <v/>
      </c>
      <c r="AG22" s="119" t="str">
        <f t="shared" si="20"/>
        <v/>
      </c>
      <c r="AH22" s="218">
        <f t="shared" si="3"/>
        <v>1</v>
      </c>
      <c r="AI22" s="13" t="str">
        <f t="shared" si="4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21"/>
        <v>43697</v>
      </c>
      <c r="D23" s="646" t="s">
        <v>205</v>
      </c>
      <c r="E23" s="633" t="str">
        <f t="shared" si="5"/>
        <v/>
      </c>
      <c r="F23" s="634" t="str">
        <f t="shared" si="6"/>
        <v/>
      </c>
      <c r="G23" s="628" t="s">
        <v>184</v>
      </c>
      <c r="H23" s="128">
        <f t="shared" si="0"/>
        <v>1</v>
      </c>
      <c r="I23" s="127" t="str">
        <f t="shared" si="7"/>
        <v/>
      </c>
      <c r="J23" s="299"/>
      <c r="K23" s="86">
        <v>4.55</v>
      </c>
      <c r="L23" s="11">
        <v>13</v>
      </c>
      <c r="M23" s="11"/>
      <c r="N23" s="125"/>
      <c r="O23" s="371">
        <f t="shared" si="8"/>
        <v>4.9166666666666661</v>
      </c>
      <c r="P23" s="73">
        <f t="shared" si="9"/>
        <v>13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>
        <f t="shared" si="13"/>
        <v>7.7500000000000009</v>
      </c>
      <c r="V23" s="372">
        <f t="shared" si="14"/>
        <v>1.0833333333333339</v>
      </c>
      <c r="W23" s="114">
        <f t="shared" si="15"/>
        <v>7.7500000000000009</v>
      </c>
      <c r="X23" s="161" t="str">
        <f>+IF(D23="cp",(I23*'Récapitulatif '!$AJ$3),"")</f>
        <v/>
      </c>
      <c r="Y23" s="163">
        <f t="shared" si="1"/>
        <v>1.0833333333333339</v>
      </c>
      <c r="Z23" s="154" t="str">
        <f t="shared" si="16"/>
        <v/>
      </c>
      <c r="AA23" s="154" t="str">
        <f t="shared" si="2"/>
        <v/>
      </c>
      <c r="AB23" s="479" t="str">
        <f t="shared" si="22"/>
        <v/>
      </c>
      <c r="AC23" s="220" t="str">
        <f t="shared" si="17"/>
        <v/>
      </c>
      <c r="AD23" s="118" t="str">
        <f t="shared" si="18"/>
        <v/>
      </c>
      <c r="AE23" s="261" t="str">
        <f t="shared" si="19"/>
        <v/>
      </c>
      <c r="AF23" s="220" t="str">
        <f>+IF(AND(WEEKDAY(C23)=1,$C$4:$C$34=$C$69),"",IF(AND($C$4:$C$34=$C$69,D23=""),'Récapitulatif '!$AJ$3,IF(AND(D23="N",AG23&lt;&gt;""),('Récapitulatif '!$AJ$3-AG23),"")))</f>
        <v/>
      </c>
      <c r="AG23" s="119" t="str">
        <f t="shared" si="20"/>
        <v/>
      </c>
      <c r="AH23" s="218">
        <f t="shared" si="3"/>
        <v>1</v>
      </c>
      <c r="AI23" s="13" t="str">
        <f t="shared" si="4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21"/>
        <v>43698</v>
      </c>
      <c r="D24" s="646" t="s">
        <v>205</v>
      </c>
      <c r="E24" s="633" t="str">
        <f t="shared" si="5"/>
        <v/>
      </c>
      <c r="F24" s="634" t="str">
        <f t="shared" si="6"/>
        <v/>
      </c>
      <c r="G24" s="628" t="s">
        <v>184</v>
      </c>
      <c r="H24" s="128">
        <f t="shared" si="0"/>
        <v>1</v>
      </c>
      <c r="I24" s="127" t="str">
        <f t="shared" si="7"/>
        <v/>
      </c>
      <c r="J24" s="299"/>
      <c r="K24" s="86">
        <v>4.55</v>
      </c>
      <c r="L24" s="11">
        <v>13</v>
      </c>
      <c r="M24" s="11"/>
      <c r="N24" s="125"/>
      <c r="O24" s="371">
        <f t="shared" si="8"/>
        <v>4.9166666666666661</v>
      </c>
      <c r="P24" s="73">
        <f t="shared" si="9"/>
        <v>13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>
        <f t="shared" si="13"/>
        <v>7.7500000000000009</v>
      </c>
      <c r="V24" s="372">
        <f t="shared" si="14"/>
        <v>1.0833333333333339</v>
      </c>
      <c r="W24" s="114">
        <f t="shared" si="15"/>
        <v>7.7500000000000009</v>
      </c>
      <c r="X24" s="161" t="str">
        <f>+IF(D24="cp",(I24*'Récapitulatif '!$AJ$3),"")</f>
        <v/>
      </c>
      <c r="Y24" s="163">
        <f t="shared" si="1"/>
        <v>1.0833333333333339</v>
      </c>
      <c r="Z24" s="154" t="str">
        <f t="shared" si="16"/>
        <v/>
      </c>
      <c r="AA24" s="154" t="str">
        <f t="shared" si="2"/>
        <v/>
      </c>
      <c r="AB24" s="479" t="str">
        <f t="shared" si="22"/>
        <v/>
      </c>
      <c r="AC24" s="220" t="str">
        <f t="shared" si="17"/>
        <v/>
      </c>
      <c r="AD24" s="118" t="str">
        <f t="shared" si="18"/>
        <v/>
      </c>
      <c r="AE24" s="261" t="str">
        <f t="shared" si="19"/>
        <v/>
      </c>
      <c r="AF24" s="220" t="str">
        <f>+IF(AND(WEEKDAY(C24)=1,$C$4:$C$34=$C$69),"",IF(AND($C$4:$C$34=$C$69,D24=""),'Récapitulatif '!$AJ$3,IF(AND(D24="N",AG24&lt;&gt;""),('Récapitulatif '!$AJ$3-AG24),"")))</f>
        <v/>
      </c>
      <c r="AG24" s="119" t="str">
        <f t="shared" si="20"/>
        <v/>
      </c>
      <c r="AH24" s="218">
        <f t="shared" si="3"/>
        <v>1</v>
      </c>
      <c r="AI24" s="13" t="str">
        <f t="shared" si="4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1"/>
        <v>43699</v>
      </c>
      <c r="D25" s="646" t="s">
        <v>205</v>
      </c>
      <c r="E25" s="633" t="str">
        <f t="shared" si="5"/>
        <v/>
      </c>
      <c r="F25" s="634" t="str">
        <f t="shared" si="6"/>
        <v/>
      </c>
      <c r="G25" s="628" t="s">
        <v>184</v>
      </c>
      <c r="H25" s="128">
        <f t="shared" si="0"/>
        <v>1</v>
      </c>
      <c r="I25" s="127" t="str">
        <f t="shared" si="7"/>
        <v/>
      </c>
      <c r="J25" s="299"/>
      <c r="K25" s="86">
        <v>4.55</v>
      </c>
      <c r="L25" s="11">
        <v>13</v>
      </c>
      <c r="M25" s="11"/>
      <c r="N25" s="125"/>
      <c r="O25" s="371">
        <f t="shared" si="8"/>
        <v>4.9166666666666661</v>
      </c>
      <c r="P25" s="73">
        <f t="shared" si="9"/>
        <v>13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>
        <f t="shared" si="13"/>
        <v>7.7500000000000009</v>
      </c>
      <c r="V25" s="372">
        <f t="shared" si="14"/>
        <v>1.0833333333333339</v>
      </c>
      <c r="W25" s="114">
        <f t="shared" si="15"/>
        <v>7.7500000000000009</v>
      </c>
      <c r="X25" s="161" t="str">
        <f>+IF(D25="cp",(I25*'Récapitulatif '!$AJ$3),"")</f>
        <v/>
      </c>
      <c r="Y25" s="163">
        <f t="shared" si="1"/>
        <v>1.0833333333333339</v>
      </c>
      <c r="Z25" s="154" t="str">
        <f t="shared" si="16"/>
        <v/>
      </c>
      <c r="AA25" s="154" t="str">
        <f t="shared" si="2"/>
        <v/>
      </c>
      <c r="AB25" s="479" t="str">
        <f t="shared" si="22"/>
        <v/>
      </c>
      <c r="AC25" s="220" t="str">
        <f t="shared" si="17"/>
        <v/>
      </c>
      <c r="AD25" s="118" t="str">
        <f t="shared" si="18"/>
        <v/>
      </c>
      <c r="AE25" s="261" t="str">
        <f t="shared" si="19"/>
        <v/>
      </c>
      <c r="AF25" s="220" t="str">
        <f>+IF(AND(WEEKDAY(C25)=1,$C$4:$C$34=$C$69),"",IF(AND($C$4:$C$34=$C$69,D25=""),'Récapitulatif '!$AJ$3,IF(AND(D25="N",AG25&lt;&gt;""),('Récapitulatif '!$AJ$3-AG25),"")))</f>
        <v/>
      </c>
      <c r="AG25" s="119" t="str">
        <f t="shared" si="20"/>
        <v/>
      </c>
      <c r="AH25" s="218">
        <f t="shared" si="3"/>
        <v>1</v>
      </c>
      <c r="AI25" s="13" t="str">
        <f t="shared" si="4"/>
        <v/>
      </c>
    </row>
    <row r="26" spans="1:38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112">
        <f t="shared" si="21"/>
        <v>43700</v>
      </c>
      <c r="D26" s="646"/>
      <c r="E26" s="633" t="str">
        <f t="shared" si="5"/>
        <v/>
      </c>
      <c r="F26" s="634" t="str">
        <f t="shared" si="6"/>
        <v/>
      </c>
      <c r="G26" s="628"/>
      <c r="H26" s="128" t="str">
        <f t="shared" si="0"/>
        <v/>
      </c>
      <c r="I26" s="127" t="str">
        <f t="shared" si="7"/>
        <v/>
      </c>
      <c r="J26" s="299"/>
      <c r="K26" s="86"/>
      <c r="L26" s="11"/>
      <c r="M26" s="11"/>
      <c r="N26" s="125"/>
      <c r="O26" s="371">
        <f t="shared" si="8"/>
        <v>0</v>
      </c>
      <c r="P26" s="73">
        <f t="shared" si="9"/>
        <v>0</v>
      </c>
      <c r="Q26" s="73">
        <f t="shared" si="10"/>
        <v>0</v>
      </c>
      <c r="R26" s="73">
        <f t="shared" si="11"/>
        <v>0</v>
      </c>
      <c r="S26" s="73">
        <v>0.2</v>
      </c>
      <c r="T26" s="73">
        <f t="shared" si="12"/>
        <v>0.33333333333333337</v>
      </c>
      <c r="U26" s="12" t="str">
        <f t="shared" si="13"/>
        <v/>
      </c>
      <c r="V26" s="372" t="e">
        <f t="shared" si="14"/>
        <v>#VALUE!</v>
      </c>
      <c r="W26" s="114" t="str">
        <f t="shared" si="15"/>
        <v/>
      </c>
      <c r="X26" s="161" t="str">
        <f>+IF(D26="cp",(I26*'Récapitulatif '!$AJ$3),"")</f>
        <v/>
      </c>
      <c r="Y26" s="163" t="str">
        <f t="shared" si="1"/>
        <v/>
      </c>
      <c r="Z26" s="154" t="str">
        <f t="shared" si="16"/>
        <v/>
      </c>
      <c r="AA26" s="154" t="str">
        <f t="shared" si="2"/>
        <v/>
      </c>
      <c r="AB26" s="479" t="str">
        <f t="shared" si="22"/>
        <v/>
      </c>
      <c r="AC26" s="220" t="str">
        <f t="shared" si="17"/>
        <v/>
      </c>
      <c r="AD26" s="118" t="str">
        <f t="shared" si="18"/>
        <v/>
      </c>
      <c r="AE26" s="261" t="str">
        <f t="shared" si="19"/>
        <v/>
      </c>
      <c r="AF26" s="220" t="str">
        <f>+IF(AND(WEEKDAY(C26)=1,$C$4:$C$34=$C$69),"",IF(AND($C$4:$C$34=$C$69,D26=""),'Récapitulatif '!$AJ$3,IF(AND(D26="N",AG26&lt;&gt;""),('Récapitulatif '!$AJ$3-AG26),"")))</f>
        <v/>
      </c>
      <c r="AG26" s="119" t="str">
        <f t="shared" si="20"/>
        <v/>
      </c>
      <c r="AH26" s="218" t="str">
        <f t="shared" si="3"/>
        <v/>
      </c>
      <c r="AI26" s="13" t="str">
        <f t="shared" si="4"/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1"/>
        <v>43701</v>
      </c>
      <c r="D27" s="647"/>
      <c r="E27" s="633" t="str">
        <f t="shared" si="5"/>
        <v/>
      </c>
      <c r="F27" s="634" t="str">
        <f t="shared" si="6"/>
        <v/>
      </c>
      <c r="G27" s="626"/>
      <c r="H27" s="128" t="str">
        <f t="shared" si="0"/>
        <v/>
      </c>
      <c r="I27" s="127" t="str">
        <f t="shared" si="7"/>
        <v/>
      </c>
      <c r="J27" s="299"/>
      <c r="K27" s="86"/>
      <c r="L27" s="11"/>
      <c r="M27" s="11"/>
      <c r="N27" s="125"/>
      <c r="O27" s="371">
        <f t="shared" si="8"/>
        <v>0</v>
      </c>
      <c r="P27" s="73">
        <f t="shared" si="9"/>
        <v>0</v>
      </c>
      <c r="Q27" s="73">
        <f t="shared" si="10"/>
        <v>0</v>
      </c>
      <c r="R27" s="73">
        <f t="shared" si="11"/>
        <v>0</v>
      </c>
      <c r="S27" s="73">
        <v>0.2</v>
      </c>
      <c r="T27" s="73">
        <f t="shared" si="12"/>
        <v>0.33333333333333337</v>
      </c>
      <c r="U27" s="12" t="str">
        <f t="shared" si="13"/>
        <v/>
      </c>
      <c r="V27" s="372" t="e">
        <f t="shared" si="14"/>
        <v>#VALUE!</v>
      </c>
      <c r="W27" s="114" t="str">
        <f t="shared" si="15"/>
        <v/>
      </c>
      <c r="X27" s="161" t="str">
        <f>+IF(D27="cp",(I27*'Récapitulatif '!$AJ$3),"")</f>
        <v/>
      </c>
      <c r="Y27" s="163" t="str">
        <f t="shared" si="1"/>
        <v/>
      </c>
      <c r="Z27" s="154" t="str">
        <f t="shared" si="16"/>
        <v/>
      </c>
      <c r="AA27" s="154" t="str">
        <f t="shared" si="2"/>
        <v/>
      </c>
      <c r="AB27" s="479" t="str">
        <f t="shared" si="22"/>
        <v/>
      </c>
      <c r="AC27" s="220" t="str">
        <f t="shared" si="17"/>
        <v/>
      </c>
      <c r="AD27" s="118" t="str">
        <f t="shared" si="18"/>
        <v/>
      </c>
      <c r="AE27" s="261" t="str">
        <f t="shared" si="19"/>
        <v/>
      </c>
      <c r="AF27" s="220" t="str">
        <f>+IF(AND(WEEKDAY(C27)=1,$C$4:$C$34=$C$69),"",IF(AND($C$4:$C$34=$C$69,D27=""),'Récapitulatif '!$AJ$3,IF(AND(D27="N",AG27&lt;&gt;""),('Récapitulatif '!$AJ$3-AG27),"")))</f>
        <v/>
      </c>
      <c r="AG27" s="119" t="str">
        <f t="shared" si="20"/>
        <v/>
      </c>
      <c r="AH27" s="218" t="str">
        <f t="shared" si="3"/>
        <v/>
      </c>
      <c r="AI27" s="13" t="str">
        <f t="shared" si="4"/>
        <v/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21"/>
        <v>43702</v>
      </c>
      <c r="D28" s="647"/>
      <c r="E28" s="633" t="str">
        <f t="shared" si="5"/>
        <v/>
      </c>
      <c r="F28" s="634" t="str">
        <f t="shared" si="6"/>
        <v/>
      </c>
      <c r="G28" s="626"/>
      <c r="H28" s="128" t="str">
        <f t="shared" si="0"/>
        <v/>
      </c>
      <c r="I28" s="127" t="str">
        <f t="shared" si="7"/>
        <v/>
      </c>
      <c r="J28" s="299"/>
      <c r="K28" s="86"/>
      <c r="L28" s="11"/>
      <c r="M28" s="11"/>
      <c r="N28" s="125"/>
      <c r="O28" s="371">
        <f t="shared" si="8"/>
        <v>0</v>
      </c>
      <c r="P28" s="73">
        <f t="shared" si="9"/>
        <v>0</v>
      </c>
      <c r="Q28" s="73">
        <f t="shared" si="10"/>
        <v>0</v>
      </c>
      <c r="R28" s="73">
        <f t="shared" si="11"/>
        <v>0</v>
      </c>
      <c r="S28" s="73">
        <v>0.2</v>
      </c>
      <c r="T28" s="73">
        <f t="shared" si="12"/>
        <v>0.33333333333333337</v>
      </c>
      <c r="U28" s="12" t="str">
        <f t="shared" si="13"/>
        <v/>
      </c>
      <c r="V28" s="372" t="e">
        <f t="shared" si="14"/>
        <v>#VALUE!</v>
      </c>
      <c r="W28" s="114" t="str">
        <f t="shared" si="15"/>
        <v/>
      </c>
      <c r="X28" s="161" t="str">
        <f>+IF(D28="cp",(I28*'Récapitulatif '!$AJ$3),"")</f>
        <v/>
      </c>
      <c r="Y28" s="163" t="str">
        <f t="shared" si="1"/>
        <v/>
      </c>
      <c r="Z28" s="154" t="str">
        <f t="shared" si="16"/>
        <v/>
      </c>
      <c r="AA28" s="154" t="str">
        <f t="shared" si="2"/>
        <v/>
      </c>
      <c r="AB28" s="479">
        <f t="shared" si="22"/>
        <v>31.000000000000004</v>
      </c>
      <c r="AC28" s="220" t="str">
        <f t="shared" si="17"/>
        <v/>
      </c>
      <c r="AD28" s="118" t="str">
        <f t="shared" si="18"/>
        <v/>
      </c>
      <c r="AE28" s="261" t="str">
        <f t="shared" si="19"/>
        <v/>
      </c>
      <c r="AF28" s="220" t="str">
        <f>+IF(AND(WEEKDAY(C28)=1,$C$4:$C$34=$C$69),"",IF(AND($C$4:$C$34=$C$69,D28=""),'Récapitulatif '!$AJ$3,IF(AND(D28="N",AG28&lt;&gt;""),('Récapitulatif '!$AJ$3-AG28),"")))</f>
        <v/>
      </c>
      <c r="AG28" s="119" t="str">
        <f t="shared" si="20"/>
        <v/>
      </c>
      <c r="AH28" s="218" t="str">
        <f t="shared" si="3"/>
        <v/>
      </c>
      <c r="AI28" s="13" t="str">
        <f t="shared" si="4"/>
        <v/>
      </c>
    </row>
    <row r="29" spans="1:38">
      <c r="A29" s="482">
        <f>IF(WEEKDAY(C29,2)=1,INT((C29-SUM(MOD(DATE(YEAR(C29-MOD(C29-2,7)+3),1,2),{1E+99;7})*{1;-1})+5)/7),"")</f>
        <v>35</v>
      </c>
      <c r="B29" s="482" t="str">
        <f>IF(A29&lt;&gt;"",VLOOKUP(A29,juin!$L$49:$M$101,2,FALSE),"")</f>
        <v>Matin</v>
      </c>
      <c r="C29" s="112">
        <f t="shared" si="21"/>
        <v>43703</v>
      </c>
      <c r="D29" s="646" t="s">
        <v>18</v>
      </c>
      <c r="E29" s="633" t="str">
        <f t="shared" si="5"/>
        <v/>
      </c>
      <c r="F29" s="634" t="str">
        <f t="shared" si="6"/>
        <v/>
      </c>
      <c r="G29" s="628"/>
      <c r="H29" s="128" t="str">
        <f t="shared" si="0"/>
        <v/>
      </c>
      <c r="I29" s="127">
        <f t="shared" si="7"/>
        <v>1</v>
      </c>
      <c r="J29" s="299"/>
      <c r="K29" s="86"/>
      <c r="L29" s="11"/>
      <c r="M29" s="11"/>
      <c r="N29" s="125"/>
      <c r="O29" s="371">
        <f t="shared" si="8"/>
        <v>0</v>
      </c>
      <c r="P29" s="73">
        <f t="shared" si="9"/>
        <v>0</v>
      </c>
      <c r="Q29" s="73">
        <f t="shared" si="10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 t="str">
        <f t="shared" si="13"/>
        <v/>
      </c>
      <c r="V29" s="372" t="e">
        <f t="shared" si="14"/>
        <v>#VALUE!</v>
      </c>
      <c r="W29" s="114" t="str">
        <f t="shared" si="15"/>
        <v/>
      </c>
      <c r="X29" s="161">
        <f>+IF(D29="cp",(I29*'Récapitulatif '!$AJ$3),"")</f>
        <v>6.9</v>
      </c>
      <c r="Y29" s="163" t="str">
        <f t="shared" si="1"/>
        <v/>
      </c>
      <c r="Z29" s="154">
        <f t="shared" si="16"/>
        <v>1</v>
      </c>
      <c r="AA29" s="154">
        <f t="shared" si="2"/>
        <v>1</v>
      </c>
      <c r="AB29" s="479" t="str">
        <f t="shared" si="22"/>
        <v/>
      </c>
      <c r="AC29" s="220" t="str">
        <f t="shared" si="17"/>
        <v/>
      </c>
      <c r="AD29" s="118" t="str">
        <f t="shared" si="18"/>
        <v/>
      </c>
      <c r="AE29" s="261" t="str">
        <f t="shared" si="19"/>
        <v/>
      </c>
      <c r="AF29" s="220" t="str">
        <f>+IF(AND(WEEKDAY(C29)=1,$C$4:$C$34=$C$69),"",IF(AND($C$4:$C$34=$C$69,D29=""),'Récapitulatif '!$AJ$3,IF(AND(D29="N",AG29&lt;&gt;""),('Récapitulatif '!$AJ$3-AG29),"")))</f>
        <v/>
      </c>
      <c r="AG29" s="119" t="str">
        <f t="shared" si="20"/>
        <v/>
      </c>
      <c r="AH29" s="218" t="str">
        <f t="shared" si="3"/>
        <v/>
      </c>
      <c r="AI29" s="13" t="str">
        <f t="shared" si="4"/>
        <v/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21"/>
        <v>43704</v>
      </c>
      <c r="D30" s="646" t="s">
        <v>18</v>
      </c>
      <c r="E30" s="633" t="str">
        <f t="shared" si="5"/>
        <v/>
      </c>
      <c r="F30" s="634" t="str">
        <f t="shared" si="6"/>
        <v/>
      </c>
      <c r="G30" s="626"/>
      <c r="H30" s="128" t="str">
        <f t="shared" si="0"/>
        <v/>
      </c>
      <c r="I30" s="127">
        <f t="shared" si="7"/>
        <v>1</v>
      </c>
      <c r="J30" s="299"/>
      <c r="K30" s="86"/>
      <c r="L30" s="11"/>
      <c r="M30" s="11"/>
      <c r="N30" s="125"/>
      <c r="O30" s="371">
        <f t="shared" si="8"/>
        <v>0</v>
      </c>
      <c r="P30" s="73">
        <f t="shared" si="9"/>
        <v>0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 t="str">
        <f t="shared" si="13"/>
        <v/>
      </c>
      <c r="V30" s="372" t="e">
        <f t="shared" si="14"/>
        <v>#VALUE!</v>
      </c>
      <c r="W30" s="114" t="str">
        <f t="shared" si="15"/>
        <v/>
      </c>
      <c r="X30" s="161">
        <f>+IF(D30="cp",(I30*'Récapitulatif '!$AJ$3),"")</f>
        <v>6.9</v>
      </c>
      <c r="Y30" s="163" t="str">
        <f t="shared" si="1"/>
        <v/>
      </c>
      <c r="Z30" s="154">
        <f t="shared" si="16"/>
        <v>1</v>
      </c>
      <c r="AA30" s="154">
        <f t="shared" si="2"/>
        <v>1</v>
      </c>
      <c r="AB30" s="479" t="str">
        <f t="shared" si="22"/>
        <v/>
      </c>
      <c r="AC30" s="220" t="str">
        <f t="shared" si="17"/>
        <v/>
      </c>
      <c r="AD30" s="118" t="str">
        <f t="shared" si="18"/>
        <v/>
      </c>
      <c r="AE30" s="261" t="str">
        <f t="shared" si="19"/>
        <v/>
      </c>
      <c r="AF30" s="220" t="str">
        <f>+IF(AND(WEEKDAY(C30)=1,$C$4:$C$34=$C$69),"",IF(AND($C$4:$C$34=$C$69,D30=""),'Récapitulatif '!$AJ$3,IF(AND(D30="N",AG30&lt;&gt;""),('Récapitulatif '!$AJ$3-AG30),"")))</f>
        <v/>
      </c>
      <c r="AG30" s="119" t="str">
        <f t="shared" si="20"/>
        <v/>
      </c>
      <c r="AH30" s="218" t="str">
        <f t="shared" si="3"/>
        <v/>
      </c>
      <c r="AI30" s="13" t="str">
        <f t="shared" si="4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21"/>
        <v>43705</v>
      </c>
      <c r="D31" s="646" t="s">
        <v>18</v>
      </c>
      <c r="E31" s="633" t="str">
        <f t="shared" si="5"/>
        <v/>
      </c>
      <c r="F31" s="634" t="str">
        <f t="shared" si="6"/>
        <v/>
      </c>
      <c r="G31" s="626"/>
      <c r="H31" s="128" t="str">
        <f t="shared" si="0"/>
        <v/>
      </c>
      <c r="I31" s="127">
        <f t="shared" si="7"/>
        <v>1</v>
      </c>
      <c r="J31" s="299"/>
      <c r="K31" s="86"/>
      <c r="L31" s="11"/>
      <c r="M31" s="11"/>
      <c r="N31" s="125"/>
      <c r="O31" s="371">
        <f t="shared" si="8"/>
        <v>0</v>
      </c>
      <c r="P31" s="73">
        <f t="shared" si="9"/>
        <v>0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 t="str">
        <f t="shared" si="13"/>
        <v/>
      </c>
      <c r="V31" s="372" t="e">
        <f t="shared" si="14"/>
        <v>#VALUE!</v>
      </c>
      <c r="W31" s="114" t="str">
        <f t="shared" si="15"/>
        <v/>
      </c>
      <c r="X31" s="161">
        <f>+IF(D31="cp",(I31*'Récapitulatif '!$AJ$3),"")</f>
        <v>6.9</v>
      </c>
      <c r="Y31" s="163" t="str">
        <f t="shared" si="1"/>
        <v/>
      </c>
      <c r="Z31" s="154">
        <f t="shared" si="16"/>
        <v>1</v>
      </c>
      <c r="AA31" s="154">
        <f t="shared" si="2"/>
        <v>1</v>
      </c>
      <c r="AB31" s="479" t="str">
        <f t="shared" si="22"/>
        <v/>
      </c>
      <c r="AC31" s="220" t="str">
        <f t="shared" si="17"/>
        <v/>
      </c>
      <c r="AD31" s="118" t="str">
        <f t="shared" si="18"/>
        <v/>
      </c>
      <c r="AE31" s="261" t="str">
        <f t="shared" si="19"/>
        <v/>
      </c>
      <c r="AF31" s="220" t="str">
        <f>+IF(AND(WEEKDAY(C31)=1,$C$4:$C$34=$C$69),"",IF(AND($C$4:$C$34=$C$69,D31=""),'Récapitulatif '!$AJ$3,IF(AND(D31="N",AG31&lt;&gt;""),('Récapitulatif '!$AJ$3-AG31),"")))</f>
        <v/>
      </c>
      <c r="AG31" s="119" t="str">
        <f t="shared" si="20"/>
        <v/>
      </c>
      <c r="AH31" s="218" t="str">
        <f t="shared" si="3"/>
        <v/>
      </c>
      <c r="AI31" s="13" t="str">
        <f t="shared" si="4"/>
        <v/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43706</v>
      </c>
      <c r="D32" s="646" t="s">
        <v>18</v>
      </c>
      <c r="E32" s="633" t="str">
        <f t="shared" si="5"/>
        <v/>
      </c>
      <c r="F32" s="634" t="str">
        <f t="shared" si="6"/>
        <v/>
      </c>
      <c r="G32" s="626"/>
      <c r="H32" s="128" t="str">
        <f t="shared" si="0"/>
        <v/>
      </c>
      <c r="I32" s="127">
        <f t="shared" si="7"/>
        <v>1</v>
      </c>
      <c r="J32" s="299"/>
      <c r="K32" s="86"/>
      <c r="L32" s="11"/>
      <c r="M32" s="11"/>
      <c r="N32" s="125"/>
      <c r="O32" s="371">
        <f t="shared" si="8"/>
        <v>0</v>
      </c>
      <c r="P32" s="73">
        <f t="shared" si="9"/>
        <v>0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 t="str">
        <f t="shared" si="13"/>
        <v/>
      </c>
      <c r="V32" s="372" t="e">
        <f t="shared" si="14"/>
        <v>#VALUE!</v>
      </c>
      <c r="W32" s="114" t="str">
        <f t="shared" si="15"/>
        <v/>
      </c>
      <c r="X32" s="161">
        <f>+IF(D32="cp",(I32*'Récapitulatif '!$AJ$3),"")</f>
        <v>6.9</v>
      </c>
      <c r="Y32" s="163" t="str">
        <f t="shared" si="1"/>
        <v/>
      </c>
      <c r="Z32" s="154">
        <f t="shared" si="16"/>
        <v>1</v>
      </c>
      <c r="AA32" s="154">
        <f t="shared" si="2"/>
        <v>1</v>
      </c>
      <c r="AB32" s="479" t="str">
        <f t="shared" si="22"/>
        <v/>
      </c>
      <c r="AC32" s="220" t="str">
        <f t="shared" si="17"/>
        <v/>
      </c>
      <c r="AD32" s="118" t="str">
        <f t="shared" si="18"/>
        <v/>
      </c>
      <c r="AE32" s="261" t="str">
        <f t="shared" si="19"/>
        <v/>
      </c>
      <c r="AF32" s="220" t="str">
        <f>+IF(AND(WEEKDAY(C32)=1,$C$4:$C$34=$C$69),"",IF(AND($C$4:$C$34=$C$69,D32=""),'Récapitulatif '!$AJ$3,IF(AND(D32="N",AG32&lt;&gt;""),('Récapitulatif '!$AJ$3-AG32),"")))</f>
        <v/>
      </c>
      <c r="AG32" s="119" t="str">
        <f t="shared" si="20"/>
        <v/>
      </c>
      <c r="AH32" s="218" t="str">
        <f t="shared" si="3"/>
        <v/>
      </c>
      <c r="AI32" s="13" t="str">
        <f t="shared" si="4"/>
        <v/>
      </c>
    </row>
    <row r="33" spans="1:39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112">
        <f>+IF(MONTH(C$31+2)=MONTH(C$31)+1,"",C$31+2)</f>
        <v>43707</v>
      </c>
      <c r="D33" s="646" t="s">
        <v>18</v>
      </c>
      <c r="E33" s="633" t="str">
        <f t="shared" si="5"/>
        <v/>
      </c>
      <c r="F33" s="634" t="str">
        <f t="shared" si="6"/>
        <v/>
      </c>
      <c r="G33" s="626"/>
      <c r="H33" s="128" t="str">
        <f t="shared" si="0"/>
        <v/>
      </c>
      <c r="I33" s="127">
        <f t="shared" si="7"/>
        <v>1</v>
      </c>
      <c r="J33" s="299"/>
      <c r="K33" s="86"/>
      <c r="L33" s="11"/>
      <c r="M33" s="11"/>
      <c r="N33" s="125"/>
      <c r="O33" s="371">
        <f t="shared" si="8"/>
        <v>0</v>
      </c>
      <c r="P33" s="73">
        <f t="shared" si="9"/>
        <v>0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 t="str">
        <f t="shared" si="13"/>
        <v/>
      </c>
      <c r="V33" s="372" t="e">
        <f t="shared" si="14"/>
        <v>#VALUE!</v>
      </c>
      <c r="W33" s="114" t="str">
        <f t="shared" si="15"/>
        <v/>
      </c>
      <c r="X33" s="161">
        <f>+IF(D33="cp",(I33*'Récapitulatif '!$AJ$3),"")</f>
        <v>6.9</v>
      </c>
      <c r="Y33" s="163" t="str">
        <f t="shared" si="1"/>
        <v/>
      </c>
      <c r="Z33" s="154">
        <f t="shared" si="16"/>
        <v>1</v>
      </c>
      <c r="AA33" s="154">
        <f t="shared" si="2"/>
        <v>1</v>
      </c>
      <c r="AB33" s="479" t="str">
        <f t="shared" si="22"/>
        <v/>
      </c>
      <c r="AC33" s="220" t="str">
        <f t="shared" si="17"/>
        <v/>
      </c>
      <c r="AD33" s="118" t="str">
        <f t="shared" si="18"/>
        <v/>
      </c>
      <c r="AE33" s="261" t="str">
        <f t="shared" si="19"/>
        <v/>
      </c>
      <c r="AF33" s="220" t="str">
        <f>+IF(AND(WEEKDAY(C33)=1,$C$4:$C$34=$C$69),"",IF(AND($C$4:$C$34=$C$69,D33=""),'Récapitulatif '!$AJ$3,IF(AND(D33="N",AG33&lt;&gt;""),('Récapitulatif '!$AJ$3-AG33),"")))</f>
        <v/>
      </c>
      <c r="AG33" s="119" t="str">
        <f t="shared" si="20"/>
        <v/>
      </c>
      <c r="AH33" s="218" t="str">
        <f t="shared" si="3"/>
        <v/>
      </c>
      <c r="AI33" s="13" t="str">
        <f t="shared" si="4"/>
        <v/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>
        <f>+IF(MONTH(C$31+3)=MONTH(C$31)+1,"",C$31+3)</f>
        <v>43708</v>
      </c>
      <c r="D34" s="649"/>
      <c r="E34" s="635" t="str">
        <f t="shared" si="5"/>
        <v/>
      </c>
      <c r="F34" s="636" t="str">
        <f t="shared" si="6"/>
        <v/>
      </c>
      <c r="G34" s="627"/>
      <c r="H34" s="128" t="str">
        <f t="shared" si="0"/>
        <v/>
      </c>
      <c r="I34" s="127" t="str">
        <f t="shared" si="7"/>
        <v/>
      </c>
      <c r="J34" s="300"/>
      <c r="K34" s="87"/>
      <c r="L34" s="14"/>
      <c r="M34" s="14"/>
      <c r="N34" s="126"/>
      <c r="O34" s="373">
        <f t="shared" si="8"/>
        <v>0</v>
      </c>
      <c r="P34" s="202">
        <f t="shared" si="9"/>
        <v>0</v>
      </c>
      <c r="Q34" s="202">
        <f t="shared" si="10"/>
        <v>0</v>
      </c>
      <c r="R34" s="202">
        <f t="shared" si="11"/>
        <v>0</v>
      </c>
      <c r="S34" s="202">
        <v>0.2</v>
      </c>
      <c r="T34" s="202">
        <f t="shared" si="12"/>
        <v>0.33333333333333337</v>
      </c>
      <c r="U34" s="203" t="str">
        <f t="shared" si="13"/>
        <v/>
      </c>
      <c r="V34" s="374" t="e">
        <f t="shared" si="14"/>
        <v>#VALUE!</v>
      </c>
      <c r="W34" s="115" t="str">
        <f t="shared" si="15"/>
        <v/>
      </c>
      <c r="X34" s="204" t="str">
        <f>+IF(D34="cp",(I34*'Récapitulatif '!$AJ$3),"")</f>
        <v/>
      </c>
      <c r="Y34" s="164" t="str">
        <f t="shared" si="1"/>
        <v/>
      </c>
      <c r="Z34" s="154" t="str">
        <f t="shared" si="16"/>
        <v/>
      </c>
      <c r="AA34" s="154" t="str">
        <f t="shared" si="2"/>
        <v/>
      </c>
      <c r="AB34" s="480" t="str">
        <f t="shared" si="22"/>
        <v/>
      </c>
      <c r="AC34" s="221" t="str">
        <f t="shared" si="17"/>
        <v/>
      </c>
      <c r="AD34" s="120" t="str">
        <f t="shared" si="18"/>
        <v/>
      </c>
      <c r="AE34" s="262" t="str">
        <f t="shared" si="19"/>
        <v/>
      </c>
      <c r="AF34" s="221" t="str">
        <f>+IF(AND(WEEKDAY(C34)=1,$C$4:$C$34=$C$69),"",IF(AND($C$4:$C$34=$C$69,D34=""),'Récapitulatif '!$AJ$3,IF(AND(D34="N",AG34&lt;&gt;""),('Récapitulatif '!$AJ$3-AG34),"")))</f>
        <v/>
      </c>
      <c r="AG34" s="131" t="str">
        <f t="shared" si="20"/>
        <v/>
      </c>
      <c r="AH34" s="219" t="str">
        <f t="shared" si="3"/>
        <v/>
      </c>
      <c r="AI34" s="15" t="str">
        <f t="shared" si="4"/>
        <v/>
      </c>
    </row>
    <row r="35" spans="1:39" ht="13.5" hidden="1" thickBot="1">
      <c r="A35" s="482" t="e">
        <f>INT((C35-SUM(MOD(DATE(YEAR(C35-MOD(C35-2,7)+3),1,2),{1E+99;7})*{1;-1})+5)/7)</f>
        <v>#NUM!</v>
      </c>
      <c r="B35" s="482" t="e">
        <f>IF(A35&lt;&gt;"",VLOOKUP(A35,juin!$L$49:$M$101,2,FALSE),"")</f>
        <v>#NUM!</v>
      </c>
      <c r="C35" s="191"/>
      <c r="D35" s="192"/>
      <c r="E35" s="192"/>
      <c r="F35" s="622" t="str">
        <f t="shared" si="6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34.5</v>
      </c>
      <c r="AC35" s="199"/>
      <c r="AD35" s="199"/>
      <c r="AE35" s="174" t="e">
        <f>+IF(OR($C$4:$C$34=C100),W35,"")</f>
        <v>#VALUE!</v>
      </c>
      <c r="AF35" s="528" t="e">
        <f>+IF(AND(WEEKDAY(C35)=1,$C$4:$C$34=$C$69),"",IF(AND($C$4:$C$43=$C$69,D35=""),'Récapitulatif '!$AJ$3,IF(AND(D35="N",AG35&lt;&gt;""),('Récapitulatif '!$AJ$3-AG35),"")))</f>
        <v>#VALUE!</v>
      </c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5</v>
      </c>
      <c r="E37" s="609"/>
      <c r="F37" s="609"/>
      <c r="G37" s="836" t="s">
        <v>206</v>
      </c>
      <c r="H37" s="837"/>
      <c r="I37" s="837"/>
      <c r="J37" s="837"/>
      <c r="K37" s="616">
        <f>SUM(E4:E34)</f>
        <v>1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121.08333333333334</v>
      </c>
      <c r="X37" s="151">
        <f>SUM(X4:X34)</f>
        <v>34.5</v>
      </c>
      <c r="Y37" s="117">
        <f t="shared" ref="Y37:AI37" si="23">SUM(Y4:Y34)</f>
        <v>74.749999999999972</v>
      </c>
      <c r="Z37" s="155">
        <f>SUM(Z4:Z34)</f>
        <v>5</v>
      </c>
      <c r="AA37" s="155">
        <f>SUM(AA4:AA34)-Z37</f>
        <v>9</v>
      </c>
      <c r="AC37" s="121">
        <f t="shared" si="23"/>
        <v>0</v>
      </c>
      <c r="AD37" s="122">
        <f t="shared" si="23"/>
        <v>13.666666666666668</v>
      </c>
      <c r="AE37" s="123">
        <f t="shared" si="23"/>
        <v>3</v>
      </c>
      <c r="AF37" s="121">
        <f>SUM(AF4:AF34)</f>
        <v>3.9000000000000004</v>
      </c>
      <c r="AG37" s="123">
        <f>SUM(AG4:AG34)</f>
        <v>3</v>
      </c>
      <c r="AH37" s="314">
        <f t="shared" si="23"/>
        <v>7</v>
      </c>
      <c r="AI37" s="23">
        <f t="shared" si="23"/>
        <v>9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16</v>
      </c>
      <c r="E39" s="609"/>
      <c r="F39" s="609"/>
      <c r="G39" s="836" t="s">
        <v>207</v>
      </c>
      <c r="H39" s="837"/>
      <c r="I39" s="837"/>
      <c r="J39" s="837"/>
      <c r="K39" s="616">
        <f>SUM(F4:F34)</f>
        <v>2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113.41666666666667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1.5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+(Juillet!AE41+Août!Y41)-Août!AC41</f>
        <v>48.063333333333333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7.666666666666667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53.333333333333336</v>
      </c>
      <c r="M43" s="505">
        <f>COUNTIF($D$4:$D$34,"M")</f>
        <v>7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0</v>
      </c>
      <c r="M44" s="504">
        <f>COUNTIF($D$4:$D$34,"aM")</f>
        <v>0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67.75</v>
      </c>
      <c r="M45" s="506">
        <f>COUNTIF($D$4:$D$34,"n")</f>
        <v>9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60" spans="3:14" hidden="1">
      <c r="C60" s="813" t="s">
        <v>108</v>
      </c>
      <c r="D60" s="814"/>
      <c r="E60" s="814"/>
      <c r="F60" s="814"/>
      <c r="G60" s="815"/>
    </row>
    <row r="61" spans="3:14" ht="13.5" hidden="1" thickBot="1">
      <c r="C61" s="816">
        <f>+juin!C52</f>
        <v>2019</v>
      </c>
      <c r="D61" s="817"/>
      <c r="E61" s="817"/>
      <c r="F61" s="817"/>
      <c r="G61" s="818"/>
    </row>
    <row r="62" spans="3:14" ht="15" hidden="1">
      <c r="C62" s="666">
        <f>+DATE(C61,1,1)</f>
        <v>43466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AE55-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43586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43593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43615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43626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43660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43692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43770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43780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43824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CBD9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107" priority="26" stopIfTrue="1">
      <formula>OR(WEEKDAY($C4)=1)</formula>
    </cfRule>
  </conditionalFormatting>
  <conditionalFormatting sqref="AB4:AB34">
    <cfRule type="expression" dxfId="106" priority="27" stopIfTrue="1">
      <formula>OR(WEEKDAY($C4)=1)</formula>
    </cfRule>
  </conditionalFormatting>
  <conditionalFormatting sqref="K6:L18">
    <cfRule type="expression" dxfId="105" priority="25" stopIfTrue="1">
      <formula>OR(WEEKDAY($C6)=1)</formula>
    </cfRule>
  </conditionalFormatting>
  <conditionalFormatting sqref="K13:L18">
    <cfRule type="expression" dxfId="104" priority="24" stopIfTrue="1">
      <formula>OR(WEEKDAY($C13)=1)</formula>
    </cfRule>
  </conditionalFormatting>
  <conditionalFormatting sqref="K13:L18">
    <cfRule type="expression" dxfId="103" priority="23" stopIfTrue="1">
      <formula>OR(WEEKDAY($C13)=1)</formula>
    </cfRule>
  </conditionalFormatting>
  <conditionalFormatting sqref="D13:F17">
    <cfRule type="expression" dxfId="102" priority="22" stopIfTrue="1">
      <formula>OR(WEEKDAY($C13)=1)</formula>
    </cfRule>
  </conditionalFormatting>
  <conditionalFormatting sqref="G13:G20">
    <cfRule type="expression" dxfId="101" priority="21" stopIfTrue="1">
      <formula>OR(WEEKDAY($C13)=1)</formula>
    </cfRule>
  </conditionalFormatting>
  <conditionalFormatting sqref="D20:F26">
    <cfRule type="expression" dxfId="100" priority="20" stopIfTrue="1">
      <formula>OR(WEEKDAY($C20)=1)</formula>
    </cfRule>
  </conditionalFormatting>
  <conditionalFormatting sqref="K20:L26">
    <cfRule type="expression" dxfId="99" priority="19" stopIfTrue="1">
      <formula>OR(WEEKDAY($C20)=1)</formula>
    </cfRule>
  </conditionalFormatting>
  <conditionalFormatting sqref="A35:B35">
    <cfRule type="expression" dxfId="98" priority="17" stopIfTrue="1">
      <formula>OR(WEEKDAY($C35)=1)</formula>
    </cfRule>
  </conditionalFormatting>
  <conditionalFormatting sqref="A4:B34 B5:B35">
    <cfRule type="expression" dxfId="97" priority="16" stopIfTrue="1">
      <formula>OR(WEEKDAY($C4)=1)</formula>
    </cfRule>
  </conditionalFormatting>
  <conditionalFormatting sqref="A4:B34 B5:B35">
    <cfRule type="expression" dxfId="96" priority="15" stopIfTrue="1">
      <formula>OR(WEEKDAY($C4)=1)</formula>
    </cfRule>
  </conditionalFormatting>
  <conditionalFormatting sqref="G26">
    <cfRule type="expression" dxfId="95" priority="14" stopIfTrue="1">
      <formula>OR(WEEKDAY($C26)=1)</formula>
    </cfRule>
  </conditionalFormatting>
  <conditionalFormatting sqref="G8:G12">
    <cfRule type="expression" dxfId="94" priority="13" stopIfTrue="1">
      <formula>OR(WEEKDAY($C8)=1)</formula>
    </cfRule>
  </conditionalFormatting>
  <conditionalFormatting sqref="D21:D26">
    <cfRule type="expression" dxfId="93" priority="12" stopIfTrue="1">
      <formula>OR(WEEKDAY($C21)=1)</formula>
    </cfRule>
  </conditionalFormatting>
  <conditionalFormatting sqref="G21:G25">
    <cfRule type="expression" dxfId="92" priority="11" stopIfTrue="1">
      <formula>OR(WEEKDAY($C21)=1)</formula>
    </cfRule>
  </conditionalFormatting>
  <conditionalFormatting sqref="K21:L26">
    <cfRule type="expression" dxfId="91" priority="10" stopIfTrue="1">
      <formula>OR(WEEKDAY($C21)=1)</formula>
    </cfRule>
  </conditionalFormatting>
  <conditionalFormatting sqref="K21:L26">
    <cfRule type="expression" dxfId="90" priority="9" stopIfTrue="1">
      <formula>OR(WEEKDAY($C21)=1)</formula>
    </cfRule>
  </conditionalFormatting>
  <conditionalFormatting sqref="K21:L26">
    <cfRule type="expression" dxfId="89" priority="8" stopIfTrue="1">
      <formula>OR(WEEKDAY($C21)=1)</formula>
    </cfRule>
  </conditionalFormatting>
  <conditionalFormatting sqref="K22:L26">
    <cfRule type="expression" dxfId="88" priority="7" stopIfTrue="1">
      <formula>OR(WEEKDAY($C22)=1)</formula>
    </cfRule>
  </conditionalFormatting>
  <conditionalFormatting sqref="D7:D10">
    <cfRule type="expression" dxfId="87" priority="6" stopIfTrue="1">
      <formula>OR(WEEKDAY($C7)=1)</formula>
    </cfRule>
  </conditionalFormatting>
  <conditionalFormatting sqref="G7:G11">
    <cfRule type="expression" dxfId="86" priority="5" stopIfTrue="1">
      <formula>OR(WEEKDAY($C7)=1)</formula>
    </cfRule>
  </conditionalFormatting>
  <conditionalFormatting sqref="K7:L11">
    <cfRule type="expression" dxfId="85" priority="4" stopIfTrue="1">
      <formula>OR(WEEKDAY($C7)=1)</formula>
    </cfRule>
  </conditionalFormatting>
  <conditionalFormatting sqref="K7:L11">
    <cfRule type="expression" dxfId="84" priority="3" stopIfTrue="1">
      <formula>OR(WEEKDAY($C7)=1)</formula>
    </cfRule>
  </conditionalFormatting>
  <conditionalFormatting sqref="G21:G25">
    <cfRule type="expression" dxfId="83" priority="2" stopIfTrue="1">
      <formula>OR(WEEKDAY($C21)=1)</formula>
    </cfRule>
  </conditionalFormatting>
  <conditionalFormatting sqref="C4:C34">
    <cfRule type="cellIs" dxfId="82" priority="1" operator="equal">
      <formula>$C$69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3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M77"/>
  <sheetViews>
    <sheetView showGridLines="0" view="pageBreakPreview" zoomScaleNormal="75" zoomScaleSheetLayoutView="100" workbookViewId="0">
      <selection activeCell="K29" sqref="K29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+Août!C34+1</f>
        <v>43709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43709</v>
      </c>
      <c r="D4" s="645"/>
      <c r="E4" s="637" t="str">
        <f>+IF(AND(WEEKDAY(C4)=1,D4="M"),1,"")</f>
        <v/>
      </c>
      <c r="F4" s="638" t="str">
        <f>+IF(AND(WEEKDAY(C4)=1,D4="N"),1,"")</f>
        <v/>
      </c>
      <c r="G4" s="625"/>
      <c r="H4" s="128" t="str">
        <f t="shared" ref="H4:H35" si="0">+IF(OR(D4="",D4="CP"),"",1)</f>
        <v/>
      </c>
      <c r="I4" s="127" t="str">
        <f>+IF(D4="CP",1,"")</f>
        <v/>
      </c>
      <c r="J4" s="298"/>
      <c r="K4" s="85"/>
      <c r="L4" s="8"/>
      <c r="M4" s="8"/>
      <c r="N4" s="368"/>
      <c r="O4" s="371">
        <f>+((K4-INT(K4))/60*100)+INT(K4)</f>
        <v>0</v>
      </c>
      <c r="P4" s="73">
        <f>+((L4-INT(L4))/60*100)+INT(L4)</f>
        <v>0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 t="str">
        <f>+IF(D4="","",IF(D4="CP","",IF(D4="J2",((N4-M4)+(L4-K4)),IF(O4&lt;P4,P4-O4,P4+24-O4)-T4)))</f>
        <v/>
      </c>
      <c r="V4" s="372" t="e">
        <f>IF(O4&lt;P4,IF(K4="","",IF(O4&gt;$D$75,24-O4,IF(O4&lt;$D$76,$D$76-O4,0)))+IF(P4&lt;$D$76,P4,IF(P4&gt;$D$75,P4-$D$75,0)),IF(K4="","",IF(O4&gt;$D$75,24-O4,IF(O4&lt;$D$76,$D$76-O4,3)))+IF(P4&lt;$D$76,P4,IF(P4&gt;$D$75,24-P4,P4)))</f>
        <v>#VALUE!</v>
      </c>
      <c r="W4" s="113" t="str">
        <f>+IF(U4&gt;=6,U4,IF(D4="J2",((N4-M4)+(L4-K4)),IF(O4&lt;P4,P4-O4,P4+24-O4)))</f>
        <v/>
      </c>
      <c r="X4" s="249" t="str">
        <f>+IF(D4="cp",(I4*'Récapitulatif '!$AJ$3),"")</f>
        <v/>
      </c>
      <c r="Y4" s="162" t="str">
        <f t="shared" ref="Y4:Y33" si="1">+IF(OR(D4="CP",D4=""),"",(IF(V4&gt;6,V4-T4,V4)))</f>
        <v/>
      </c>
      <c r="Z4" s="154" t="str">
        <f>+IF(D4="CP",1,"")</f>
        <v/>
      </c>
      <c r="AA4" s="154" t="str">
        <f t="shared" ref="AA4:AA34" si="2">+IF(AND(Y4&gt;=3,D4&lt;&gt;""),1,"")</f>
        <v/>
      </c>
      <c r="AB4" s="478">
        <f>+IF(WEEKDAY(C4)=1,(SUM(W$4:X4)+(Août!AB$35)),"")</f>
        <v>34.5</v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/>
      <c r="AF4" s="323"/>
      <c r="AG4" s="294"/>
      <c r="AH4" s="327" t="str">
        <f t="shared" ref="AH4:AH30" si="3">IF(K4="","",IF(D4="J2","",IF(AI4=1,"",IF(U4&gt;=6,1,""))))</f>
        <v/>
      </c>
      <c r="AI4" s="9" t="str">
        <f t="shared" ref="AI4:AI30" si="4">+IF(K4="","",IF(Y4&gt;=4,1,""))</f>
        <v/>
      </c>
      <c r="AJ4" s="10"/>
      <c r="AL4" s="92" t="s">
        <v>64</v>
      </c>
    </row>
    <row r="5" spans="1:38">
      <c r="A5" s="482">
        <f>IF(WEEKDAY(C5,2)=1,INT((C5-SUM(MOD(DATE(YEAR(C5-MOD(C5-2,7)+3),1,2),{1E+99;7})*{1;-1})+5)/7),"")</f>
        <v>36</v>
      </c>
      <c r="B5" s="482" t="str">
        <f>IF(A5&lt;&gt;"",VLOOKUP(A5,juin!$L$49:$M$101,2,FALSE),"")</f>
        <v>Mystère</v>
      </c>
      <c r="C5" s="112">
        <f>+C4+1</f>
        <v>43710</v>
      </c>
      <c r="D5" s="643" t="s">
        <v>18</v>
      </c>
      <c r="E5" s="637" t="str">
        <f t="shared" ref="E5:E34" si="5">+IF(AND(WEEKDAY(C5)=1,D5="M"),1,"")</f>
        <v/>
      </c>
      <c r="F5" s="638" t="str">
        <f t="shared" ref="F5:F35" si="6">+IF(AND(WEEKDAY(C5)=1,D5="N"),1,"")</f>
        <v/>
      </c>
      <c r="G5" s="626"/>
      <c r="H5" s="128" t="str">
        <f t="shared" si="0"/>
        <v/>
      </c>
      <c r="I5" s="127">
        <f t="shared" ref="I5:I34" si="7">+IF(D5="CP",1,"")</f>
        <v>1</v>
      </c>
      <c r="J5" s="299"/>
      <c r="K5" s="86"/>
      <c r="L5" s="11"/>
      <c r="M5" s="11"/>
      <c r="N5" s="369"/>
      <c r="O5" s="371">
        <f t="shared" ref="O5:O30" si="8">+((K5-INT(K5))/60*100)+INT(K5)</f>
        <v>0</v>
      </c>
      <c r="P5" s="73">
        <f t="shared" ref="P5:P30" si="9">+((L5-INT(L5))/60*100)+INT(L5)</f>
        <v>0</v>
      </c>
      <c r="Q5" s="73">
        <f t="shared" ref="Q5:Q33" si="10">+((M5-INT(M5))/60*100)+INT(M5)</f>
        <v>0</v>
      </c>
      <c r="R5" s="73">
        <f t="shared" ref="R5:R33" si="11">+((N5-INT(N5))/60*100)+INT(N5)</f>
        <v>0</v>
      </c>
      <c r="S5" s="73">
        <v>0.2</v>
      </c>
      <c r="T5" s="73">
        <f t="shared" ref="T5:T33" si="12">+(S5/60*100)</f>
        <v>0.33333333333333337</v>
      </c>
      <c r="U5" s="12" t="str">
        <f t="shared" ref="U5:U30" si="13">+IF(D5="","",IF(D5="CP","",IF(D5="J2",((N5-M5)+(L5-K5)),IF(O5&lt;P5,P5-O5,P5+24-O5)-T5)))</f>
        <v/>
      </c>
      <c r="V5" s="372" t="e">
        <f t="shared" ref="V5:V34" si="14">IF(O5&lt;P5,IF(K5="","",IF(O5&gt;$D$75,24-O5,IF(O5&lt;$D$76,$D$76-O5,0)))+IF(P5&lt;$D$76,P5,IF(P5&gt;$D$75,P5-$D$75,0)),IF(K5="","",IF(O5&gt;$D$75,24-O5,IF(O5&lt;$D$76,$D$76-O5,3)))+IF(P5&lt;$D$76,P5,IF(P5&gt;$D$75,24-P5,P5)))</f>
        <v>#VALUE!</v>
      </c>
      <c r="W5" s="114" t="str">
        <f t="shared" ref="W5:W30" si="15">+IF(U5&gt;=6,U5,IF(D5="J2",((N5-M5)+(L5-K5)),IF(O5&lt;P5,P5-O5,P5+24-O5)))</f>
        <v/>
      </c>
      <c r="X5" s="161">
        <f>+IF(D5="cp",(I5*'Récapitulatif '!$AJ$3),"")</f>
        <v>6.9</v>
      </c>
      <c r="Y5" s="163" t="str">
        <f t="shared" si="1"/>
        <v/>
      </c>
      <c r="Z5" s="154">
        <f t="shared" ref="Z5:Z34" si="16">+IF(D5="CP",1,"")</f>
        <v>1</v>
      </c>
      <c r="AA5" s="154">
        <f t="shared" si="2"/>
        <v>1</v>
      </c>
      <c r="AB5" s="479" t="str">
        <f>+IF(WEEKDAY(C5)=1,(SUM(W$4:X5)+(Août!AB$35)),"")</f>
        <v/>
      </c>
      <c r="AC5" s="475" t="str">
        <f t="shared" ref="AC5:AC30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/>
      <c r="AF5" s="325"/>
      <c r="AG5" s="119"/>
      <c r="AH5" s="328" t="str">
        <f t="shared" si="3"/>
        <v/>
      </c>
      <c r="AI5" s="13" t="str">
        <f t="shared" si="4"/>
        <v/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19">+C5+1</f>
        <v>43711</v>
      </c>
      <c r="D6" s="643" t="s">
        <v>18</v>
      </c>
      <c r="E6" s="637" t="str">
        <f t="shared" si="5"/>
        <v/>
      </c>
      <c r="F6" s="638" t="str">
        <f t="shared" si="6"/>
        <v/>
      </c>
      <c r="G6" s="626"/>
      <c r="H6" s="128" t="str">
        <f t="shared" si="0"/>
        <v/>
      </c>
      <c r="I6" s="127">
        <f t="shared" si="7"/>
        <v>1</v>
      </c>
      <c r="J6" s="299"/>
      <c r="K6" s="86"/>
      <c r="L6" s="11"/>
      <c r="M6" s="11"/>
      <c r="N6" s="369"/>
      <c r="O6" s="371">
        <f t="shared" si="8"/>
        <v>0</v>
      </c>
      <c r="P6" s="73">
        <f t="shared" si="9"/>
        <v>0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 t="str">
        <f>+IF(D6="","",IF(D6="CP","",IF(D6="J2",((N6-M6)+(L6-K6)),IF(O6&lt;P6,P6-O6,P6+24-O6)-T6)))</f>
        <v/>
      </c>
      <c r="V6" s="372" t="e">
        <f t="shared" si="14"/>
        <v>#VALUE!</v>
      </c>
      <c r="W6" s="114" t="str">
        <f>+IF(U6&gt;=6,U6,IF(D6="J2",((N6-M6)+(L6-K6)),IF(O6&lt;P6,P6-O6,P6+24-O6)))</f>
        <v/>
      </c>
      <c r="X6" s="161">
        <f>+IF(D6="cp",(I6*'Récapitulatif '!$AJ$3),"")</f>
        <v>6.9</v>
      </c>
      <c r="Y6" s="163" t="str">
        <f>+IF(OR(D6="CP",D6=""),"",(IF(V6&gt;6,V6-T6,V6)))</f>
        <v/>
      </c>
      <c r="Z6" s="154">
        <f>+IF(D6="CP",1,"")</f>
        <v>1</v>
      </c>
      <c r="AA6" s="154">
        <f>+IF(AND(Y6&gt;=3,D6&lt;&gt;""),1,"")</f>
        <v>1</v>
      </c>
      <c r="AB6" s="479" t="str">
        <f>+IF(WEEKDAY(C6)=1,(SUM(W$4:X6)+(Août!AB$35)),"")</f>
        <v/>
      </c>
      <c r="AC6" s="475" t="str">
        <f>+IF(AND(WEEKDAY(C6)=7,D6="N"),(24-O6),IF(WEEKDAY(C6)=7,W6,IF(AND(WEEKDAY(C6)=6,D6="N"),(L6-0.33),IF(WEEKDAY(C6)=7,W6,""))))</f>
        <v/>
      </c>
      <c r="AD6" s="118" t="str">
        <f>+IF(AND(WEEKDAY(C6)=1,D6="N"),(24-O6),IF(WEEKDAY(C6)=1,W6,IF(AND(WEEKDAY(C6)=7,D6="N"),(L6-0.33),IF(WEEKDAY(C6)=1,W6,""))))</f>
        <v/>
      </c>
      <c r="AE6" s="261"/>
      <c r="AF6" s="325"/>
      <c r="AG6" s="119"/>
      <c r="AH6" s="328" t="str">
        <f>IF(K6="","",IF(D6="J2","",IF(AI6=1,"",IF(U6&gt;=6,1,""))))</f>
        <v/>
      </c>
      <c r="AI6" s="13" t="str">
        <f t="shared" si="4"/>
        <v/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19"/>
        <v>43712</v>
      </c>
      <c r="D7" s="643" t="s">
        <v>18</v>
      </c>
      <c r="E7" s="637" t="str">
        <f t="shared" si="5"/>
        <v/>
      </c>
      <c r="F7" s="638" t="str">
        <f t="shared" si="6"/>
        <v/>
      </c>
      <c r="G7" s="626"/>
      <c r="H7" s="128" t="str">
        <f t="shared" si="0"/>
        <v/>
      </c>
      <c r="I7" s="127">
        <f t="shared" si="7"/>
        <v>1</v>
      </c>
      <c r="J7" s="299"/>
      <c r="K7" s="86"/>
      <c r="L7" s="11"/>
      <c r="M7" s="11"/>
      <c r="N7" s="369"/>
      <c r="O7" s="371">
        <f t="shared" si="8"/>
        <v>0</v>
      </c>
      <c r="P7" s="73">
        <f t="shared" si="9"/>
        <v>0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 t="str">
        <f>+IF(D7="","",IF(D7="CP","",IF(D7="J2",((N7-M7)+(L7-K7)),IF(O7&lt;P7,P7-O7,P7+24-O7)-T7)))</f>
        <v/>
      </c>
      <c r="V7" s="372" t="e">
        <f t="shared" si="14"/>
        <v>#VALUE!</v>
      </c>
      <c r="W7" s="114" t="str">
        <f>+IF(U7&gt;=6,U7,IF(D7="J2",((N7-M7)+(L7-K7)),IF(O7&lt;P7,P7-O7,P7+24-O7)))</f>
        <v/>
      </c>
      <c r="X7" s="161">
        <f>+IF(D7="cp",(I7*'Récapitulatif '!$AJ$3),"")</f>
        <v>6.9</v>
      </c>
      <c r="Y7" s="163" t="str">
        <f>+IF(OR(D7="CP",D7=""),"",(IF(V7&gt;6,V7-T7,V7)))</f>
        <v/>
      </c>
      <c r="Z7" s="154">
        <f>+IF(D7="CP",1,"")</f>
        <v>1</v>
      </c>
      <c r="AA7" s="154">
        <f>+IF(AND(Y7&gt;=3,D7&lt;&gt;""),1,"")</f>
        <v>1</v>
      </c>
      <c r="AB7" s="479" t="str">
        <f>+IF(WEEKDAY(C7)=1,(SUM(W$4:X7)+(Août!AB$35)),"")</f>
        <v/>
      </c>
      <c r="AC7" s="475" t="str">
        <f>+IF(AND(WEEKDAY(C7)=7,D7="N"),(24-O7),IF(WEEKDAY(C7)=7,W7,IF(AND(WEEKDAY(C7)=6,D7="N"),(L7-0.33),IF(WEEKDAY(C7)=7,W7,""))))</f>
        <v/>
      </c>
      <c r="AD7" s="118" t="str">
        <f>+IF(AND(WEEKDAY(C7)=1,D7="N"),(24-O7),IF(WEEKDAY(C7)=1,W7,IF(AND(WEEKDAY(C7)=7,D7="N"),(L7-0.33),IF(WEEKDAY(C7)=1,W7,""))))</f>
        <v/>
      </c>
      <c r="AE7" s="261"/>
      <c r="AF7" s="325"/>
      <c r="AG7" s="119"/>
      <c r="AH7" s="328" t="str">
        <f>IF(K7="","",IF(D7="J2","",IF(AI7=1,"",IF(U7&gt;=6,1,""))))</f>
        <v/>
      </c>
      <c r="AI7" s="13" t="str">
        <f t="shared" si="4"/>
        <v/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19"/>
        <v>43713</v>
      </c>
      <c r="D8" s="643" t="s">
        <v>18</v>
      </c>
      <c r="E8" s="637" t="str">
        <f t="shared" si="5"/>
        <v/>
      </c>
      <c r="F8" s="638" t="str">
        <f t="shared" si="6"/>
        <v/>
      </c>
      <c r="G8" s="626"/>
      <c r="H8" s="128" t="str">
        <f t="shared" si="0"/>
        <v/>
      </c>
      <c r="I8" s="127">
        <f t="shared" si="7"/>
        <v>1</v>
      </c>
      <c r="J8" s="299"/>
      <c r="K8" s="86"/>
      <c r="L8" s="11"/>
      <c r="M8" s="11"/>
      <c r="N8" s="369"/>
      <c r="O8" s="371">
        <f t="shared" si="8"/>
        <v>0</v>
      </c>
      <c r="P8" s="73">
        <f t="shared" si="9"/>
        <v>0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 t="str">
        <f t="shared" si="13"/>
        <v/>
      </c>
      <c r="V8" s="372" t="e">
        <f t="shared" si="14"/>
        <v>#VALUE!</v>
      </c>
      <c r="W8" s="114" t="str">
        <f t="shared" si="15"/>
        <v/>
      </c>
      <c r="X8" s="161">
        <f>+IF(D8="cp",(I8*'Récapitulatif '!$AJ$3),"")</f>
        <v>6.9</v>
      </c>
      <c r="Y8" s="163" t="str">
        <f t="shared" si="1"/>
        <v/>
      </c>
      <c r="Z8" s="154">
        <f t="shared" si="16"/>
        <v>1</v>
      </c>
      <c r="AA8" s="154">
        <f t="shared" si="2"/>
        <v>1</v>
      </c>
      <c r="AB8" s="479" t="str">
        <f>+IF(WEEKDAY(C8)=1,(SUM(W$4:X8)+(Août!AB$35)),"")</f>
        <v/>
      </c>
      <c r="AC8" s="475" t="str">
        <f t="shared" si="17"/>
        <v/>
      </c>
      <c r="AD8" s="118" t="str">
        <f t="shared" si="18"/>
        <v/>
      </c>
      <c r="AE8" s="261"/>
      <c r="AF8" s="325"/>
      <c r="AG8" s="119"/>
      <c r="AH8" s="328" t="str">
        <f t="shared" si="3"/>
        <v/>
      </c>
      <c r="AI8" s="13" t="str">
        <f t="shared" si="4"/>
        <v/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19"/>
        <v>43714</v>
      </c>
      <c r="D9" s="643" t="s">
        <v>18</v>
      </c>
      <c r="E9" s="637" t="str">
        <f t="shared" si="5"/>
        <v/>
      </c>
      <c r="F9" s="638" t="str">
        <f t="shared" si="6"/>
        <v/>
      </c>
      <c r="G9" s="626"/>
      <c r="H9" s="128" t="str">
        <f t="shared" si="0"/>
        <v/>
      </c>
      <c r="I9" s="127">
        <f t="shared" si="7"/>
        <v>1</v>
      </c>
      <c r="J9" s="299"/>
      <c r="K9" s="86"/>
      <c r="L9" s="11"/>
      <c r="M9" s="11"/>
      <c r="N9" s="369"/>
      <c r="O9" s="371">
        <f t="shared" si="8"/>
        <v>0</v>
      </c>
      <c r="P9" s="73">
        <f t="shared" si="9"/>
        <v>0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 t="str">
        <f t="shared" si="13"/>
        <v/>
      </c>
      <c r="V9" s="372" t="e">
        <f t="shared" si="14"/>
        <v>#VALUE!</v>
      </c>
      <c r="W9" s="114" t="str">
        <f t="shared" si="15"/>
        <v/>
      </c>
      <c r="X9" s="161">
        <f>+IF(D9="cp",(I9*'Récapitulatif '!$AJ$3),"")</f>
        <v>6.9</v>
      </c>
      <c r="Y9" s="163" t="str">
        <f t="shared" si="1"/>
        <v/>
      </c>
      <c r="Z9" s="154">
        <f t="shared" si="16"/>
        <v>1</v>
      </c>
      <c r="AA9" s="154">
        <f t="shared" si="2"/>
        <v>1</v>
      </c>
      <c r="AB9" s="479" t="str">
        <f>+IF(WEEKDAY(C9)=1,(SUM(W$4:X9)+(Août!AB$35)),"")</f>
        <v/>
      </c>
      <c r="AC9" s="475" t="str">
        <f t="shared" si="17"/>
        <v/>
      </c>
      <c r="AD9" s="118" t="str">
        <f t="shared" si="18"/>
        <v/>
      </c>
      <c r="AE9" s="261"/>
      <c r="AF9" s="325"/>
      <c r="AG9" s="119"/>
      <c r="AH9" s="328" t="str">
        <f t="shared" si="3"/>
        <v/>
      </c>
      <c r="AI9" s="13" t="str">
        <f t="shared" si="4"/>
        <v/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19"/>
        <v>43715</v>
      </c>
      <c r="D10" s="643"/>
      <c r="E10" s="637" t="str">
        <f t="shared" si="5"/>
        <v/>
      </c>
      <c r="F10" s="638" t="str">
        <f t="shared" si="6"/>
        <v/>
      </c>
      <c r="G10" s="626"/>
      <c r="H10" s="128" t="str">
        <f t="shared" si="0"/>
        <v/>
      </c>
      <c r="I10" s="127" t="str">
        <f t="shared" si="7"/>
        <v/>
      </c>
      <c r="J10" s="299"/>
      <c r="K10" s="86"/>
      <c r="L10" s="11"/>
      <c r="M10" s="11"/>
      <c r="N10" s="369"/>
      <c r="O10" s="371">
        <f t="shared" si="8"/>
        <v>0</v>
      </c>
      <c r="P10" s="73">
        <f t="shared" si="9"/>
        <v>0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 t="str">
        <f t="shared" si="13"/>
        <v/>
      </c>
      <c r="V10" s="372" t="e">
        <f t="shared" si="14"/>
        <v>#VALUE!</v>
      </c>
      <c r="W10" s="114" t="str">
        <f t="shared" si="15"/>
        <v/>
      </c>
      <c r="X10" s="161" t="str">
        <f>+IF(D10="cp",(I10*'Récapitulatif '!$AJ$3),"")</f>
        <v/>
      </c>
      <c r="Y10" s="163" t="str">
        <f t="shared" si="1"/>
        <v/>
      </c>
      <c r="Z10" s="154" t="str">
        <f t="shared" si="16"/>
        <v/>
      </c>
      <c r="AA10" s="154" t="str">
        <f t="shared" si="2"/>
        <v/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/>
      <c r="AF10" s="325"/>
      <c r="AG10" s="119"/>
      <c r="AH10" s="328" t="str">
        <f t="shared" si="3"/>
        <v/>
      </c>
      <c r="AI10" s="13" t="str">
        <f t="shared" si="4"/>
        <v/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19"/>
        <v>43716</v>
      </c>
      <c r="D11" s="642"/>
      <c r="E11" s="637" t="str">
        <f t="shared" si="5"/>
        <v/>
      </c>
      <c r="F11" s="638" t="str">
        <f t="shared" si="6"/>
        <v/>
      </c>
      <c r="G11" s="626"/>
      <c r="H11" s="128" t="str">
        <f t="shared" si="0"/>
        <v/>
      </c>
      <c r="I11" s="127" t="str">
        <f t="shared" si="7"/>
        <v/>
      </c>
      <c r="J11" s="299"/>
      <c r="K11" s="86"/>
      <c r="L11" s="11"/>
      <c r="M11" s="11"/>
      <c r="N11" s="369"/>
      <c r="O11" s="371">
        <f t="shared" si="8"/>
        <v>0</v>
      </c>
      <c r="P11" s="73">
        <f t="shared" si="9"/>
        <v>0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 t="str">
        <f t="shared" si="13"/>
        <v/>
      </c>
      <c r="V11" s="372" t="e">
        <f t="shared" si="14"/>
        <v>#VALUE!</v>
      </c>
      <c r="W11" s="114" t="str">
        <f t="shared" si="15"/>
        <v/>
      </c>
      <c r="X11" s="161" t="str">
        <f>+IF(D11="cp",(I11*'Récapitulatif '!$AJ$3),"")</f>
        <v/>
      </c>
      <c r="Y11" s="163" t="str">
        <f t="shared" si="1"/>
        <v/>
      </c>
      <c r="Z11" s="154" t="str">
        <f t="shared" si="16"/>
        <v/>
      </c>
      <c r="AA11" s="154" t="str">
        <f t="shared" si="2"/>
        <v/>
      </c>
      <c r="AB11" s="479">
        <f t="shared" ref="AB11:AB34" si="20">+IF(WEEKDAY(C11)=1,SUM(W5:X11),"")</f>
        <v>34.5</v>
      </c>
      <c r="AC11" s="475" t="str">
        <f t="shared" si="17"/>
        <v/>
      </c>
      <c r="AD11" s="118" t="str">
        <f t="shared" si="18"/>
        <v/>
      </c>
      <c r="AE11" s="261"/>
      <c r="AF11" s="325"/>
      <c r="AG11" s="119"/>
      <c r="AH11" s="328" t="str">
        <f t="shared" si="3"/>
        <v/>
      </c>
      <c r="AI11" s="13" t="str">
        <f t="shared" si="4"/>
        <v/>
      </c>
      <c r="AJ11" s="10"/>
      <c r="AL11" s="1" t="s">
        <v>60</v>
      </c>
    </row>
    <row r="12" spans="1:38">
      <c r="A12" s="482">
        <f>IF(WEEKDAY(C12,2)=1,INT((C12-SUM(MOD(DATE(YEAR(C12-MOD(C12-2,7)+3),1,2),{1E+99;7})*{1;-1})+5)/7),"")</f>
        <v>37</v>
      </c>
      <c r="B12" s="482" t="str">
        <f>IF(A12&lt;&gt;"",VLOOKUP(A12,juin!$L$49:$M$101,2,FALSE),"")</f>
        <v>Nuit</v>
      </c>
      <c r="C12" s="112">
        <f t="shared" si="19"/>
        <v>43717</v>
      </c>
      <c r="D12" s="643" t="s">
        <v>203</v>
      </c>
      <c r="E12" s="637" t="str">
        <f t="shared" si="5"/>
        <v/>
      </c>
      <c r="F12" s="638" t="str">
        <f t="shared" si="6"/>
        <v/>
      </c>
      <c r="G12" s="626" t="s">
        <v>184</v>
      </c>
      <c r="H12" s="128">
        <f t="shared" si="0"/>
        <v>1</v>
      </c>
      <c r="I12" s="127" t="str">
        <f t="shared" si="7"/>
        <v/>
      </c>
      <c r="J12" s="299"/>
      <c r="K12" s="86">
        <v>20.55</v>
      </c>
      <c r="L12" s="11">
        <v>5</v>
      </c>
      <c r="M12" s="11"/>
      <c r="N12" s="369"/>
      <c r="O12" s="371">
        <f t="shared" si="8"/>
        <v>20.916666666666668</v>
      </c>
      <c r="P12" s="73">
        <f t="shared" si="9"/>
        <v>5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>
        <f t="shared" si="13"/>
        <v>7.7499999999999991</v>
      </c>
      <c r="V12" s="372">
        <f t="shared" si="14"/>
        <v>8</v>
      </c>
      <c r="W12" s="114">
        <f t="shared" si="15"/>
        <v>7.7499999999999991</v>
      </c>
      <c r="X12" s="161" t="str">
        <f>+IF(D12="cp",(I12*'Récapitulatif '!$AJ$3),"")</f>
        <v/>
      </c>
      <c r="Y12" s="163">
        <f t="shared" si="1"/>
        <v>7.666666666666667</v>
      </c>
      <c r="Z12" s="154" t="str">
        <f t="shared" si="16"/>
        <v/>
      </c>
      <c r="AA12" s="154">
        <f t="shared" si="2"/>
        <v>1</v>
      </c>
      <c r="AB12" s="479" t="str">
        <f t="shared" si="20"/>
        <v/>
      </c>
      <c r="AC12" s="475" t="str">
        <f t="shared" si="17"/>
        <v/>
      </c>
      <c r="AD12" s="118" t="str">
        <f t="shared" si="18"/>
        <v/>
      </c>
      <c r="AE12" s="261"/>
      <c r="AF12" s="325"/>
      <c r="AG12" s="119"/>
      <c r="AH12" s="328" t="str">
        <f t="shared" si="3"/>
        <v/>
      </c>
      <c r="AI12" s="13">
        <f t="shared" si="4"/>
        <v>1</v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19"/>
        <v>43718</v>
      </c>
      <c r="D13" s="643" t="s">
        <v>203</v>
      </c>
      <c r="E13" s="637" t="str">
        <f t="shared" si="5"/>
        <v/>
      </c>
      <c r="F13" s="638" t="str">
        <f t="shared" si="6"/>
        <v/>
      </c>
      <c r="G13" s="626" t="s">
        <v>184</v>
      </c>
      <c r="H13" s="128">
        <f t="shared" si="0"/>
        <v>1</v>
      </c>
      <c r="I13" s="127" t="str">
        <f t="shared" si="7"/>
        <v/>
      </c>
      <c r="J13" s="299"/>
      <c r="K13" s="86">
        <v>20.55</v>
      </c>
      <c r="L13" s="11">
        <v>5</v>
      </c>
      <c r="M13" s="11"/>
      <c r="N13" s="369"/>
      <c r="O13" s="371">
        <f t="shared" si="8"/>
        <v>20.916666666666668</v>
      </c>
      <c r="P13" s="73">
        <f t="shared" si="9"/>
        <v>5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>
        <f t="shared" si="13"/>
        <v>7.7499999999999991</v>
      </c>
      <c r="V13" s="372">
        <f t="shared" si="14"/>
        <v>8</v>
      </c>
      <c r="W13" s="114">
        <f t="shared" si="15"/>
        <v>7.7499999999999991</v>
      </c>
      <c r="X13" s="161" t="str">
        <f>+IF(D13="cp",(I13*'Récapitulatif '!$AJ$3),"")</f>
        <v/>
      </c>
      <c r="Y13" s="163">
        <f t="shared" si="1"/>
        <v>7.666666666666667</v>
      </c>
      <c r="Z13" s="154" t="str">
        <f t="shared" si="16"/>
        <v/>
      </c>
      <c r="AA13" s="154">
        <f t="shared" si="2"/>
        <v>1</v>
      </c>
      <c r="AB13" s="479" t="str">
        <f t="shared" si="20"/>
        <v/>
      </c>
      <c r="AC13" s="475" t="str">
        <f t="shared" si="17"/>
        <v/>
      </c>
      <c r="AD13" s="118" t="str">
        <f t="shared" si="18"/>
        <v/>
      </c>
      <c r="AE13" s="261"/>
      <c r="AF13" s="325"/>
      <c r="AG13" s="119"/>
      <c r="AH13" s="328" t="str">
        <f t="shared" si="3"/>
        <v/>
      </c>
      <c r="AI13" s="13">
        <f t="shared" si="4"/>
        <v>1</v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19"/>
        <v>43719</v>
      </c>
      <c r="D14" s="643" t="s">
        <v>203</v>
      </c>
      <c r="E14" s="637" t="str">
        <f t="shared" si="5"/>
        <v/>
      </c>
      <c r="F14" s="638" t="str">
        <f t="shared" si="6"/>
        <v/>
      </c>
      <c r="G14" s="626" t="s">
        <v>184</v>
      </c>
      <c r="H14" s="128">
        <f t="shared" si="0"/>
        <v>1</v>
      </c>
      <c r="I14" s="127" t="str">
        <f t="shared" si="7"/>
        <v/>
      </c>
      <c r="J14" s="299"/>
      <c r="K14" s="86">
        <v>20.55</v>
      </c>
      <c r="L14" s="11">
        <v>5</v>
      </c>
      <c r="M14" s="11"/>
      <c r="N14" s="369"/>
      <c r="O14" s="371">
        <f t="shared" si="8"/>
        <v>20.916666666666668</v>
      </c>
      <c r="P14" s="73">
        <f t="shared" si="9"/>
        <v>5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>
        <f t="shared" si="13"/>
        <v>7.7499999999999991</v>
      </c>
      <c r="V14" s="372">
        <f t="shared" si="14"/>
        <v>8</v>
      </c>
      <c r="W14" s="114">
        <f t="shared" si="15"/>
        <v>7.7499999999999991</v>
      </c>
      <c r="X14" s="161" t="str">
        <f>+IF(D14="cp",(I14*'Récapitulatif '!$AJ$3),"")</f>
        <v/>
      </c>
      <c r="Y14" s="163">
        <f t="shared" si="1"/>
        <v>7.666666666666667</v>
      </c>
      <c r="Z14" s="154" t="str">
        <f t="shared" si="16"/>
        <v/>
      </c>
      <c r="AA14" s="154">
        <f t="shared" si="2"/>
        <v>1</v>
      </c>
      <c r="AB14" s="479" t="str">
        <f t="shared" si="20"/>
        <v/>
      </c>
      <c r="AC14" s="475" t="str">
        <f t="shared" si="17"/>
        <v/>
      </c>
      <c r="AD14" s="118" t="str">
        <f t="shared" si="18"/>
        <v/>
      </c>
      <c r="AE14" s="261"/>
      <c r="AF14" s="325"/>
      <c r="AG14" s="119"/>
      <c r="AH14" s="328" t="str">
        <f t="shared" si="3"/>
        <v/>
      </c>
      <c r="AI14" s="13">
        <f t="shared" si="4"/>
        <v>1</v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19"/>
        <v>43720</v>
      </c>
      <c r="D15" s="643" t="s">
        <v>203</v>
      </c>
      <c r="E15" s="637" t="str">
        <f t="shared" si="5"/>
        <v/>
      </c>
      <c r="F15" s="638" t="str">
        <f t="shared" si="6"/>
        <v/>
      </c>
      <c r="G15" s="626" t="s">
        <v>184</v>
      </c>
      <c r="H15" s="128">
        <f t="shared" si="0"/>
        <v>1</v>
      </c>
      <c r="I15" s="127" t="str">
        <f t="shared" si="7"/>
        <v/>
      </c>
      <c r="J15" s="299"/>
      <c r="K15" s="86">
        <v>20.55</v>
      </c>
      <c r="L15" s="11">
        <v>5</v>
      </c>
      <c r="M15" s="11"/>
      <c r="N15" s="369"/>
      <c r="O15" s="371">
        <f t="shared" si="8"/>
        <v>20.916666666666668</v>
      </c>
      <c r="P15" s="73">
        <f t="shared" si="9"/>
        <v>5</v>
      </c>
      <c r="Q15" s="73">
        <f t="shared" si="10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>
        <f t="shared" si="13"/>
        <v>7.7499999999999991</v>
      </c>
      <c r="V15" s="372">
        <f t="shared" si="14"/>
        <v>8</v>
      </c>
      <c r="W15" s="114">
        <f t="shared" si="15"/>
        <v>7.7499999999999991</v>
      </c>
      <c r="X15" s="161" t="str">
        <f>+IF(D15="cp",(I15*'Récapitulatif '!$AJ$3),"")</f>
        <v/>
      </c>
      <c r="Y15" s="163">
        <f t="shared" si="1"/>
        <v>7.666666666666667</v>
      </c>
      <c r="Z15" s="154" t="str">
        <f t="shared" si="16"/>
        <v/>
      </c>
      <c r="AA15" s="154">
        <f t="shared" si="2"/>
        <v>1</v>
      </c>
      <c r="AB15" s="479" t="str">
        <f t="shared" si="20"/>
        <v/>
      </c>
      <c r="AC15" s="475" t="str">
        <f t="shared" si="17"/>
        <v/>
      </c>
      <c r="AD15" s="118" t="str">
        <f t="shared" si="18"/>
        <v/>
      </c>
      <c r="AE15" s="261"/>
      <c r="AF15" s="325"/>
      <c r="AG15" s="119"/>
      <c r="AH15" s="328" t="str">
        <f t="shared" si="3"/>
        <v/>
      </c>
      <c r="AI15" s="13">
        <f t="shared" si="4"/>
        <v>1</v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19"/>
        <v>43721</v>
      </c>
      <c r="D16" s="650"/>
      <c r="E16" s="637" t="str">
        <f t="shared" si="5"/>
        <v/>
      </c>
      <c r="F16" s="638" t="str">
        <f t="shared" si="6"/>
        <v/>
      </c>
      <c r="G16" s="626"/>
      <c r="H16" s="128" t="str">
        <f t="shared" si="0"/>
        <v/>
      </c>
      <c r="I16" s="127" t="str">
        <f t="shared" si="7"/>
        <v/>
      </c>
      <c r="J16" s="299"/>
      <c r="K16" s="86"/>
      <c r="L16" s="11"/>
      <c r="M16" s="11"/>
      <c r="N16" s="369"/>
      <c r="O16" s="371">
        <f t="shared" si="8"/>
        <v>0</v>
      </c>
      <c r="P16" s="73">
        <f t="shared" si="9"/>
        <v>0</v>
      </c>
      <c r="Q16" s="73">
        <f t="shared" si="10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 t="str">
        <f t="shared" si="13"/>
        <v/>
      </c>
      <c r="V16" s="372" t="e">
        <f t="shared" si="14"/>
        <v>#VALUE!</v>
      </c>
      <c r="W16" s="114" t="str">
        <f t="shared" si="15"/>
        <v/>
      </c>
      <c r="X16" s="161" t="str">
        <f>+IF(D16="cp",(I16*'Récapitulatif '!$AJ$3),"")</f>
        <v/>
      </c>
      <c r="Y16" s="163" t="str">
        <f t="shared" si="1"/>
        <v/>
      </c>
      <c r="Z16" s="154" t="str">
        <f t="shared" si="16"/>
        <v/>
      </c>
      <c r="AA16" s="154" t="str">
        <f t="shared" si="2"/>
        <v/>
      </c>
      <c r="AB16" s="479" t="str">
        <f t="shared" si="20"/>
        <v/>
      </c>
      <c r="AC16" s="475" t="str">
        <f t="shared" si="17"/>
        <v/>
      </c>
      <c r="AD16" s="118" t="str">
        <f t="shared" si="18"/>
        <v/>
      </c>
      <c r="AE16" s="261"/>
      <c r="AF16" s="325"/>
      <c r="AG16" s="119"/>
      <c r="AH16" s="328" t="str">
        <f t="shared" si="3"/>
        <v/>
      </c>
      <c r="AI16" s="13" t="str">
        <f t="shared" si="4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19"/>
        <v>43722</v>
      </c>
      <c r="D17" s="650"/>
      <c r="E17" s="637" t="str">
        <f t="shared" si="5"/>
        <v/>
      </c>
      <c r="F17" s="638" t="str">
        <f t="shared" si="6"/>
        <v/>
      </c>
      <c r="G17" s="626"/>
      <c r="H17" s="128" t="str">
        <f t="shared" si="0"/>
        <v/>
      </c>
      <c r="I17" s="127" t="str">
        <f t="shared" si="7"/>
        <v/>
      </c>
      <c r="J17" s="299"/>
      <c r="K17" s="86"/>
      <c r="L17" s="11"/>
      <c r="M17" s="11"/>
      <c r="N17" s="369"/>
      <c r="O17" s="371">
        <f t="shared" si="8"/>
        <v>0</v>
      </c>
      <c r="P17" s="73">
        <f t="shared" si="9"/>
        <v>0</v>
      </c>
      <c r="Q17" s="73">
        <f t="shared" si="10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 t="str">
        <f t="shared" si="13"/>
        <v/>
      </c>
      <c r="V17" s="372" t="e">
        <f t="shared" si="14"/>
        <v>#VALUE!</v>
      </c>
      <c r="W17" s="114" t="str">
        <f t="shared" si="15"/>
        <v/>
      </c>
      <c r="X17" s="161" t="str">
        <f>+IF(D17="cp",(I17*'Récapitulatif '!$AJ$3),"")</f>
        <v/>
      </c>
      <c r="Y17" s="163" t="str">
        <f t="shared" si="1"/>
        <v/>
      </c>
      <c r="Z17" s="154" t="str">
        <f t="shared" si="16"/>
        <v/>
      </c>
      <c r="AA17" s="154" t="str">
        <f t="shared" si="2"/>
        <v/>
      </c>
      <c r="AB17" s="479" t="str">
        <f t="shared" si="20"/>
        <v/>
      </c>
      <c r="AC17" s="475" t="str">
        <f t="shared" si="17"/>
        <v/>
      </c>
      <c r="AD17" s="118" t="str">
        <f t="shared" si="18"/>
        <v/>
      </c>
      <c r="AE17" s="261"/>
      <c r="AF17" s="325"/>
      <c r="AG17" s="119"/>
      <c r="AH17" s="328" t="str">
        <f t="shared" si="3"/>
        <v/>
      </c>
      <c r="AI17" s="13" t="str">
        <f t="shared" si="4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19"/>
        <v>43723</v>
      </c>
      <c r="D18" s="647"/>
      <c r="E18" s="637" t="str">
        <f t="shared" si="5"/>
        <v/>
      </c>
      <c r="F18" s="638" t="str">
        <f t="shared" si="6"/>
        <v/>
      </c>
      <c r="G18" s="626"/>
      <c r="H18" s="128" t="str">
        <f t="shared" si="0"/>
        <v/>
      </c>
      <c r="I18" s="127" t="str">
        <f t="shared" si="7"/>
        <v/>
      </c>
      <c r="J18" s="299"/>
      <c r="K18" s="86"/>
      <c r="L18" s="11"/>
      <c r="M18" s="11"/>
      <c r="N18" s="369"/>
      <c r="O18" s="371">
        <f t="shared" si="8"/>
        <v>0</v>
      </c>
      <c r="P18" s="73">
        <f t="shared" si="9"/>
        <v>0</v>
      </c>
      <c r="Q18" s="73">
        <f t="shared" si="10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 t="str">
        <f t="shared" si="13"/>
        <v/>
      </c>
      <c r="V18" s="372" t="e">
        <f t="shared" si="14"/>
        <v>#VALUE!</v>
      </c>
      <c r="W18" s="114" t="str">
        <f t="shared" si="15"/>
        <v/>
      </c>
      <c r="X18" s="161" t="str">
        <f>+IF(D18="cp",(I18*'Récapitulatif '!$AJ$3),"")</f>
        <v/>
      </c>
      <c r="Y18" s="163" t="str">
        <f t="shared" si="1"/>
        <v/>
      </c>
      <c r="Z18" s="154" t="str">
        <f t="shared" si="16"/>
        <v/>
      </c>
      <c r="AA18" s="154" t="str">
        <f t="shared" si="2"/>
        <v/>
      </c>
      <c r="AB18" s="479">
        <f t="shared" si="20"/>
        <v>30.999999999999996</v>
      </c>
      <c r="AC18" s="475" t="str">
        <f t="shared" si="17"/>
        <v/>
      </c>
      <c r="AD18" s="118" t="str">
        <f t="shared" si="18"/>
        <v/>
      </c>
      <c r="AE18" s="261"/>
      <c r="AF18" s="325"/>
      <c r="AG18" s="119"/>
      <c r="AH18" s="328" t="str">
        <f t="shared" si="3"/>
        <v/>
      </c>
      <c r="AI18" s="13" t="str">
        <f t="shared" si="4"/>
        <v/>
      </c>
      <c r="AL18" s="1" t="s">
        <v>71</v>
      </c>
    </row>
    <row r="19" spans="1:38">
      <c r="A19" s="482">
        <f>IF(WEEKDAY(C19,2)=1,INT((C19-SUM(MOD(DATE(YEAR(C19-MOD(C19-2,7)+3),1,2),{1E+99;7})*{1;-1})+5)/7),"")</f>
        <v>38</v>
      </c>
      <c r="B19" s="482" t="str">
        <f>IF(A19&lt;&gt;"",VLOOKUP(A19,juin!$L$49:$M$101,2,FALSE),"")</f>
        <v>A - Midi</v>
      </c>
      <c r="C19" s="112">
        <f t="shared" si="19"/>
        <v>43724</v>
      </c>
      <c r="D19" s="646" t="s">
        <v>202</v>
      </c>
      <c r="E19" s="637" t="str">
        <f t="shared" si="5"/>
        <v/>
      </c>
      <c r="F19" s="638" t="str">
        <f t="shared" si="6"/>
        <v/>
      </c>
      <c r="G19" s="626" t="s">
        <v>184</v>
      </c>
      <c r="H19" s="128">
        <f t="shared" si="0"/>
        <v>1</v>
      </c>
      <c r="I19" s="127" t="str">
        <f t="shared" si="7"/>
        <v/>
      </c>
      <c r="J19" s="299"/>
      <c r="K19" s="86">
        <v>12.55</v>
      </c>
      <c r="L19" s="11">
        <v>21</v>
      </c>
      <c r="M19" s="11"/>
      <c r="N19" s="369"/>
      <c r="O19" s="371">
        <f t="shared" si="8"/>
        <v>12.916666666666668</v>
      </c>
      <c r="P19" s="73">
        <f t="shared" si="9"/>
        <v>21</v>
      </c>
      <c r="Q19" s="73">
        <f t="shared" si="10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>
        <f t="shared" si="13"/>
        <v>7.7499999999999991</v>
      </c>
      <c r="V19" s="372">
        <f t="shared" si="14"/>
        <v>0</v>
      </c>
      <c r="W19" s="114">
        <f t="shared" si="15"/>
        <v>7.7499999999999991</v>
      </c>
      <c r="X19" s="161" t="str">
        <f>+IF(D19="cp",(I19*'Récapitulatif '!$AJ$3),"")</f>
        <v/>
      </c>
      <c r="Y19" s="163">
        <f t="shared" si="1"/>
        <v>0</v>
      </c>
      <c r="Z19" s="154" t="str">
        <f t="shared" si="16"/>
        <v/>
      </c>
      <c r="AA19" s="154" t="str">
        <f t="shared" si="2"/>
        <v/>
      </c>
      <c r="AB19" s="479" t="str">
        <f t="shared" si="20"/>
        <v/>
      </c>
      <c r="AC19" s="475" t="str">
        <f t="shared" si="17"/>
        <v/>
      </c>
      <c r="AD19" s="118" t="str">
        <f t="shared" si="18"/>
        <v/>
      </c>
      <c r="AE19" s="261"/>
      <c r="AF19" s="325"/>
      <c r="AG19" s="119"/>
      <c r="AH19" s="328">
        <f t="shared" si="3"/>
        <v>1</v>
      </c>
      <c r="AI19" s="13" t="str">
        <f t="shared" si="4"/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19"/>
        <v>43725</v>
      </c>
      <c r="D20" s="646" t="s">
        <v>202</v>
      </c>
      <c r="E20" s="637" t="str">
        <f t="shared" si="5"/>
        <v/>
      </c>
      <c r="F20" s="638" t="str">
        <f t="shared" si="6"/>
        <v/>
      </c>
      <c r="G20" s="626" t="s">
        <v>184</v>
      </c>
      <c r="H20" s="128">
        <f t="shared" si="0"/>
        <v>1</v>
      </c>
      <c r="I20" s="127" t="str">
        <f t="shared" si="7"/>
        <v/>
      </c>
      <c r="J20" s="299"/>
      <c r="K20" s="86">
        <v>12.55</v>
      </c>
      <c r="L20" s="11">
        <v>21</v>
      </c>
      <c r="M20" s="11"/>
      <c r="N20" s="369"/>
      <c r="O20" s="371">
        <f t="shared" si="8"/>
        <v>12.916666666666668</v>
      </c>
      <c r="P20" s="73">
        <f t="shared" si="9"/>
        <v>21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>
        <f t="shared" si="13"/>
        <v>7.7499999999999991</v>
      </c>
      <c r="V20" s="372">
        <f t="shared" si="14"/>
        <v>0</v>
      </c>
      <c r="W20" s="114">
        <f t="shared" si="15"/>
        <v>7.7499999999999991</v>
      </c>
      <c r="X20" s="161" t="str">
        <f>+IF(D20="cp",(I20*'Récapitulatif '!$AJ$3),"")</f>
        <v/>
      </c>
      <c r="Y20" s="163">
        <f t="shared" si="1"/>
        <v>0</v>
      </c>
      <c r="Z20" s="154" t="str">
        <f t="shared" si="16"/>
        <v/>
      </c>
      <c r="AA20" s="154" t="str">
        <f t="shared" si="2"/>
        <v/>
      </c>
      <c r="AB20" s="479" t="str">
        <f t="shared" si="20"/>
        <v/>
      </c>
      <c r="AC20" s="475" t="str">
        <f t="shared" si="17"/>
        <v/>
      </c>
      <c r="AD20" s="118" t="str">
        <f t="shared" si="18"/>
        <v/>
      </c>
      <c r="AE20" s="261"/>
      <c r="AF20" s="325"/>
      <c r="AG20" s="119"/>
      <c r="AH20" s="328">
        <f t="shared" si="3"/>
        <v>1</v>
      </c>
      <c r="AI20" s="13" t="str">
        <f t="shared" si="4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19"/>
        <v>43726</v>
      </c>
      <c r="D21" s="646" t="s">
        <v>202</v>
      </c>
      <c r="E21" s="637" t="str">
        <f t="shared" si="5"/>
        <v/>
      </c>
      <c r="F21" s="638" t="str">
        <f t="shared" si="6"/>
        <v/>
      </c>
      <c r="G21" s="626" t="s">
        <v>184</v>
      </c>
      <c r="H21" s="128">
        <f t="shared" si="0"/>
        <v>1</v>
      </c>
      <c r="I21" s="127" t="str">
        <f t="shared" si="7"/>
        <v/>
      </c>
      <c r="J21" s="299"/>
      <c r="K21" s="86">
        <v>12.55</v>
      </c>
      <c r="L21" s="11">
        <v>21</v>
      </c>
      <c r="M21" s="11"/>
      <c r="N21" s="369"/>
      <c r="O21" s="371">
        <f t="shared" si="8"/>
        <v>12.916666666666668</v>
      </c>
      <c r="P21" s="73">
        <f t="shared" si="9"/>
        <v>21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>
        <f t="shared" si="13"/>
        <v>7.7499999999999991</v>
      </c>
      <c r="V21" s="372">
        <f t="shared" si="14"/>
        <v>0</v>
      </c>
      <c r="W21" s="114">
        <f t="shared" si="15"/>
        <v>7.7499999999999991</v>
      </c>
      <c r="X21" s="161" t="str">
        <f>+IF(D21="cp",(I21*'Récapitulatif '!$AJ$3),"")</f>
        <v/>
      </c>
      <c r="Y21" s="163">
        <f t="shared" si="1"/>
        <v>0</v>
      </c>
      <c r="Z21" s="154" t="str">
        <f t="shared" si="16"/>
        <v/>
      </c>
      <c r="AA21" s="154" t="str">
        <f t="shared" si="2"/>
        <v/>
      </c>
      <c r="AB21" s="479" t="str">
        <f t="shared" si="20"/>
        <v/>
      </c>
      <c r="AC21" s="475" t="str">
        <f t="shared" si="17"/>
        <v/>
      </c>
      <c r="AD21" s="118" t="str">
        <f t="shared" si="18"/>
        <v/>
      </c>
      <c r="AE21" s="261"/>
      <c r="AF21" s="325"/>
      <c r="AG21" s="119"/>
      <c r="AH21" s="328">
        <f t="shared" si="3"/>
        <v>1</v>
      </c>
      <c r="AI21" s="13" t="str">
        <f t="shared" si="4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19"/>
        <v>43727</v>
      </c>
      <c r="D22" s="646" t="s">
        <v>202</v>
      </c>
      <c r="E22" s="637" t="str">
        <f t="shared" si="5"/>
        <v/>
      </c>
      <c r="F22" s="638" t="str">
        <f t="shared" si="6"/>
        <v/>
      </c>
      <c r="G22" s="626" t="s">
        <v>184</v>
      </c>
      <c r="H22" s="128">
        <f t="shared" si="0"/>
        <v>1</v>
      </c>
      <c r="I22" s="127" t="str">
        <f t="shared" si="7"/>
        <v/>
      </c>
      <c r="J22" s="299"/>
      <c r="K22" s="86">
        <v>12.55</v>
      </c>
      <c r="L22" s="11">
        <v>21</v>
      </c>
      <c r="M22" s="11"/>
      <c r="N22" s="369"/>
      <c r="O22" s="371">
        <f t="shared" si="8"/>
        <v>12.916666666666668</v>
      </c>
      <c r="P22" s="73">
        <f t="shared" si="9"/>
        <v>21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>
        <f t="shared" si="13"/>
        <v>7.7499999999999991</v>
      </c>
      <c r="V22" s="372">
        <f t="shared" si="14"/>
        <v>0</v>
      </c>
      <c r="W22" s="114">
        <f t="shared" si="15"/>
        <v>7.7499999999999991</v>
      </c>
      <c r="X22" s="161" t="str">
        <f>+IF(D22="cp",(I22*'Récapitulatif '!$AJ$3),"")</f>
        <v/>
      </c>
      <c r="Y22" s="163">
        <f t="shared" si="1"/>
        <v>0</v>
      </c>
      <c r="Z22" s="154" t="str">
        <f t="shared" si="16"/>
        <v/>
      </c>
      <c r="AA22" s="154" t="str">
        <f t="shared" si="2"/>
        <v/>
      </c>
      <c r="AB22" s="479" t="str">
        <f t="shared" si="20"/>
        <v/>
      </c>
      <c r="AC22" s="475" t="str">
        <f t="shared" si="17"/>
        <v/>
      </c>
      <c r="AD22" s="118" t="str">
        <f t="shared" si="18"/>
        <v/>
      </c>
      <c r="AE22" s="261"/>
      <c r="AF22" s="325"/>
      <c r="AG22" s="119"/>
      <c r="AH22" s="328">
        <f t="shared" si="3"/>
        <v>1</v>
      </c>
      <c r="AI22" s="13" t="str">
        <f t="shared" si="4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19"/>
        <v>43728</v>
      </c>
      <c r="D23" s="646"/>
      <c r="E23" s="637" t="str">
        <f t="shared" si="5"/>
        <v/>
      </c>
      <c r="F23" s="638" t="str">
        <f t="shared" si="6"/>
        <v/>
      </c>
      <c r="G23" s="626"/>
      <c r="H23" s="128" t="str">
        <f t="shared" si="0"/>
        <v/>
      </c>
      <c r="I23" s="127" t="str">
        <f t="shared" si="7"/>
        <v/>
      </c>
      <c r="J23" s="299"/>
      <c r="K23" s="86"/>
      <c r="L23" s="11"/>
      <c r="M23" s="11"/>
      <c r="N23" s="369"/>
      <c r="O23" s="371">
        <f t="shared" si="8"/>
        <v>0</v>
      </c>
      <c r="P23" s="73">
        <f t="shared" si="9"/>
        <v>0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 t="str">
        <f t="shared" si="13"/>
        <v/>
      </c>
      <c r="V23" s="372" t="e">
        <f t="shared" si="14"/>
        <v>#VALUE!</v>
      </c>
      <c r="W23" s="114" t="str">
        <f t="shared" si="15"/>
        <v/>
      </c>
      <c r="X23" s="161" t="str">
        <f>+IF(D23="cp",(I23*'Récapitulatif '!$AJ$3),"")</f>
        <v/>
      </c>
      <c r="Y23" s="163" t="str">
        <f t="shared" si="1"/>
        <v/>
      </c>
      <c r="Z23" s="154" t="str">
        <f t="shared" si="16"/>
        <v/>
      </c>
      <c r="AA23" s="154" t="str">
        <f t="shared" si="2"/>
        <v/>
      </c>
      <c r="AB23" s="479" t="str">
        <f t="shared" si="20"/>
        <v/>
      </c>
      <c r="AC23" s="475" t="str">
        <f t="shared" si="17"/>
        <v/>
      </c>
      <c r="AD23" s="118" t="str">
        <f t="shared" si="18"/>
        <v/>
      </c>
      <c r="AE23" s="261"/>
      <c r="AF23" s="325"/>
      <c r="AG23" s="119"/>
      <c r="AH23" s="328" t="str">
        <f t="shared" si="3"/>
        <v/>
      </c>
      <c r="AI23" s="13" t="str">
        <f t="shared" si="4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19"/>
        <v>43729</v>
      </c>
      <c r="D24" s="647"/>
      <c r="E24" s="637" t="str">
        <f t="shared" si="5"/>
        <v/>
      </c>
      <c r="F24" s="638" t="str">
        <f t="shared" si="6"/>
        <v/>
      </c>
      <c r="G24" s="626"/>
      <c r="H24" s="128" t="str">
        <f t="shared" si="0"/>
        <v/>
      </c>
      <c r="I24" s="127" t="str">
        <f t="shared" si="7"/>
        <v/>
      </c>
      <c r="J24" s="299"/>
      <c r="K24" s="86"/>
      <c r="L24" s="11"/>
      <c r="M24" s="11"/>
      <c r="N24" s="369"/>
      <c r="O24" s="371">
        <f t="shared" si="8"/>
        <v>0</v>
      </c>
      <c r="P24" s="73">
        <f t="shared" si="9"/>
        <v>0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 t="str">
        <f t="shared" si="13"/>
        <v/>
      </c>
      <c r="V24" s="372" t="e">
        <f t="shared" si="14"/>
        <v>#VALUE!</v>
      </c>
      <c r="W24" s="114" t="str">
        <f t="shared" si="15"/>
        <v/>
      </c>
      <c r="X24" s="161" t="str">
        <f>+IF(D24="cp",(I24*'Récapitulatif '!$AJ$3),"")</f>
        <v/>
      </c>
      <c r="Y24" s="163" t="str">
        <f t="shared" si="1"/>
        <v/>
      </c>
      <c r="Z24" s="154" t="str">
        <f t="shared" si="16"/>
        <v/>
      </c>
      <c r="AA24" s="154" t="str">
        <f t="shared" si="2"/>
        <v/>
      </c>
      <c r="AB24" s="479" t="str">
        <f t="shared" si="20"/>
        <v/>
      </c>
      <c r="AC24" s="475" t="str">
        <f t="shared" si="17"/>
        <v/>
      </c>
      <c r="AD24" s="118" t="str">
        <f t="shared" si="18"/>
        <v/>
      </c>
      <c r="AE24" s="261"/>
      <c r="AF24" s="325"/>
      <c r="AG24" s="119"/>
      <c r="AH24" s="328" t="str">
        <f t="shared" si="3"/>
        <v/>
      </c>
      <c r="AI24" s="13" t="str">
        <f t="shared" si="4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19"/>
        <v>43730</v>
      </c>
      <c r="D25" s="647"/>
      <c r="E25" s="637" t="str">
        <f t="shared" si="5"/>
        <v/>
      </c>
      <c r="F25" s="638" t="str">
        <f t="shared" si="6"/>
        <v/>
      </c>
      <c r="G25" s="626"/>
      <c r="H25" s="128" t="str">
        <f t="shared" si="0"/>
        <v/>
      </c>
      <c r="I25" s="127" t="str">
        <f t="shared" si="7"/>
        <v/>
      </c>
      <c r="J25" s="299"/>
      <c r="K25" s="86"/>
      <c r="L25" s="11"/>
      <c r="M25" s="11"/>
      <c r="N25" s="369"/>
      <c r="O25" s="371">
        <f t="shared" si="8"/>
        <v>0</v>
      </c>
      <c r="P25" s="73">
        <f t="shared" si="9"/>
        <v>0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 t="str">
        <f t="shared" si="13"/>
        <v/>
      </c>
      <c r="V25" s="372" t="e">
        <f t="shared" si="14"/>
        <v>#VALUE!</v>
      </c>
      <c r="W25" s="114" t="str">
        <f t="shared" si="15"/>
        <v/>
      </c>
      <c r="X25" s="161" t="str">
        <f>+IF(D25="cp",(I25*'Récapitulatif '!$AJ$3),"")</f>
        <v/>
      </c>
      <c r="Y25" s="163" t="str">
        <f t="shared" si="1"/>
        <v/>
      </c>
      <c r="Z25" s="154" t="str">
        <f t="shared" si="16"/>
        <v/>
      </c>
      <c r="AA25" s="154" t="str">
        <f t="shared" si="2"/>
        <v/>
      </c>
      <c r="AB25" s="479">
        <f t="shared" si="20"/>
        <v>30.999999999999996</v>
      </c>
      <c r="AC25" s="475" t="str">
        <f t="shared" si="17"/>
        <v/>
      </c>
      <c r="AD25" s="118" t="str">
        <f t="shared" si="18"/>
        <v/>
      </c>
      <c r="AE25" s="261"/>
      <c r="AF25" s="325"/>
      <c r="AG25" s="119"/>
      <c r="AH25" s="328" t="str">
        <f t="shared" si="3"/>
        <v/>
      </c>
      <c r="AI25" s="13" t="str">
        <f t="shared" si="4"/>
        <v/>
      </c>
    </row>
    <row r="26" spans="1:38">
      <c r="A26" s="482">
        <f>IF(WEEKDAY(C26,2)=1,INT((C26-SUM(MOD(DATE(YEAR(C26-MOD(C26-2,7)+3),1,2),{1E+99;7})*{1;-1})+5)/7),"")</f>
        <v>39</v>
      </c>
      <c r="B26" s="482" t="str">
        <f>IF(A26&lt;&gt;"",VLOOKUP(A26,juin!$L$49:$M$101,2,FALSE),"")</f>
        <v>Matin</v>
      </c>
      <c r="C26" s="112">
        <f t="shared" si="19"/>
        <v>43731</v>
      </c>
      <c r="D26" s="646" t="s">
        <v>205</v>
      </c>
      <c r="E26" s="637" t="str">
        <f t="shared" si="5"/>
        <v/>
      </c>
      <c r="F26" s="638" t="str">
        <f t="shared" si="6"/>
        <v/>
      </c>
      <c r="G26" s="626" t="s">
        <v>184</v>
      </c>
      <c r="H26" s="128">
        <f t="shared" si="0"/>
        <v>1</v>
      </c>
      <c r="I26" s="127" t="str">
        <f t="shared" si="7"/>
        <v/>
      </c>
      <c r="J26" s="299"/>
      <c r="K26" s="86">
        <v>4.55</v>
      </c>
      <c r="L26" s="11">
        <v>13</v>
      </c>
      <c r="M26" s="11"/>
      <c r="N26" s="369"/>
      <c r="O26" s="371">
        <f t="shared" si="8"/>
        <v>4.9166666666666661</v>
      </c>
      <c r="P26" s="73">
        <f t="shared" si="9"/>
        <v>13</v>
      </c>
      <c r="Q26" s="73">
        <f t="shared" si="10"/>
        <v>0</v>
      </c>
      <c r="R26" s="73">
        <f t="shared" si="11"/>
        <v>0</v>
      </c>
      <c r="S26" s="73">
        <v>0.2</v>
      </c>
      <c r="T26" s="73">
        <f t="shared" si="12"/>
        <v>0.33333333333333337</v>
      </c>
      <c r="U26" s="12">
        <f t="shared" si="13"/>
        <v>7.7500000000000009</v>
      </c>
      <c r="V26" s="372">
        <f t="shared" si="14"/>
        <v>1.0833333333333339</v>
      </c>
      <c r="W26" s="114">
        <f t="shared" si="15"/>
        <v>7.7500000000000009</v>
      </c>
      <c r="X26" s="161" t="str">
        <f>+IF(D26="cp",(I26*'Récapitulatif '!$AJ$3),"")</f>
        <v/>
      </c>
      <c r="Y26" s="163">
        <f t="shared" si="1"/>
        <v>1.0833333333333339</v>
      </c>
      <c r="Z26" s="154" t="str">
        <f t="shared" si="16"/>
        <v/>
      </c>
      <c r="AA26" s="154" t="str">
        <f t="shared" si="2"/>
        <v/>
      </c>
      <c r="AB26" s="479" t="str">
        <f t="shared" si="20"/>
        <v/>
      </c>
      <c r="AC26" s="475" t="str">
        <f t="shared" si="17"/>
        <v/>
      </c>
      <c r="AD26" s="118" t="str">
        <f t="shared" si="18"/>
        <v/>
      </c>
      <c r="AE26" s="261"/>
      <c r="AF26" s="325"/>
      <c r="AG26" s="119"/>
      <c r="AH26" s="328">
        <f t="shared" si="3"/>
        <v>1</v>
      </c>
      <c r="AI26" s="13" t="str">
        <f t="shared" si="4"/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19"/>
        <v>43732</v>
      </c>
      <c r="D27" s="643" t="s">
        <v>205</v>
      </c>
      <c r="E27" s="637" t="str">
        <f t="shared" si="5"/>
        <v/>
      </c>
      <c r="F27" s="638" t="str">
        <f t="shared" si="6"/>
        <v/>
      </c>
      <c r="G27" s="626" t="s">
        <v>184</v>
      </c>
      <c r="H27" s="128">
        <f t="shared" si="0"/>
        <v>1</v>
      </c>
      <c r="I27" s="127" t="str">
        <f t="shared" si="7"/>
        <v/>
      </c>
      <c r="J27" s="299"/>
      <c r="K27" s="86">
        <v>4.55</v>
      </c>
      <c r="L27" s="11">
        <v>13</v>
      </c>
      <c r="M27" s="11"/>
      <c r="N27" s="369"/>
      <c r="O27" s="371">
        <f t="shared" si="8"/>
        <v>4.9166666666666661</v>
      </c>
      <c r="P27" s="73">
        <f t="shared" si="9"/>
        <v>13</v>
      </c>
      <c r="Q27" s="73">
        <f t="shared" si="10"/>
        <v>0</v>
      </c>
      <c r="R27" s="73">
        <f t="shared" si="11"/>
        <v>0</v>
      </c>
      <c r="S27" s="73">
        <v>0.2</v>
      </c>
      <c r="T27" s="73">
        <f t="shared" si="12"/>
        <v>0.33333333333333337</v>
      </c>
      <c r="U27" s="12">
        <f t="shared" si="13"/>
        <v>7.7500000000000009</v>
      </c>
      <c r="V27" s="372">
        <f t="shared" si="14"/>
        <v>1.0833333333333339</v>
      </c>
      <c r="W27" s="114">
        <f t="shared" si="15"/>
        <v>7.7500000000000009</v>
      </c>
      <c r="X27" s="161" t="str">
        <f>+IF(D27="cp",(I27*'Récapitulatif '!$AJ$3),"")</f>
        <v/>
      </c>
      <c r="Y27" s="163">
        <f t="shared" si="1"/>
        <v>1.0833333333333339</v>
      </c>
      <c r="Z27" s="154" t="str">
        <f t="shared" si="16"/>
        <v/>
      </c>
      <c r="AA27" s="154" t="str">
        <f t="shared" si="2"/>
        <v/>
      </c>
      <c r="AB27" s="479" t="str">
        <f t="shared" si="20"/>
        <v/>
      </c>
      <c r="AC27" s="475" t="str">
        <f t="shared" si="17"/>
        <v/>
      </c>
      <c r="AD27" s="118" t="str">
        <f t="shared" si="18"/>
        <v/>
      </c>
      <c r="AE27" s="261"/>
      <c r="AF27" s="325"/>
      <c r="AG27" s="119"/>
      <c r="AH27" s="328">
        <f t="shared" si="3"/>
        <v>1</v>
      </c>
      <c r="AI27" s="13" t="str">
        <f t="shared" si="4"/>
        <v/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19"/>
        <v>43733</v>
      </c>
      <c r="D28" s="643" t="s">
        <v>205</v>
      </c>
      <c r="E28" s="637" t="str">
        <f t="shared" si="5"/>
        <v/>
      </c>
      <c r="F28" s="638" t="str">
        <f t="shared" si="6"/>
        <v/>
      </c>
      <c r="G28" s="626" t="s">
        <v>184</v>
      </c>
      <c r="H28" s="128">
        <f t="shared" si="0"/>
        <v>1</v>
      </c>
      <c r="I28" s="127" t="str">
        <f t="shared" si="7"/>
        <v/>
      </c>
      <c r="J28" s="299"/>
      <c r="K28" s="86">
        <v>4.55</v>
      </c>
      <c r="L28" s="11">
        <v>13</v>
      </c>
      <c r="M28" s="11"/>
      <c r="N28" s="369"/>
      <c r="O28" s="371">
        <f t="shared" si="8"/>
        <v>4.9166666666666661</v>
      </c>
      <c r="P28" s="73">
        <f t="shared" si="9"/>
        <v>13</v>
      </c>
      <c r="Q28" s="73">
        <f t="shared" si="10"/>
        <v>0</v>
      </c>
      <c r="R28" s="73">
        <f t="shared" si="11"/>
        <v>0</v>
      </c>
      <c r="S28" s="73">
        <v>0.2</v>
      </c>
      <c r="T28" s="73">
        <f t="shared" si="12"/>
        <v>0.33333333333333337</v>
      </c>
      <c r="U28" s="12">
        <f t="shared" si="13"/>
        <v>7.7500000000000009</v>
      </c>
      <c r="V28" s="372">
        <f t="shared" si="14"/>
        <v>1.0833333333333339</v>
      </c>
      <c r="W28" s="114">
        <f t="shared" si="15"/>
        <v>7.7500000000000009</v>
      </c>
      <c r="X28" s="161" t="str">
        <f>+IF(D28="cp",(I28*'Récapitulatif '!$AJ$3),"")</f>
        <v/>
      </c>
      <c r="Y28" s="163">
        <f t="shared" si="1"/>
        <v>1.0833333333333339</v>
      </c>
      <c r="Z28" s="154" t="str">
        <f t="shared" si="16"/>
        <v/>
      </c>
      <c r="AA28" s="154" t="str">
        <f t="shared" si="2"/>
        <v/>
      </c>
      <c r="AB28" s="479" t="str">
        <f t="shared" si="20"/>
        <v/>
      </c>
      <c r="AC28" s="475" t="str">
        <f t="shared" si="17"/>
        <v/>
      </c>
      <c r="AD28" s="118" t="str">
        <f t="shared" si="18"/>
        <v/>
      </c>
      <c r="AE28" s="261"/>
      <c r="AF28" s="325"/>
      <c r="AG28" s="119"/>
      <c r="AH28" s="328">
        <f t="shared" si="3"/>
        <v>1</v>
      </c>
      <c r="AI28" s="13" t="str">
        <f t="shared" si="4"/>
        <v/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19"/>
        <v>43734</v>
      </c>
      <c r="D29" s="643" t="s">
        <v>205</v>
      </c>
      <c r="E29" s="637" t="str">
        <f t="shared" si="5"/>
        <v/>
      </c>
      <c r="F29" s="638" t="str">
        <f t="shared" si="6"/>
        <v/>
      </c>
      <c r="G29" s="626" t="s">
        <v>184</v>
      </c>
      <c r="H29" s="128">
        <f t="shared" si="0"/>
        <v>1</v>
      </c>
      <c r="I29" s="127" t="str">
        <f t="shared" si="7"/>
        <v/>
      </c>
      <c r="J29" s="299"/>
      <c r="K29" s="86">
        <v>4.55</v>
      </c>
      <c r="L29" s="11">
        <v>13</v>
      </c>
      <c r="M29" s="11"/>
      <c r="N29" s="369"/>
      <c r="O29" s="371">
        <f t="shared" si="8"/>
        <v>4.9166666666666661</v>
      </c>
      <c r="P29" s="73">
        <f t="shared" si="9"/>
        <v>13</v>
      </c>
      <c r="Q29" s="73">
        <f t="shared" si="10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>
        <f t="shared" si="13"/>
        <v>7.7500000000000009</v>
      </c>
      <c r="V29" s="372">
        <f t="shared" si="14"/>
        <v>1.0833333333333339</v>
      </c>
      <c r="W29" s="114">
        <f t="shared" si="15"/>
        <v>7.7500000000000009</v>
      </c>
      <c r="X29" s="161" t="str">
        <f>+IF(D29="cp",(I29*'Récapitulatif '!$AJ$3),"")</f>
        <v/>
      </c>
      <c r="Y29" s="163">
        <f t="shared" si="1"/>
        <v>1.0833333333333339</v>
      </c>
      <c r="Z29" s="154" t="str">
        <f t="shared" si="16"/>
        <v/>
      </c>
      <c r="AA29" s="154" t="str">
        <f t="shared" si="2"/>
        <v/>
      </c>
      <c r="AB29" s="479" t="str">
        <f t="shared" si="20"/>
        <v/>
      </c>
      <c r="AC29" s="475" t="str">
        <f t="shared" si="17"/>
        <v/>
      </c>
      <c r="AD29" s="118" t="str">
        <f t="shared" si="18"/>
        <v/>
      </c>
      <c r="AE29" s="261"/>
      <c r="AF29" s="325"/>
      <c r="AG29" s="119"/>
      <c r="AH29" s="328">
        <f t="shared" si="3"/>
        <v>1</v>
      </c>
      <c r="AI29" s="13" t="str">
        <f t="shared" si="4"/>
        <v/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19"/>
        <v>43735</v>
      </c>
      <c r="D30" s="650" t="s">
        <v>205</v>
      </c>
      <c r="E30" s="637" t="str">
        <f t="shared" si="5"/>
        <v/>
      </c>
      <c r="F30" s="638" t="str">
        <f t="shared" si="6"/>
        <v/>
      </c>
      <c r="G30" s="626" t="s">
        <v>184</v>
      </c>
      <c r="H30" s="128">
        <f t="shared" si="0"/>
        <v>1</v>
      </c>
      <c r="I30" s="127" t="str">
        <f t="shared" si="7"/>
        <v/>
      </c>
      <c r="J30" s="299"/>
      <c r="K30" s="86">
        <v>4.55</v>
      </c>
      <c r="L30" s="11">
        <v>13</v>
      </c>
      <c r="M30" s="11"/>
      <c r="N30" s="369"/>
      <c r="O30" s="371">
        <f t="shared" si="8"/>
        <v>4.9166666666666661</v>
      </c>
      <c r="P30" s="73">
        <f t="shared" si="9"/>
        <v>13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>
        <f t="shared" si="13"/>
        <v>7.7500000000000009</v>
      </c>
      <c r="V30" s="372">
        <f t="shared" si="14"/>
        <v>1.0833333333333339</v>
      </c>
      <c r="W30" s="114">
        <f t="shared" si="15"/>
        <v>7.7500000000000009</v>
      </c>
      <c r="X30" s="161" t="str">
        <f>+IF(D30="cp",(I30*'Récapitulatif '!$AJ$3),"")</f>
        <v/>
      </c>
      <c r="Y30" s="163">
        <f t="shared" si="1"/>
        <v>1.0833333333333339</v>
      </c>
      <c r="Z30" s="154" t="str">
        <f t="shared" si="16"/>
        <v/>
      </c>
      <c r="AA30" s="154" t="str">
        <f t="shared" si="2"/>
        <v/>
      </c>
      <c r="AB30" s="479" t="str">
        <f t="shared" si="20"/>
        <v/>
      </c>
      <c r="AC30" s="475" t="str">
        <f t="shared" si="17"/>
        <v/>
      </c>
      <c r="AD30" s="118" t="str">
        <f t="shared" si="18"/>
        <v/>
      </c>
      <c r="AE30" s="261"/>
      <c r="AF30" s="325"/>
      <c r="AG30" s="119"/>
      <c r="AH30" s="328">
        <f t="shared" si="3"/>
        <v>1</v>
      </c>
      <c r="AI30" s="13" t="str">
        <f t="shared" si="4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19"/>
        <v>43736</v>
      </c>
      <c r="D31" s="643"/>
      <c r="E31" s="637" t="str">
        <f t="shared" si="5"/>
        <v/>
      </c>
      <c r="F31" s="638" t="str">
        <f t="shared" si="6"/>
        <v/>
      </c>
      <c r="G31" s="626"/>
      <c r="H31" s="128" t="str">
        <f t="shared" si="0"/>
        <v/>
      </c>
      <c r="I31" s="127" t="str">
        <f t="shared" si="7"/>
        <v/>
      </c>
      <c r="J31" s="299"/>
      <c r="K31" s="86"/>
      <c r="L31" s="11"/>
      <c r="M31" s="11"/>
      <c r="N31" s="369"/>
      <c r="O31" s="371">
        <f t="shared" ref="O31:P33" si="21">+((K31-INT(K31))/60*100)+INT(K31)</f>
        <v>0</v>
      </c>
      <c r="P31" s="73">
        <f t="shared" si="21"/>
        <v>0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 t="str">
        <f>+IF(D31="","",IF(D31="CP","",IF(D31="J2",((N31-M31)+(L31-K31)),IF(O31&lt;P31,P31-O31,P31+24-O31)-T31)))</f>
        <v/>
      </c>
      <c r="V31" s="372" t="e">
        <f>IF(O31&lt;P31,IF(K31="","",IF(O31&gt;$D$75,24-O31,IF(O31&lt;$D$76,$D$76-O31,0)))+IF(P31&lt;$D$76,P31,IF(P31&gt;$D$75,P31-$D$75,0)),IF(K31="","",IF(O31&gt;$D$75,24-O31,IF(O31&lt;$D$76,$D$76-O31,3)))+IF(P31&lt;$D$76,P31,IF(P31&gt;$D$75,24-P31,P31)))</f>
        <v>#VALUE!</v>
      </c>
      <c r="W31" s="114" t="str">
        <f>+IF(U31&gt;=6,U31,IF(D31="J2",((N31-M31)+(L31-K31)),IF(O31&lt;P31,P31-O31,P31+24-O31)))</f>
        <v/>
      </c>
      <c r="X31" s="161" t="str">
        <f>+IF(D31="cp",(I31*'Récapitulatif '!$AJ$3),"")</f>
        <v/>
      </c>
      <c r="Y31" s="163" t="str">
        <f t="shared" si="1"/>
        <v/>
      </c>
      <c r="Z31" s="154" t="str">
        <f t="shared" si="16"/>
        <v/>
      </c>
      <c r="AA31" s="154" t="str">
        <f t="shared" si="2"/>
        <v/>
      </c>
      <c r="AB31" s="479" t="str">
        <f t="shared" si="20"/>
        <v/>
      </c>
      <c r="AC31" s="475" t="str">
        <f>+IF(AND(WEEKDAY(C31)=7,D31="N"),(24-O31),IF(WEEKDAY(C31)=7,W31,IF(AND(WEEKDAY(C31)=6,D31="N"),(L31-0.33),IF(WEEKDAY(C31)=7,W31,""))))</f>
        <v/>
      </c>
      <c r="AD31" s="118" t="str">
        <f>+IF(AND(WEEKDAY(C31)=1,D31="N"),(24-O31),IF(WEEKDAY(C31)=1,W31,IF(AND(WEEKDAY(C31)=7,D31="N"),(L31-0.33),IF(WEEKDAY(C31)=1,W31,""))))</f>
        <v/>
      </c>
      <c r="AE31" s="261"/>
      <c r="AF31" s="325"/>
      <c r="AG31" s="119"/>
      <c r="AH31" s="328" t="str">
        <f>IF(K31="","",IF(D31="J2","",IF(AI31=1,"",IF(U31&gt;=6,1,""))))</f>
        <v/>
      </c>
      <c r="AI31" s="13" t="str">
        <f>+IF(K31="","",IF(Y31&gt;=4,1,""))</f>
        <v/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43737</v>
      </c>
      <c r="D32" s="646" t="s">
        <v>203</v>
      </c>
      <c r="E32" s="637" t="str">
        <f t="shared" si="5"/>
        <v/>
      </c>
      <c r="F32" s="638">
        <f t="shared" si="6"/>
        <v>1</v>
      </c>
      <c r="G32" s="626" t="s">
        <v>184</v>
      </c>
      <c r="H32" s="128">
        <f t="shared" si="0"/>
        <v>1</v>
      </c>
      <c r="I32" s="127" t="str">
        <f t="shared" si="7"/>
        <v/>
      </c>
      <c r="J32" s="299"/>
      <c r="K32" s="86">
        <v>21</v>
      </c>
      <c r="L32" s="11">
        <v>5</v>
      </c>
      <c r="M32" s="11"/>
      <c r="N32" s="369"/>
      <c r="O32" s="371">
        <f t="shared" si="21"/>
        <v>21</v>
      </c>
      <c r="P32" s="73">
        <f t="shared" si="21"/>
        <v>5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>
        <f>+IF(D32="","",IF(D32="CP","",IF(D32="J2",((N32-M32)+(L32-K32)),IF(O32&lt;P32,P32-O32,P32+24-O32)-T32)))</f>
        <v>7.666666666666667</v>
      </c>
      <c r="V32" s="372">
        <f>IF(O32&lt;P32,IF(K32="","",IF(O32&gt;$D$75,24-O32,IF(O32&lt;$D$76,$D$76-O32,0)))+IF(P32&lt;$D$76,P32,IF(P32&gt;$D$75,P32-$D$75,0)),IF(K32="","",IF(O32&gt;$D$75,24-O32,IF(O32&lt;$D$76,$D$76-O32,3)))+IF(P32&lt;$D$76,P32,IF(P32&gt;$D$75,24-P32,P32)))</f>
        <v>8</v>
      </c>
      <c r="W32" s="114">
        <f>+IF(U32&gt;=6,U32,IF(D32="J2",((N32-M32)+(L32-K32)),IF(O32&lt;P32,P32-O32,P32+24-O32)))</f>
        <v>7.666666666666667</v>
      </c>
      <c r="X32" s="161" t="str">
        <f>+IF(D32="cp",(I32*'Récapitulatif '!$AJ$3),"")</f>
        <v/>
      </c>
      <c r="Y32" s="163">
        <f t="shared" si="1"/>
        <v>7.666666666666667</v>
      </c>
      <c r="Z32" s="154" t="str">
        <f t="shared" si="16"/>
        <v/>
      </c>
      <c r="AA32" s="154">
        <f t="shared" si="2"/>
        <v>1</v>
      </c>
      <c r="AB32" s="479">
        <f t="shared" si="20"/>
        <v>46.416666666666671</v>
      </c>
      <c r="AC32" s="475" t="str">
        <f>+IF(AND(WEEKDAY(C32)=7,D32="N"),(24-O32),IF(WEEKDAY(C32)=7,W32,IF(AND(WEEKDAY(C32)=6,D32="N"),(L32-0.33),IF(WEEKDAY(C32)=7,W32,""))))</f>
        <v/>
      </c>
      <c r="AD32" s="118">
        <f>+IF(AND(WEEKDAY(C32)=1,D32="N"),(24-O32),IF(WEEKDAY(C32)=1,W32,IF(AND(WEEKDAY(C32)=7,D32="N"),(L32-0.33),IF(WEEKDAY(C32)=1,W32,""))))</f>
        <v>3</v>
      </c>
      <c r="AE32" s="261"/>
      <c r="AF32" s="325"/>
      <c r="AG32" s="119"/>
      <c r="AH32" s="328" t="str">
        <f>IF(K32="","",IF(D32="J2","",IF(AI32=1,"",IF(U32&gt;=6,1,""))))</f>
        <v/>
      </c>
      <c r="AI32" s="13">
        <f>+IF(K32="","",IF(Y32&gt;=4,1,""))</f>
        <v>1</v>
      </c>
    </row>
    <row r="33" spans="1:39">
      <c r="A33" s="482">
        <f>IF(WEEKDAY(C33,2)=1,INT((C33-SUM(MOD(DATE(YEAR(C33-MOD(C33-2,7)+3),1,2),{1E+99;7})*{1;-1})+5)/7),"")</f>
        <v>40</v>
      </c>
      <c r="B33" s="482" t="str">
        <f>IF(A33&lt;&gt;"",VLOOKUP(A33,juin!$L$49:$M$101,2,FALSE),"")</f>
        <v>Mystère</v>
      </c>
      <c r="C33" s="112">
        <f>+IF(MONTH(C$31+2)=MONTH(C$31)+1,"",C$31+2)</f>
        <v>43738</v>
      </c>
      <c r="D33" s="646" t="s">
        <v>203</v>
      </c>
      <c r="E33" s="637" t="str">
        <f t="shared" si="5"/>
        <v/>
      </c>
      <c r="F33" s="638" t="str">
        <f t="shared" si="6"/>
        <v/>
      </c>
      <c r="G33" s="626" t="s">
        <v>184</v>
      </c>
      <c r="H33" s="128">
        <f t="shared" si="0"/>
        <v>1</v>
      </c>
      <c r="I33" s="127" t="str">
        <f t="shared" si="7"/>
        <v/>
      </c>
      <c r="J33" s="299"/>
      <c r="K33" s="86">
        <v>20.55</v>
      </c>
      <c r="L33" s="11">
        <v>5</v>
      </c>
      <c r="M33" s="11"/>
      <c r="N33" s="369"/>
      <c r="O33" s="371">
        <f t="shared" si="21"/>
        <v>20.916666666666668</v>
      </c>
      <c r="P33" s="73">
        <f t="shared" si="21"/>
        <v>5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>
        <f>+IF(D33="","",IF(D33="CP","",IF(D33="J2",((N33-M33)+(L33-K33)),IF(O33&lt;P33,P33-O33,P33+24-O33)-T33)))</f>
        <v>7.7499999999999991</v>
      </c>
      <c r="V33" s="372">
        <f>IF(O33&lt;P33,IF(K33="","",IF(O33&gt;$D$75,24-O33,IF(O33&lt;$D$76,$D$76-O33,0)))+IF(P33&lt;$D$76,P33,IF(P33&gt;$D$75,P33-$D$75,0)),IF(K33="","",IF(O33&gt;$D$75,24-O33,IF(O33&lt;$D$76,$D$76-O33,3)))+IF(P33&lt;$D$76,P33,IF(P33&gt;$D$75,24-P33,P33)))</f>
        <v>8</v>
      </c>
      <c r="W33" s="114">
        <f>+IF(U33&gt;=6,U33,IF(D33="J2",((N33-M33)+(L33-K33)),IF(O33&lt;P33,P33-O33,P33+24-O33)))</f>
        <v>7.7499999999999991</v>
      </c>
      <c r="X33" s="161" t="str">
        <f>+IF(D33="cp",(I33*'Récapitulatif '!$AJ$3),"")</f>
        <v/>
      </c>
      <c r="Y33" s="163">
        <f t="shared" si="1"/>
        <v>7.666666666666667</v>
      </c>
      <c r="Z33" s="154" t="str">
        <f t="shared" si="16"/>
        <v/>
      </c>
      <c r="AA33" s="154">
        <f t="shared" si="2"/>
        <v>1</v>
      </c>
      <c r="AB33" s="479" t="str">
        <f t="shared" si="20"/>
        <v/>
      </c>
      <c r="AC33" s="475" t="str">
        <f>+IF(AND(WEEKDAY(C33)=7,D33="N"),(24-O33),IF(WEEKDAY(C33)=7,W33,IF(AND(WEEKDAY(C33)=6,D33="N"),(L33-0.33),IF(WEEKDAY(C33)=7,W33,""))))</f>
        <v/>
      </c>
      <c r="AD33" s="118" t="str">
        <f>+IF(AND(WEEKDAY(C33)=1,D33="N"),(24-O33),IF(WEEKDAY(C33)=1,W33,IF(AND(WEEKDAY(C33)=7,D33="N"),(L33-0.33),IF(WEEKDAY(C33)=1,W33,""))))</f>
        <v/>
      </c>
      <c r="AE33" s="261"/>
      <c r="AF33" s="325"/>
      <c r="AG33" s="119"/>
      <c r="AH33" s="328" t="str">
        <f>IF(K33="","",IF(D33="J2","",IF(AI33=1,"",IF(U33&gt;=6,1,""))))</f>
        <v/>
      </c>
      <c r="AI33" s="13">
        <f>+IF(K33="","",IF(Y33&gt;=4,1,""))</f>
        <v>1</v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/>
      <c r="D34" s="648"/>
      <c r="E34" s="639" t="str">
        <f t="shared" si="5"/>
        <v/>
      </c>
      <c r="F34" s="640" t="str">
        <f t="shared" si="6"/>
        <v/>
      </c>
      <c r="G34" s="627"/>
      <c r="H34" s="128" t="str">
        <f t="shared" si="0"/>
        <v/>
      </c>
      <c r="I34" s="127" t="str">
        <f t="shared" si="7"/>
        <v/>
      </c>
      <c r="J34" s="300"/>
      <c r="K34" s="87"/>
      <c r="L34" s="14"/>
      <c r="M34" s="14"/>
      <c r="N34" s="370"/>
      <c r="O34" s="373"/>
      <c r="P34" s="202"/>
      <c r="Q34" s="202"/>
      <c r="R34" s="202"/>
      <c r="S34" s="202"/>
      <c r="T34" s="202"/>
      <c r="U34" s="203"/>
      <c r="V34" s="374" t="e">
        <f t="shared" si="14"/>
        <v>#VALUE!</v>
      </c>
      <c r="W34" s="115"/>
      <c r="X34" s="204" t="str">
        <f>+IF(D34="cp",(I34*'Récapitulatif '!$AJ$3),"")</f>
        <v/>
      </c>
      <c r="Y34" s="164"/>
      <c r="Z34" s="154" t="str">
        <f t="shared" si="16"/>
        <v/>
      </c>
      <c r="AA34" s="154" t="str">
        <f t="shared" si="2"/>
        <v/>
      </c>
      <c r="AB34" s="480" t="str">
        <f t="shared" si="20"/>
        <v/>
      </c>
      <c r="AC34" s="476"/>
      <c r="AD34" s="120" t="str">
        <f t="shared" si="18"/>
        <v/>
      </c>
      <c r="AE34" s="262"/>
      <c r="AF34" s="326"/>
      <c r="AG34" s="131"/>
      <c r="AH34" s="329"/>
      <c r="AI34" s="15"/>
    </row>
    <row r="35" spans="1:39" ht="13.5" hidden="1" thickBot="1">
      <c r="A35" s="482" t="e">
        <f>INT((C35-SUM(MOD(DATE(YEAR(C35-MOD(C35-2,7)+3),1,2),{1E+99;7})*{1;-1})+5)/7)</f>
        <v>#NUM!</v>
      </c>
      <c r="B35" s="482" t="e">
        <f>IF(A35&lt;&gt;"",VLOOKUP(A35,juin!$L$49:$M$101,2,FALSE),"")</f>
        <v>#NUM!</v>
      </c>
      <c r="C35" s="191"/>
      <c r="D35" s="192"/>
      <c r="E35" s="192"/>
      <c r="F35" s="557" t="str">
        <f t="shared" si="6"/>
        <v/>
      </c>
      <c r="G35" s="192"/>
      <c r="H35" s="128" t="str">
        <f t="shared" si="0"/>
        <v/>
      </c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+IF(WEEKDAY(C27)=1,SUM(W28:X34),IF(WEEKDAY(C28)=1,SUM(W29:X34),IF(WEEKDAY(C29)=1,SUM(W30:X34),IF(WEEKDAY(C30)=1,SUM(W31:X34),IF(WEEKDAY(C31)=1,SUM(W32:X34),IF(WEEKDAY(C32)=1,SUM(W33:X34),IF(WEEKDAY(C33)=1,SUM(W33:X33),"")))))))</f>
        <v>7.7499999999999991</v>
      </c>
      <c r="AC35" s="199"/>
      <c r="AD35" s="199"/>
      <c r="AE35" s="174" t="e">
        <f>+IF(OR($C$4:$C$34=C99),W35,"")</f>
        <v>#VALUE!</v>
      </c>
      <c r="AF35" s="269"/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+SUM(I4:I33)</f>
        <v>5</v>
      </c>
      <c r="E37" s="609"/>
      <c r="F37" s="609"/>
      <c r="G37" s="836" t="s">
        <v>206</v>
      </c>
      <c r="H37" s="837"/>
      <c r="I37" s="837"/>
      <c r="J37" s="837"/>
      <c r="K37" s="616">
        <f>SUM(E4:E34)</f>
        <v>0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+SUM(U4:U33)</f>
        <v>116.16666666666667</v>
      </c>
      <c r="X37" s="151">
        <f>SUM(X4:X34)</f>
        <v>34.5</v>
      </c>
      <c r="Y37" s="117">
        <f>SUM(Y4:Y33)</f>
        <v>51.416666666666671</v>
      </c>
      <c r="Z37" s="155">
        <f>SUM(Z4:Z34)</f>
        <v>5</v>
      </c>
      <c r="AA37" s="155">
        <f>SUM(AA4:AA34)-Z37</f>
        <v>6</v>
      </c>
      <c r="AC37" s="121">
        <f>SUM(AC4:AC33)</f>
        <v>0</v>
      </c>
      <c r="AD37" s="122">
        <f>SUM(AD4:AD33)</f>
        <v>3</v>
      </c>
      <c r="AE37" s="123">
        <f>SUM(AE4:AE33)</f>
        <v>0</v>
      </c>
      <c r="AF37" s="121">
        <f>SUM(AF4:AF34)</f>
        <v>0</v>
      </c>
      <c r="AG37" s="123">
        <f>SUM(AG4:AG34)</f>
        <v>0</v>
      </c>
      <c r="AH37" s="314">
        <f>SUM(AH4:AH33)</f>
        <v>9</v>
      </c>
      <c r="AI37" s="23">
        <f>SUM(AI4:AI33)</f>
        <v>6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15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116.16666666666667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1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+(Août!AE41+Y41)-AC41</f>
        <v>49.063333333333333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38.750000000000007</v>
      </c>
      <c r="M43" s="505">
        <f>COUNTIF($D$4:$D$34,"M")</f>
        <v>5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30.999999999999996</v>
      </c>
      <c r="M44" s="504">
        <f>COUNTIF($D$4:$D$34,"aM")</f>
        <v>4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46.416666666666664</v>
      </c>
      <c r="M45" s="506">
        <f>COUNTIF($D$4:$D$34,"n")</f>
        <v>6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58" spans="3:14" hidden="1"/>
    <row r="59" spans="3:14" ht="13.5" hidden="1" thickBot="1"/>
    <row r="60" spans="3:14" hidden="1">
      <c r="C60" s="813" t="s">
        <v>108</v>
      </c>
      <c r="D60" s="814"/>
      <c r="E60" s="814"/>
      <c r="F60" s="814"/>
      <c r="G60" s="815"/>
    </row>
    <row r="61" spans="3:14" ht="13.5" hidden="1" thickBot="1">
      <c r="C61" s="816">
        <f>+juin!C52</f>
        <v>2019</v>
      </c>
      <c r="D61" s="817"/>
      <c r="E61" s="817"/>
      <c r="F61" s="817"/>
      <c r="G61" s="818"/>
    </row>
    <row r="62" spans="3:14" ht="15" hidden="1">
      <c r="C62" s="666">
        <f>+DATE(C61,1,1)</f>
        <v>43466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AE55-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43586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43593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43615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43626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43660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43692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43770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43780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43824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D511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81" priority="9" stopIfTrue="1">
      <formula>OR(WEEKDAY($C4)=1)</formula>
    </cfRule>
  </conditionalFormatting>
  <conditionalFormatting sqref="AB4:AB34">
    <cfRule type="expression" dxfId="80" priority="10" stopIfTrue="1">
      <formula>OR(WEEKDAY($C4)=1)</formula>
    </cfRule>
  </conditionalFormatting>
  <conditionalFormatting sqref="D16:F23">
    <cfRule type="expression" dxfId="79" priority="8" stopIfTrue="1">
      <formula>OR(WEEKDAY($C16)=1)</formula>
    </cfRule>
  </conditionalFormatting>
  <conditionalFormatting sqref="D16:F23">
    <cfRule type="expression" dxfId="78" priority="7" stopIfTrue="1">
      <formula>OR(WEEKDAY($C16)=1)</formula>
    </cfRule>
  </conditionalFormatting>
  <conditionalFormatting sqref="A35:B35">
    <cfRule type="expression" dxfId="77" priority="5" stopIfTrue="1">
      <formula>OR(WEEKDAY($C35)=1)</formula>
    </cfRule>
  </conditionalFormatting>
  <conditionalFormatting sqref="A4:B34 B5:B35">
    <cfRule type="expression" dxfId="76" priority="4" stopIfTrue="1">
      <formula>OR(WEEKDAY($C4)=1)</formula>
    </cfRule>
  </conditionalFormatting>
  <conditionalFormatting sqref="A4:B34 B5:B35">
    <cfRule type="expression" dxfId="75" priority="3" stopIfTrue="1">
      <formula>OR(WEEKDAY($C4)=1)</formula>
    </cfRule>
  </conditionalFormatting>
  <conditionalFormatting sqref="D30:F30">
    <cfRule type="expression" dxfId="74" priority="2" stopIfTrue="1">
      <formula>OR(WEEKDAY($C30)=1)</formula>
    </cfRule>
  </conditionalFormatting>
  <conditionalFormatting sqref="D30:F30">
    <cfRule type="expression" dxfId="73" priority="1" stopIfTrue="1">
      <formula>OR(WEEKDAY($C30)=1)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8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M77"/>
  <sheetViews>
    <sheetView showGridLines="0" view="pageBreakPreview" zoomScaleNormal="75" zoomScaleSheetLayoutView="100" workbookViewId="0">
      <selection activeCell="K29" sqref="K29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+Septembre!C33+1</f>
        <v>43739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271" t="s">
        <v>150</v>
      </c>
      <c r="AG3" s="272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43739</v>
      </c>
      <c r="D4" s="641" t="s">
        <v>203</v>
      </c>
      <c r="E4" s="633" t="str">
        <f>+IF(AND(WEEKDAY(C4)=1,D4="M"),1,"")</f>
        <v/>
      </c>
      <c r="F4" s="634" t="str">
        <f>+IF(AND(WEEKDAY(C4)=1,D4="N"),1,"")</f>
        <v/>
      </c>
      <c r="G4" s="630" t="s">
        <v>184</v>
      </c>
      <c r="H4" s="128">
        <f t="shared" ref="H4:H34" si="0">+IF(OR(D4="",D4="CP"),"",1)</f>
        <v>1</v>
      </c>
      <c r="I4" s="127" t="str">
        <f>+IF(D4="CP",1,"")</f>
        <v/>
      </c>
      <c r="J4" s="298"/>
      <c r="K4" s="85">
        <v>20.55</v>
      </c>
      <c r="L4" s="8">
        <v>5</v>
      </c>
      <c r="M4" s="8"/>
      <c r="N4" s="368"/>
      <c r="O4" s="371">
        <f>+((K4-INT(K4))/60*100)+INT(K4)</f>
        <v>20.916666666666668</v>
      </c>
      <c r="P4" s="73">
        <f>+((L4-INT(L4))/60*100)+INT(L4)</f>
        <v>5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>
        <f>+IF(D4="","",IF(D4="CP","",IF(D4="J2",((N4-M4)+(L4-K4)),IF(O4&lt;P4,P4-O4,P4+24-O4)-T4)))</f>
        <v>7.7499999999999991</v>
      </c>
      <c r="V4" s="372">
        <f>IF(O4&lt;P4,IF(K4="","",IF(O4&gt;$D$75,24-O4,IF(O4&lt;$D$76,$D$76-O4,0)))+IF(P4&lt;$D$76,P4,IF(P4&gt;$D$75,P4-$D$75,0)),IF(K4="","",IF(O4&gt;$D$75,24-O4,IF(O4&lt;$D$76,$D$76-O4,3)))+IF(P4&lt;$D$76,P4,IF(P4&gt;$D$75,24-P4,P4)))</f>
        <v>8</v>
      </c>
      <c r="W4" s="113">
        <f>+IF(U4&gt;=6,U4,IF(D4="J2",((N4-M4)+(L4-K4)),IF(O4&lt;P4,P4-O4,P4+24-O4)))</f>
        <v>7.7499999999999991</v>
      </c>
      <c r="X4" s="249" t="str">
        <f>+IF(D4="cp",(I4*'Récapitulatif '!$AJ$3),"")</f>
        <v/>
      </c>
      <c r="Y4" s="162">
        <f t="shared" ref="Y4:Y34" si="1">+IF(OR(D4="CP",D4=""),"",(IF(V4&gt;6,V4-T4,V4)))</f>
        <v>7.666666666666667</v>
      </c>
      <c r="Z4" s="154" t="str">
        <f>+IF(D4="CP",1,"")</f>
        <v/>
      </c>
      <c r="AA4" s="154">
        <f t="shared" ref="AA4:AA34" si="2">+IF(AND(Y4&gt;=3,D4&lt;&gt;""),1,"")</f>
        <v>1</v>
      </c>
      <c r="AB4" s="478" t="str">
        <f>+IF(WEEKDAY(C4)=1,(SUM(W$4:X4)+(Septembre!$AB$35)),"")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+AG4</f>
        <v/>
      </c>
      <c r="AF4" s="323"/>
      <c r="AG4" s="294" t="str">
        <f>+IF(AND($C$4:$C$43=($C$70-1),$D$4:$D$43="N"),(L4-T4),IF(AND($C$4:$C$43=($C$70),$D$4:$D$43="N"),(24-K4),IF($C$4:$C$43=$C$70,$W4,"")))</f>
        <v/>
      </c>
      <c r="AH4" s="327" t="str">
        <f t="shared" ref="AH4:AH34" si="3">IF(K4="","",IF(D4="J2","",IF(AI4=1,"",IF(U4&gt;=6,1,""))))</f>
        <v/>
      </c>
      <c r="AI4" s="9">
        <f t="shared" ref="AI4:AI34" si="4">+IF(K4="","",IF(Y4&gt;=4,1,""))</f>
        <v>1</v>
      </c>
      <c r="AJ4" s="10"/>
      <c r="AL4" s="92" t="s">
        <v>64</v>
      </c>
    </row>
    <row r="5" spans="1:38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112">
        <f>+C4+1</f>
        <v>43740</v>
      </c>
      <c r="D5" s="643" t="s">
        <v>203</v>
      </c>
      <c r="E5" s="633" t="str">
        <f t="shared" ref="E5:E34" si="5">+IF(AND(WEEKDAY(C5)=1,D5="M"),1,"")</f>
        <v/>
      </c>
      <c r="F5" s="634" t="str">
        <f t="shared" ref="F5:F35" si="6">+IF(AND(WEEKDAY(C5)=1,D5="N"),1,"")</f>
        <v/>
      </c>
      <c r="G5" s="626" t="s">
        <v>184</v>
      </c>
      <c r="H5" s="128">
        <f t="shared" si="0"/>
        <v>1</v>
      </c>
      <c r="I5" s="127" t="str">
        <f t="shared" ref="I5:I34" si="7">+IF(D5="CP",1,"")</f>
        <v/>
      </c>
      <c r="J5" s="299"/>
      <c r="K5" s="86">
        <v>20.55</v>
      </c>
      <c r="L5" s="11">
        <v>5</v>
      </c>
      <c r="M5" s="11"/>
      <c r="N5" s="369"/>
      <c r="O5" s="371">
        <f t="shared" ref="O5:O34" si="8">+((K5-INT(K5))/60*100)+INT(K5)</f>
        <v>20.916666666666668</v>
      </c>
      <c r="P5" s="73">
        <f t="shared" ref="P5:P34" si="9">+((L5-INT(L5))/60*100)+INT(L5)</f>
        <v>5</v>
      </c>
      <c r="Q5" s="73">
        <f t="shared" ref="Q5:Q34" si="10">+((M5-INT(M5))/60*100)+INT(M5)</f>
        <v>0</v>
      </c>
      <c r="R5" s="73">
        <f t="shared" ref="R5:R34" si="11">+((N5-INT(N5))/60*100)+INT(N5)</f>
        <v>0</v>
      </c>
      <c r="S5" s="73">
        <v>0.2</v>
      </c>
      <c r="T5" s="73">
        <f t="shared" ref="T5:T34" si="12">+(S5/60*100)</f>
        <v>0.33333333333333337</v>
      </c>
      <c r="U5" s="12">
        <f t="shared" ref="U5:U34" si="13">+IF(D5="","",IF(D5="CP","",IF(D5="J2",((N5-M5)+(L5-K5)),IF(O5&lt;P5,P5-O5,P5+24-O5)-T5)))</f>
        <v>7.7499999999999991</v>
      </c>
      <c r="V5" s="372">
        <f t="shared" ref="V5:V34" si="14">IF(O5&lt;P5,IF(K5="","",IF(O5&gt;$D$75,24-O5,IF(O5&lt;$D$76,$D$76-O5,0)))+IF(P5&lt;$D$76,P5,IF(P5&gt;$D$75,P5-$D$75,0)),IF(K5="","",IF(O5&gt;$D$75,24-O5,IF(O5&lt;$D$76,$D$76-O5,3)))+IF(P5&lt;$D$76,P5,IF(P5&gt;$D$75,24-P5,P5)))</f>
        <v>8</v>
      </c>
      <c r="W5" s="114">
        <f t="shared" ref="W5:W34" si="15">+IF(U5&gt;=6,U5,IF(D5="J2",((N5-M5)+(L5-K5)),IF(O5&lt;P5,P5-O5,P5+24-O5)))</f>
        <v>7.7499999999999991</v>
      </c>
      <c r="X5" s="161" t="str">
        <f>+IF(D5="cp",(I5*'Récapitulatif '!$AJ$3),"")</f>
        <v/>
      </c>
      <c r="Y5" s="163">
        <f t="shared" si="1"/>
        <v>7.666666666666667</v>
      </c>
      <c r="Z5" s="154" t="str">
        <f t="shared" ref="Z5:Z34" si="16">+IF(D5="CP",1,"")</f>
        <v/>
      </c>
      <c r="AA5" s="154">
        <f t="shared" si="2"/>
        <v>1</v>
      </c>
      <c r="AB5" s="479" t="str">
        <f>+IF(WEEKDAY(C5)=1,(SUM(W$4:X5)+(Septembre!$AB$35)),"")</f>
        <v/>
      </c>
      <c r="AC5" s="475" t="str">
        <f t="shared" ref="AC5:AC34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 t="str">
        <f t="shared" ref="AE5:AE34" si="19">+AG5</f>
        <v/>
      </c>
      <c r="AF5" s="292"/>
      <c r="AG5" s="174" t="str">
        <f t="shared" ref="AG5:AG34" si="20">+IF(AND($C$4:$C$43=($C$70-1),$D$4:$D$43="N"),(L5-T5),IF(AND($C$4:$C$43=($C$70),$D$4:$D$43="N"),(24-K5),IF($C$4:$C$43=$C$70,$W5,"")))</f>
        <v/>
      </c>
      <c r="AH5" s="328" t="str">
        <f t="shared" si="3"/>
        <v/>
      </c>
      <c r="AI5" s="13">
        <f t="shared" si="4"/>
        <v>1</v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1">+C5+1</f>
        <v>43741</v>
      </c>
      <c r="D6" s="643" t="s">
        <v>203</v>
      </c>
      <c r="E6" s="633" t="str">
        <f t="shared" si="5"/>
        <v/>
      </c>
      <c r="F6" s="634" t="str">
        <f t="shared" si="6"/>
        <v/>
      </c>
      <c r="G6" s="626" t="s">
        <v>184</v>
      </c>
      <c r="H6" s="128">
        <f t="shared" si="0"/>
        <v>1</v>
      </c>
      <c r="I6" s="127" t="str">
        <f t="shared" si="7"/>
        <v/>
      </c>
      <c r="J6" s="299"/>
      <c r="K6" s="86">
        <v>20.55</v>
      </c>
      <c r="L6" s="11">
        <v>5</v>
      </c>
      <c r="M6" s="11"/>
      <c r="N6" s="369"/>
      <c r="O6" s="371">
        <f t="shared" si="8"/>
        <v>20.916666666666668</v>
      </c>
      <c r="P6" s="73">
        <f t="shared" si="9"/>
        <v>5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>
        <f t="shared" si="13"/>
        <v>7.7499999999999991</v>
      </c>
      <c r="V6" s="372">
        <f t="shared" si="14"/>
        <v>8</v>
      </c>
      <c r="W6" s="114">
        <f t="shared" si="15"/>
        <v>7.7499999999999991</v>
      </c>
      <c r="X6" s="161" t="str">
        <f>+IF(D6="cp",(I6*'Récapitulatif '!$AJ$3),"")</f>
        <v/>
      </c>
      <c r="Y6" s="163">
        <f t="shared" si="1"/>
        <v>7.666666666666667</v>
      </c>
      <c r="Z6" s="154" t="str">
        <f t="shared" si="16"/>
        <v/>
      </c>
      <c r="AA6" s="154">
        <f t="shared" si="2"/>
        <v>1</v>
      </c>
      <c r="AB6" s="479" t="str">
        <f>+IF(WEEKDAY(C6)=1,(SUM(W$4:X6)+(Septembre!$AB$35)),"")</f>
        <v/>
      </c>
      <c r="AC6" s="475" t="str">
        <f t="shared" si="17"/>
        <v/>
      </c>
      <c r="AD6" s="118" t="str">
        <f t="shared" si="18"/>
        <v/>
      </c>
      <c r="AE6" s="261" t="str">
        <f t="shared" si="19"/>
        <v/>
      </c>
      <c r="AF6" s="292"/>
      <c r="AG6" s="174" t="str">
        <f t="shared" si="20"/>
        <v/>
      </c>
      <c r="AH6" s="328" t="str">
        <f t="shared" si="3"/>
        <v/>
      </c>
      <c r="AI6" s="13">
        <f t="shared" si="4"/>
        <v>1</v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21"/>
        <v>43742</v>
      </c>
      <c r="D7" s="643"/>
      <c r="E7" s="633" t="str">
        <f t="shared" si="5"/>
        <v/>
      </c>
      <c r="F7" s="634" t="str">
        <f t="shared" si="6"/>
        <v/>
      </c>
      <c r="G7" s="626"/>
      <c r="H7" s="128" t="str">
        <f t="shared" si="0"/>
        <v/>
      </c>
      <c r="I7" s="127" t="str">
        <f t="shared" si="7"/>
        <v/>
      </c>
      <c r="J7" s="299"/>
      <c r="K7" s="86"/>
      <c r="L7" s="11"/>
      <c r="M7" s="11"/>
      <c r="N7" s="369"/>
      <c r="O7" s="371">
        <f>+((K7-INT(K7))/60*100)+INT(K7)</f>
        <v>0</v>
      </c>
      <c r="P7" s="73">
        <f>+((L7-INT(L7))/60*100)+INT(L7)</f>
        <v>0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 t="str">
        <f>+IF(D7="","",IF(D7="CP","",IF(D7="J2",((N7-M7)+(L7-K7)),IF(O7&lt;P7,P7-O7,P7+24-O7)-T7)))</f>
        <v/>
      </c>
      <c r="V7" s="372" t="e">
        <f t="shared" si="14"/>
        <v>#VALUE!</v>
      </c>
      <c r="W7" s="114" t="str">
        <f>+IF(U7&gt;=6,U7,IF(D7="J2",((N7-M7)+(L7-K7)),IF(O7&lt;P7,P7-O7,P7+24-O7)))</f>
        <v/>
      </c>
      <c r="X7" s="161" t="str">
        <f>+IF(D7="cp",(I7*'Récapitulatif '!$AJ$3),"")</f>
        <v/>
      </c>
      <c r="Y7" s="163" t="str">
        <f t="shared" si="1"/>
        <v/>
      </c>
      <c r="Z7" s="154" t="str">
        <f t="shared" si="16"/>
        <v/>
      </c>
      <c r="AA7" s="154" t="str">
        <f t="shared" si="2"/>
        <v/>
      </c>
      <c r="AB7" s="479" t="str">
        <f>+IF(WEEKDAY(C7)=1,(SUM(W$4:X7)+(Septembre!$AB$35)),"")</f>
        <v/>
      </c>
      <c r="AC7" s="475" t="str">
        <f t="shared" si="17"/>
        <v/>
      </c>
      <c r="AD7" s="118" t="str">
        <f t="shared" si="18"/>
        <v/>
      </c>
      <c r="AE7" s="261" t="str">
        <f t="shared" si="19"/>
        <v/>
      </c>
      <c r="AF7" s="292"/>
      <c r="AG7" s="174" t="str">
        <f>+IF(AND($C$4:$C$43=($C$70-1),$D$4:$D$43="N"),(L7-T7),IF(AND($C$4:$C$43=($C$70),$D$4:$D$43="N"),(24-K7),IF($C$4:$C$43=$C$70,$W7,"")))</f>
        <v/>
      </c>
      <c r="AH7" s="328" t="str">
        <f>IF(K7="","",IF(D7="J2","",IF(AI7=1,"",IF(U7&gt;=6,1,""))))</f>
        <v/>
      </c>
      <c r="AI7" s="13" t="str">
        <f>+IF(K7="","",IF(Y7&gt;=4,1,""))</f>
        <v/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21"/>
        <v>43743</v>
      </c>
      <c r="D8" s="643"/>
      <c r="E8" s="633" t="str">
        <f t="shared" si="5"/>
        <v/>
      </c>
      <c r="F8" s="634" t="str">
        <f t="shared" si="6"/>
        <v/>
      </c>
      <c r="G8" s="626"/>
      <c r="H8" s="128" t="str">
        <f t="shared" si="0"/>
        <v/>
      </c>
      <c r="I8" s="127" t="str">
        <f t="shared" si="7"/>
        <v/>
      </c>
      <c r="J8" s="299"/>
      <c r="K8" s="86"/>
      <c r="L8" s="11"/>
      <c r="M8" s="11"/>
      <c r="N8" s="369"/>
      <c r="O8" s="371">
        <f t="shared" si="8"/>
        <v>0</v>
      </c>
      <c r="P8" s="73">
        <f t="shared" si="9"/>
        <v>0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 t="str">
        <f t="shared" si="13"/>
        <v/>
      </c>
      <c r="V8" s="372" t="e">
        <f t="shared" si="14"/>
        <v>#VALUE!</v>
      </c>
      <c r="W8" s="114" t="str">
        <f t="shared" si="15"/>
        <v/>
      </c>
      <c r="X8" s="161" t="str">
        <f>+IF(D8="cp",(I8*'Récapitulatif '!$AJ$3),"")</f>
        <v/>
      </c>
      <c r="Y8" s="163" t="str">
        <f t="shared" si="1"/>
        <v/>
      </c>
      <c r="Z8" s="154" t="str">
        <f t="shared" si="16"/>
        <v/>
      </c>
      <c r="AA8" s="154" t="str">
        <f t="shared" si="2"/>
        <v/>
      </c>
      <c r="AB8" s="479" t="str">
        <f>+IF(WEEKDAY(C8)=1,(SUM(W$4:X8)+(Septembre!$AB$35)),"")</f>
        <v/>
      </c>
      <c r="AC8" s="475" t="str">
        <f t="shared" si="17"/>
        <v/>
      </c>
      <c r="AD8" s="118" t="str">
        <f t="shared" si="18"/>
        <v/>
      </c>
      <c r="AE8" s="261" t="str">
        <f t="shared" si="19"/>
        <v/>
      </c>
      <c r="AF8" s="292"/>
      <c r="AG8" s="174" t="str">
        <f t="shared" si="20"/>
        <v/>
      </c>
      <c r="AH8" s="328" t="str">
        <f t="shared" si="3"/>
        <v/>
      </c>
      <c r="AI8" s="13" t="str">
        <f t="shared" si="4"/>
        <v/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21"/>
        <v>43744</v>
      </c>
      <c r="D9" s="643" t="s">
        <v>203</v>
      </c>
      <c r="E9" s="633" t="str">
        <f t="shared" si="5"/>
        <v/>
      </c>
      <c r="F9" s="634">
        <f t="shared" si="6"/>
        <v>1</v>
      </c>
      <c r="G9" s="626" t="s">
        <v>184</v>
      </c>
      <c r="H9" s="128">
        <f t="shared" si="0"/>
        <v>1</v>
      </c>
      <c r="I9" s="127" t="str">
        <f t="shared" si="7"/>
        <v/>
      </c>
      <c r="J9" s="299"/>
      <c r="K9" s="86">
        <v>21</v>
      </c>
      <c r="L9" s="11">
        <v>5</v>
      </c>
      <c r="M9" s="11"/>
      <c r="N9" s="369"/>
      <c r="O9" s="371">
        <f>+((K9-INT(K9))/60*100)+INT(K9)</f>
        <v>21</v>
      </c>
      <c r="P9" s="73">
        <f>+((L9-INT(L9))/60*100)+INT(L9)</f>
        <v>5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>
        <f>+IF(D9="","",IF(D9="CP","",IF(D9="J2",((N9-M9)+(L9-K9)),IF(O9&lt;P9,P9-O9,P9+24-O9)-T9)))</f>
        <v>7.666666666666667</v>
      </c>
      <c r="V9" s="372">
        <f t="shared" si="14"/>
        <v>8</v>
      </c>
      <c r="W9" s="114">
        <f>+IF(U9&gt;=6,U9,IF(D9="J2",((N9-M9)+(L9-K9)),IF(O9&lt;P9,P9-O9,P9+24-O9)))</f>
        <v>7.666666666666667</v>
      </c>
      <c r="X9" s="161" t="str">
        <f>+IF(D9="cp",(I9*'Récapitulatif '!$AJ$3),"")</f>
        <v/>
      </c>
      <c r="Y9" s="163">
        <f t="shared" si="1"/>
        <v>7.666666666666667</v>
      </c>
      <c r="Z9" s="154" t="str">
        <f t="shared" si="16"/>
        <v/>
      </c>
      <c r="AA9" s="154">
        <f t="shared" si="2"/>
        <v>1</v>
      </c>
      <c r="AB9" s="479">
        <f>+IF(WEEKDAY(C9)=1,(SUM(W$4:X9)+(Septembre!$AB$35)),"")</f>
        <v>38.666666666666664</v>
      </c>
      <c r="AC9" s="475" t="str">
        <f t="shared" si="17"/>
        <v/>
      </c>
      <c r="AD9" s="118">
        <f t="shared" si="18"/>
        <v>3</v>
      </c>
      <c r="AE9" s="261" t="str">
        <f t="shared" si="19"/>
        <v/>
      </c>
      <c r="AF9" s="292"/>
      <c r="AG9" s="174" t="str">
        <f>+IF(AND($C$4:$C$43=($C$70-1),$D$4:$D$43="N"),(L9-T9),IF(AND($C$4:$C$43=($C$70),$D$4:$D$43="N"),(24-K9),IF($C$4:$C$43=$C$70,$W9,"")))</f>
        <v/>
      </c>
      <c r="AH9" s="328" t="str">
        <f>IF(K9="","",IF(D9="J2","",IF(AI9=1,"",IF(U9&gt;=6,1,""))))</f>
        <v/>
      </c>
      <c r="AI9" s="13">
        <f>+IF(K9="","",IF(Y9&gt;=4,1,""))</f>
        <v>1</v>
      </c>
      <c r="AL9" s="1" t="s">
        <v>59</v>
      </c>
    </row>
    <row r="10" spans="1:38">
      <c r="A10" s="482">
        <f>IF(WEEKDAY(C10,2)=1,INT((C10-SUM(MOD(DATE(YEAR(C10-MOD(C10-2,7)+3),1,2),{1E+99;7})*{1;-1})+5)/7),"")</f>
        <v>41</v>
      </c>
      <c r="B10" s="482" t="str">
        <f>IF(A10&lt;&gt;"",VLOOKUP(A10,juin!$L$49:$M$101,2,FALSE),"")</f>
        <v>Nuit</v>
      </c>
      <c r="C10" s="112">
        <f t="shared" si="21"/>
        <v>43745</v>
      </c>
      <c r="D10" s="643" t="s">
        <v>203</v>
      </c>
      <c r="E10" s="633" t="str">
        <f t="shared" si="5"/>
        <v/>
      </c>
      <c r="F10" s="634" t="str">
        <f t="shared" si="6"/>
        <v/>
      </c>
      <c r="G10" s="626" t="s">
        <v>184</v>
      </c>
      <c r="H10" s="128">
        <f t="shared" si="0"/>
        <v>1</v>
      </c>
      <c r="I10" s="127" t="str">
        <f t="shared" si="7"/>
        <v/>
      </c>
      <c r="J10" s="299"/>
      <c r="K10" s="86">
        <v>20.55</v>
      </c>
      <c r="L10" s="11">
        <v>5</v>
      </c>
      <c r="M10" s="11"/>
      <c r="N10" s="369"/>
      <c r="O10" s="371">
        <f t="shared" si="8"/>
        <v>20.916666666666668</v>
      </c>
      <c r="P10" s="73">
        <f t="shared" si="9"/>
        <v>5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>
        <f t="shared" si="13"/>
        <v>7.7499999999999991</v>
      </c>
      <c r="V10" s="372">
        <f t="shared" si="14"/>
        <v>8</v>
      </c>
      <c r="W10" s="114">
        <f t="shared" si="15"/>
        <v>7.7499999999999991</v>
      </c>
      <c r="X10" s="161" t="str">
        <f>+IF(D10="cp",(I10*'Récapitulatif '!$AJ$3),"")</f>
        <v/>
      </c>
      <c r="Y10" s="163">
        <f t="shared" si="1"/>
        <v>7.666666666666667</v>
      </c>
      <c r="Z10" s="154" t="str">
        <f t="shared" si="16"/>
        <v/>
      </c>
      <c r="AA10" s="154">
        <f t="shared" si="2"/>
        <v>1</v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 t="str">
        <f t="shared" si="19"/>
        <v/>
      </c>
      <c r="AF10" s="292"/>
      <c r="AG10" s="174" t="str">
        <f t="shared" si="20"/>
        <v/>
      </c>
      <c r="AH10" s="328" t="str">
        <f t="shared" si="3"/>
        <v/>
      </c>
      <c r="AI10" s="13">
        <f t="shared" si="4"/>
        <v>1</v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1"/>
        <v>43746</v>
      </c>
      <c r="D11" s="643" t="s">
        <v>203</v>
      </c>
      <c r="E11" s="633" t="str">
        <f t="shared" si="5"/>
        <v/>
      </c>
      <c r="F11" s="634" t="str">
        <f t="shared" si="6"/>
        <v/>
      </c>
      <c r="G11" s="626" t="s">
        <v>184</v>
      </c>
      <c r="H11" s="128">
        <f t="shared" si="0"/>
        <v>1</v>
      </c>
      <c r="I11" s="127" t="str">
        <f t="shared" si="7"/>
        <v/>
      </c>
      <c r="J11" s="299"/>
      <c r="K11" s="86">
        <v>20.55</v>
      </c>
      <c r="L11" s="11">
        <v>5</v>
      </c>
      <c r="M11" s="11"/>
      <c r="N11" s="369"/>
      <c r="O11" s="371">
        <f t="shared" si="8"/>
        <v>20.916666666666668</v>
      </c>
      <c r="P11" s="73">
        <f t="shared" si="9"/>
        <v>5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>
        <f t="shared" si="13"/>
        <v>7.7499999999999991</v>
      </c>
      <c r="V11" s="372">
        <f t="shared" si="14"/>
        <v>8</v>
      </c>
      <c r="W11" s="114">
        <f t="shared" si="15"/>
        <v>7.7499999999999991</v>
      </c>
      <c r="X11" s="161" t="str">
        <f>+IF(D11="cp",(I11*'Récapitulatif '!$AJ$3),"")</f>
        <v/>
      </c>
      <c r="Y11" s="163">
        <f t="shared" si="1"/>
        <v>7.666666666666667</v>
      </c>
      <c r="Z11" s="154" t="str">
        <f t="shared" si="16"/>
        <v/>
      </c>
      <c r="AA11" s="154">
        <f t="shared" si="2"/>
        <v>1</v>
      </c>
      <c r="AB11" s="479" t="str">
        <f t="shared" ref="AB11:AB34" si="22">+IF(WEEKDAY(C11)=1,SUM(W5:X11),"")</f>
        <v/>
      </c>
      <c r="AC11" s="475" t="str">
        <f t="shared" si="17"/>
        <v/>
      </c>
      <c r="AD11" s="118" t="str">
        <f t="shared" si="18"/>
        <v/>
      </c>
      <c r="AE11" s="261" t="str">
        <f t="shared" si="19"/>
        <v/>
      </c>
      <c r="AF11" s="292"/>
      <c r="AG11" s="174" t="str">
        <f t="shared" si="20"/>
        <v/>
      </c>
      <c r="AH11" s="328" t="str">
        <f t="shared" si="3"/>
        <v/>
      </c>
      <c r="AI11" s="13">
        <f t="shared" si="4"/>
        <v>1</v>
      </c>
      <c r="AJ11" s="10"/>
      <c r="AL11" s="1" t="s">
        <v>60</v>
      </c>
    </row>
    <row r="12" spans="1:38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112">
        <f t="shared" si="21"/>
        <v>43747</v>
      </c>
      <c r="D12" s="643" t="s">
        <v>203</v>
      </c>
      <c r="E12" s="633" t="str">
        <f t="shared" si="5"/>
        <v/>
      </c>
      <c r="F12" s="634" t="str">
        <f t="shared" si="6"/>
        <v/>
      </c>
      <c r="G12" s="626" t="s">
        <v>184</v>
      </c>
      <c r="H12" s="128">
        <f t="shared" si="0"/>
        <v>1</v>
      </c>
      <c r="I12" s="127" t="str">
        <f t="shared" si="7"/>
        <v/>
      </c>
      <c r="J12" s="299"/>
      <c r="K12" s="86">
        <v>20.55</v>
      </c>
      <c r="L12" s="11">
        <v>5</v>
      </c>
      <c r="M12" s="11"/>
      <c r="N12" s="369"/>
      <c r="O12" s="371">
        <f t="shared" si="8"/>
        <v>20.916666666666668</v>
      </c>
      <c r="P12" s="73">
        <f t="shared" si="9"/>
        <v>5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>
        <f t="shared" si="13"/>
        <v>7.7499999999999991</v>
      </c>
      <c r="V12" s="372">
        <f t="shared" si="14"/>
        <v>8</v>
      </c>
      <c r="W12" s="114">
        <f t="shared" si="15"/>
        <v>7.7499999999999991</v>
      </c>
      <c r="X12" s="161" t="str">
        <f>+IF(D12="cp",(I12*'Récapitulatif '!$AJ$3),"")</f>
        <v/>
      </c>
      <c r="Y12" s="163">
        <f t="shared" si="1"/>
        <v>7.666666666666667</v>
      </c>
      <c r="Z12" s="154" t="str">
        <f t="shared" si="16"/>
        <v/>
      </c>
      <c r="AA12" s="154">
        <f t="shared" si="2"/>
        <v>1</v>
      </c>
      <c r="AB12" s="479" t="str">
        <f t="shared" si="22"/>
        <v/>
      </c>
      <c r="AC12" s="475" t="str">
        <f t="shared" si="17"/>
        <v/>
      </c>
      <c r="AD12" s="118" t="str">
        <f t="shared" si="18"/>
        <v/>
      </c>
      <c r="AE12" s="261" t="str">
        <f t="shared" si="19"/>
        <v/>
      </c>
      <c r="AF12" s="292"/>
      <c r="AG12" s="174" t="str">
        <f t="shared" si="20"/>
        <v/>
      </c>
      <c r="AH12" s="328" t="str">
        <f t="shared" si="3"/>
        <v/>
      </c>
      <c r="AI12" s="13">
        <f t="shared" si="4"/>
        <v>1</v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1"/>
        <v>43748</v>
      </c>
      <c r="D13" s="643" t="s">
        <v>203</v>
      </c>
      <c r="E13" s="633" t="str">
        <f t="shared" si="5"/>
        <v/>
      </c>
      <c r="F13" s="634" t="str">
        <f t="shared" si="6"/>
        <v/>
      </c>
      <c r="G13" s="626" t="s">
        <v>184</v>
      </c>
      <c r="H13" s="128">
        <f t="shared" si="0"/>
        <v>1</v>
      </c>
      <c r="I13" s="127" t="str">
        <f t="shared" si="7"/>
        <v/>
      </c>
      <c r="J13" s="299"/>
      <c r="K13" s="86">
        <v>20.55</v>
      </c>
      <c r="L13" s="11">
        <v>4.45</v>
      </c>
      <c r="M13" s="11"/>
      <c r="N13" s="369"/>
      <c r="O13" s="371">
        <f t="shared" si="8"/>
        <v>20.916666666666668</v>
      </c>
      <c r="P13" s="73">
        <f t="shared" si="9"/>
        <v>4.75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>
        <f t="shared" si="13"/>
        <v>7.4999999999999991</v>
      </c>
      <c r="V13" s="372">
        <f t="shared" si="14"/>
        <v>7.75</v>
      </c>
      <c r="W13" s="114">
        <f t="shared" si="15"/>
        <v>7.4999999999999991</v>
      </c>
      <c r="X13" s="161" t="str">
        <f>+IF(D13="cp",(I13*'Récapitulatif '!$AJ$3),"")</f>
        <v/>
      </c>
      <c r="Y13" s="163">
        <f t="shared" si="1"/>
        <v>7.416666666666667</v>
      </c>
      <c r="Z13" s="154" t="str">
        <f t="shared" si="16"/>
        <v/>
      </c>
      <c r="AA13" s="154">
        <f t="shared" si="2"/>
        <v>1</v>
      </c>
      <c r="AB13" s="479" t="str">
        <f t="shared" si="22"/>
        <v/>
      </c>
      <c r="AC13" s="475" t="str">
        <f t="shared" si="17"/>
        <v/>
      </c>
      <c r="AD13" s="118" t="str">
        <f t="shared" si="18"/>
        <v/>
      </c>
      <c r="AE13" s="261" t="str">
        <f t="shared" si="19"/>
        <v/>
      </c>
      <c r="AF13" s="292"/>
      <c r="AG13" s="174" t="str">
        <f t="shared" si="20"/>
        <v/>
      </c>
      <c r="AH13" s="328" t="str">
        <f t="shared" si="3"/>
        <v/>
      </c>
      <c r="AI13" s="13">
        <f t="shared" si="4"/>
        <v>1</v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21"/>
        <v>43749</v>
      </c>
      <c r="D14" s="643"/>
      <c r="E14" s="633" t="str">
        <f t="shared" si="5"/>
        <v/>
      </c>
      <c r="F14" s="634" t="str">
        <f t="shared" si="6"/>
        <v/>
      </c>
      <c r="G14" s="628"/>
      <c r="H14" s="128" t="str">
        <f t="shared" si="0"/>
        <v/>
      </c>
      <c r="I14" s="127" t="str">
        <f t="shared" si="7"/>
        <v/>
      </c>
      <c r="J14" s="299"/>
      <c r="K14" s="86"/>
      <c r="L14" s="11"/>
      <c r="M14" s="11"/>
      <c r="N14" s="369"/>
      <c r="O14" s="371">
        <f t="shared" si="8"/>
        <v>0</v>
      </c>
      <c r="P14" s="73">
        <f t="shared" si="9"/>
        <v>0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 t="str">
        <f t="shared" si="13"/>
        <v/>
      </c>
      <c r="V14" s="372" t="e">
        <f t="shared" si="14"/>
        <v>#VALUE!</v>
      </c>
      <c r="W14" s="114" t="str">
        <f t="shared" si="15"/>
        <v/>
      </c>
      <c r="X14" s="161" t="str">
        <f>+IF(D14="cp",(I14*'Récapitulatif '!$AJ$3),"")</f>
        <v/>
      </c>
      <c r="Y14" s="163" t="str">
        <f t="shared" si="1"/>
        <v/>
      </c>
      <c r="Z14" s="154" t="str">
        <f t="shared" si="16"/>
        <v/>
      </c>
      <c r="AA14" s="154" t="str">
        <f t="shared" si="2"/>
        <v/>
      </c>
      <c r="AB14" s="479" t="str">
        <f t="shared" si="22"/>
        <v/>
      </c>
      <c r="AC14" s="475" t="str">
        <f t="shared" si="17"/>
        <v/>
      </c>
      <c r="AD14" s="118" t="str">
        <f t="shared" si="18"/>
        <v/>
      </c>
      <c r="AE14" s="261" t="str">
        <f t="shared" si="19"/>
        <v/>
      </c>
      <c r="AF14" s="292"/>
      <c r="AG14" s="174" t="str">
        <f t="shared" si="20"/>
        <v/>
      </c>
      <c r="AH14" s="328" t="str">
        <f t="shared" si="3"/>
        <v/>
      </c>
      <c r="AI14" s="13" t="str">
        <f t="shared" si="4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21"/>
        <v>43750</v>
      </c>
      <c r="D15" s="643"/>
      <c r="E15" s="633" t="str">
        <f t="shared" si="5"/>
        <v/>
      </c>
      <c r="F15" s="634" t="str">
        <f t="shared" si="6"/>
        <v/>
      </c>
      <c r="G15" s="628"/>
      <c r="H15" s="128" t="str">
        <f t="shared" si="0"/>
        <v/>
      </c>
      <c r="I15" s="127" t="str">
        <f t="shared" si="7"/>
        <v/>
      </c>
      <c r="J15" s="299"/>
      <c r="K15" s="86"/>
      <c r="L15" s="11"/>
      <c r="M15" s="11"/>
      <c r="N15" s="369"/>
      <c r="O15" s="371">
        <f t="shared" ref="O15:Q19" si="23">+((K15-INT(K15))/60*100)+INT(K15)</f>
        <v>0</v>
      </c>
      <c r="P15" s="73">
        <f t="shared" si="23"/>
        <v>0</v>
      </c>
      <c r="Q15" s="73">
        <f t="shared" si="23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 t="str">
        <f>+IF(D15="","",IF(D15="CP","",IF(D15="J2",((N15-M15)+(L15-K15)),IF(O15&lt;P15,P15-O15,P15+24-O15)-T15)))</f>
        <v/>
      </c>
      <c r="V15" s="372" t="e">
        <f>IF(O15&lt;P15,IF(K15="","",IF(O15&gt;$D$75,24-O15,IF(O15&lt;$D$76,$D$76-O15,0)))+IF(P15&lt;$D$76,P15,IF(P15&gt;$D$75,P15-$D$75,0)),IF(K15="","",IF(O15&gt;$D$75,24-O15,IF(O15&lt;$D$76,$D$76-O15,3)))+IF(P15&lt;$D$76,P15,IF(P15&gt;$D$75,24-P15,P15)))</f>
        <v>#VALUE!</v>
      </c>
      <c r="W15" s="114" t="str">
        <f>+IF(U15&gt;=6,U15,IF(D15="J2",((N15-M15)+(L15-K15)),IF(O15&lt;P15,P15-O15,P15+24-O15)))</f>
        <v/>
      </c>
      <c r="X15" s="161" t="str">
        <f>+IF(D15="cp",(I15*'Récapitulatif '!$AJ$3),"")</f>
        <v/>
      </c>
      <c r="Y15" s="163" t="str">
        <f t="shared" si="1"/>
        <v/>
      </c>
      <c r="Z15" s="154" t="str">
        <f t="shared" si="16"/>
        <v/>
      </c>
      <c r="AA15" s="154" t="str">
        <f t="shared" si="2"/>
        <v/>
      </c>
      <c r="AB15" s="479" t="str">
        <f t="shared" si="22"/>
        <v/>
      </c>
      <c r="AC15" s="475" t="str">
        <f>+IF(AND(WEEKDAY(C15)=7,D15="N"),(24-O15),IF(WEEKDAY(C15)=7,W15,IF(AND(WEEKDAY(C15)=6,D15="N"),(L15-0.33),IF(WEEKDAY(C15)=7,W15,""))))</f>
        <v/>
      </c>
      <c r="AD15" s="118" t="str">
        <f>+IF(AND(WEEKDAY(C15)=1,D15="N"),(24-O15),IF(WEEKDAY(C15)=1,W15,IF(AND(WEEKDAY(C15)=7,D15="N"),(L15-0.33),IF(WEEKDAY(C15)=1,W15,""))))</f>
        <v/>
      </c>
      <c r="AE15" s="261" t="str">
        <f t="shared" si="19"/>
        <v/>
      </c>
      <c r="AF15" s="292"/>
      <c r="AG15" s="174" t="str">
        <f>+IF(AND($C$4:$C$43=($C$70-1),$D$4:$D$43="N"),(L15-T15),IF(AND($C$4:$C$43=($C$70),$D$4:$D$43="N"),(24-K15),IF($C$4:$C$43=$C$70,$W15,"")))</f>
        <v/>
      </c>
      <c r="AH15" s="328" t="str">
        <f>IF(K15="","",IF(D15="J2","",IF(AI15=1,"",IF(U15&gt;=6,1,""))))</f>
        <v/>
      </c>
      <c r="AI15" s="13" t="str">
        <f>+IF(K15="","",IF(Y15&gt;=4,1,""))</f>
        <v/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21"/>
        <v>43751</v>
      </c>
      <c r="D16" s="646" t="s">
        <v>205</v>
      </c>
      <c r="E16" s="633">
        <f t="shared" si="5"/>
        <v>1</v>
      </c>
      <c r="F16" s="634" t="str">
        <f t="shared" si="6"/>
        <v/>
      </c>
      <c r="G16" s="628" t="s">
        <v>184</v>
      </c>
      <c r="H16" s="128">
        <f t="shared" si="0"/>
        <v>1</v>
      </c>
      <c r="I16" s="127" t="str">
        <f t="shared" si="7"/>
        <v/>
      </c>
      <c r="J16" s="299"/>
      <c r="K16" s="86">
        <v>5</v>
      </c>
      <c r="L16" s="11">
        <v>12.15</v>
      </c>
      <c r="M16" s="11"/>
      <c r="N16" s="369"/>
      <c r="O16" s="371">
        <f t="shared" si="23"/>
        <v>5</v>
      </c>
      <c r="P16" s="73">
        <f t="shared" si="23"/>
        <v>12.25</v>
      </c>
      <c r="Q16" s="73">
        <f t="shared" si="23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>
        <f>+IF(D16="","",IF(D16="CP","",IF(D16="J2",((N16-M16)+(L16-K16)),IF(O16&lt;P16,P16-O16,P16+24-O16)-T16)))</f>
        <v>6.916666666666667</v>
      </c>
      <c r="V16" s="372">
        <f>IF(O16&lt;P16,IF(K16="","",IF(O16&gt;$D$75,24-O16,IF(O16&lt;$D$76,$D$76-O16,0)))+IF(P16&lt;$D$76,P16,IF(P16&gt;$D$75,P16-$D$75,0)),IF(K16="","",IF(O16&gt;$D$75,24-O16,IF(O16&lt;$D$76,$D$76-O16,3)))+IF(P16&lt;$D$76,P16,IF(P16&gt;$D$75,24-P16,P16)))</f>
        <v>1</v>
      </c>
      <c r="W16" s="114">
        <f>+IF(U16&gt;=6,U16,IF(D16="J2",((N16-M16)+(L16-K16)),IF(O16&lt;P16,P16-O16,P16+24-O16)))</f>
        <v>6.916666666666667</v>
      </c>
      <c r="X16" s="161" t="str">
        <f>+IF(D16="cp",(I16*'Récapitulatif '!$AJ$3),"")</f>
        <v/>
      </c>
      <c r="Y16" s="163">
        <f t="shared" si="1"/>
        <v>1</v>
      </c>
      <c r="Z16" s="154" t="str">
        <f t="shared" si="16"/>
        <v/>
      </c>
      <c r="AA16" s="154" t="str">
        <f t="shared" si="2"/>
        <v/>
      </c>
      <c r="AB16" s="479">
        <f t="shared" si="22"/>
        <v>37.666666666666664</v>
      </c>
      <c r="AC16" s="475" t="str">
        <f>+IF(AND(WEEKDAY(C16)=7,D16="N"),(24-O16),IF(WEEKDAY(C16)=7,W16,IF(AND(WEEKDAY(C16)=6,D16="N"),(L16-0.33),IF(WEEKDAY(C16)=7,W16,""))))</f>
        <v/>
      </c>
      <c r="AD16" s="118">
        <f>+IF(AND(WEEKDAY(C16)=1,D16="N"),(24-O16),IF(WEEKDAY(C16)=1,W16,IF(AND(WEEKDAY(C16)=7,D16="N"),(L16-0.33),IF(WEEKDAY(C16)=1,W16,""))))</f>
        <v>6.916666666666667</v>
      </c>
      <c r="AE16" s="261" t="str">
        <f t="shared" si="19"/>
        <v/>
      </c>
      <c r="AF16" s="292"/>
      <c r="AG16" s="174" t="str">
        <f>+IF(AND($C$4:$C$43=($C$70-1),$D$4:$D$43="N"),(L16-T16),IF(AND($C$4:$C$43=($C$70),$D$4:$D$43="N"),(24-K16),IF($C$4:$C$43=$C$70,$W16,"")))</f>
        <v/>
      </c>
      <c r="AH16" s="328">
        <f>IF(K16="","",IF(D16="J2","",IF(AI16=1,"",IF(U16&gt;=6,1,""))))</f>
        <v>1</v>
      </c>
      <c r="AI16" s="13" t="str">
        <f>+IF(K16="","",IF(Y16&gt;=4,1,""))</f>
        <v/>
      </c>
    </row>
    <row r="17" spans="1:38">
      <c r="A17" s="482">
        <f>IF(WEEKDAY(C17,2)=1,INT((C17-SUM(MOD(DATE(YEAR(C17-MOD(C17-2,7)+3),1,2),{1E+99;7})*{1;-1})+5)/7),"")</f>
        <v>42</v>
      </c>
      <c r="B17" s="482" t="str">
        <f>IF(A17&lt;&gt;"",VLOOKUP(A17,juin!$L$49:$M$101,2,FALSE),"")</f>
        <v>A - Midi</v>
      </c>
      <c r="C17" s="112">
        <f t="shared" si="21"/>
        <v>43752</v>
      </c>
      <c r="D17" s="646" t="s">
        <v>202</v>
      </c>
      <c r="E17" s="633" t="str">
        <f t="shared" si="5"/>
        <v/>
      </c>
      <c r="F17" s="634" t="str">
        <f t="shared" si="6"/>
        <v/>
      </c>
      <c r="G17" s="626" t="s">
        <v>184</v>
      </c>
      <c r="H17" s="128">
        <f t="shared" si="0"/>
        <v>1</v>
      </c>
      <c r="I17" s="127" t="str">
        <f t="shared" si="7"/>
        <v/>
      </c>
      <c r="J17" s="299"/>
      <c r="K17" s="86">
        <v>12.55</v>
      </c>
      <c r="L17" s="11">
        <v>21</v>
      </c>
      <c r="M17" s="11"/>
      <c r="N17" s="369"/>
      <c r="O17" s="371">
        <f t="shared" ref="O17:Q18" si="24">+((K17-INT(K17))/60*100)+INT(K17)</f>
        <v>12.916666666666668</v>
      </c>
      <c r="P17" s="73">
        <f t="shared" si="24"/>
        <v>21</v>
      </c>
      <c r="Q17" s="73">
        <f t="shared" si="24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>
        <f>+IF(D17="","",IF(D17="CP","",IF(D17="J2",((N17-M17)+(L17-K17)),IF(O17&lt;P17,P17-O17,P17+24-O17)-T17)))</f>
        <v>7.7499999999999991</v>
      </c>
      <c r="V17" s="372">
        <f>IF(O17&lt;P17,IF(K17="","",IF(O17&gt;$D$75,24-O17,IF(O17&lt;$D$76,$D$76-O17,0)))+IF(P17&lt;$D$76,P17,IF(P17&gt;$D$75,P17-$D$75,0)),IF(K17="","",IF(O17&gt;$D$75,24-O17,IF(O17&lt;$D$76,$D$76-O17,3)))+IF(P17&lt;$D$76,P17,IF(P17&gt;$D$75,24-P17,P17)))</f>
        <v>0</v>
      </c>
      <c r="W17" s="114">
        <f>+IF(U17&gt;=6,U17,IF(D17="J2",((N17-M17)+(L17-K17)),IF(O17&lt;P17,P17-O17,P17+24-O17)))</f>
        <v>7.7499999999999991</v>
      </c>
      <c r="X17" s="161" t="str">
        <f>+IF(D17="cp",(I17*'Récapitulatif '!$AJ$3),"")</f>
        <v/>
      </c>
      <c r="Y17" s="163">
        <f t="shared" si="1"/>
        <v>0</v>
      </c>
      <c r="Z17" s="154" t="str">
        <f t="shared" si="16"/>
        <v/>
      </c>
      <c r="AA17" s="154" t="str">
        <f t="shared" si="2"/>
        <v/>
      </c>
      <c r="AB17" s="479" t="str">
        <f t="shared" si="22"/>
        <v/>
      </c>
      <c r="AC17" s="475" t="str">
        <f>+IF(AND(WEEKDAY(C17)=7,D17="N"),(24-O17),IF(WEEKDAY(C17)=7,W17,IF(AND(WEEKDAY(C17)=6,D17="N"),(L17-0.33),IF(WEEKDAY(C17)=7,W17,""))))</f>
        <v/>
      </c>
      <c r="AD17" s="118" t="str">
        <f>+IF(AND(WEEKDAY(C17)=1,D17="N"),(24-O17),IF(WEEKDAY(C17)=1,W17,IF(AND(WEEKDAY(C17)=7,D17="N"),(L17-0.33),IF(WEEKDAY(C17)=1,W17,""))))</f>
        <v/>
      </c>
      <c r="AE17" s="261" t="str">
        <f t="shared" si="19"/>
        <v/>
      </c>
      <c r="AF17" s="292"/>
      <c r="AG17" s="174" t="str">
        <f>+IF(AND($C$4:$C$43=($C$70-1),$D$4:$D$43="N"),(L17-T17),IF(AND($C$4:$C$43=($C$70),$D$4:$D$43="N"),(24-K17),IF($C$4:$C$43=$C$70,$W17,"")))</f>
        <v/>
      </c>
      <c r="AH17" s="328">
        <f>IF(K17="","",IF(D17="J2","",IF(AI17=1,"",IF(U17&gt;=6,1,""))))</f>
        <v>1</v>
      </c>
      <c r="AI17" s="13" t="str">
        <f>+IF(K17="","",IF(Y17&gt;=4,1,""))</f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1"/>
        <v>43753</v>
      </c>
      <c r="D18" s="646" t="s">
        <v>202</v>
      </c>
      <c r="E18" s="633" t="str">
        <f t="shared" si="5"/>
        <v/>
      </c>
      <c r="F18" s="634" t="str">
        <f t="shared" si="6"/>
        <v/>
      </c>
      <c r="G18" s="626" t="s">
        <v>184</v>
      </c>
      <c r="H18" s="128">
        <f t="shared" si="0"/>
        <v>1</v>
      </c>
      <c r="I18" s="127" t="str">
        <f t="shared" si="7"/>
        <v/>
      </c>
      <c r="J18" s="299"/>
      <c r="K18" s="86">
        <v>12.55</v>
      </c>
      <c r="L18" s="11">
        <v>21</v>
      </c>
      <c r="M18" s="11"/>
      <c r="N18" s="369"/>
      <c r="O18" s="371">
        <f t="shared" si="24"/>
        <v>12.916666666666668</v>
      </c>
      <c r="P18" s="73">
        <f t="shared" si="24"/>
        <v>21</v>
      </c>
      <c r="Q18" s="73">
        <f t="shared" si="24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>
        <f>+IF(D18="","",IF(D18="CP","",IF(D18="J2",((N18-M18)+(L18-K18)),IF(O18&lt;P18,P18-O18,P18+24-O18)-T18)))</f>
        <v>7.7499999999999991</v>
      </c>
      <c r="V18" s="372">
        <f>IF(O18&lt;P18,IF(K18="","",IF(O18&gt;$D$75,24-O18,IF(O18&lt;$D$76,$D$76-O18,0)))+IF(P18&lt;$D$76,P18,IF(P18&gt;$D$75,P18-$D$75,0)),IF(K18="","",IF(O18&gt;$D$75,24-O18,IF(O18&lt;$D$76,$D$76-O18,3)))+IF(P18&lt;$D$76,P18,IF(P18&gt;$D$75,24-P18,P18)))</f>
        <v>0</v>
      </c>
      <c r="W18" s="114">
        <f>+IF(U18&gt;=6,U18,IF(D18="J2",((N18-M18)+(L18-K18)),IF(O18&lt;P18,P18-O18,P18+24-O18)))</f>
        <v>7.7499999999999991</v>
      </c>
      <c r="X18" s="161" t="str">
        <f>+IF(D18="cp",(I18*'Récapitulatif '!$AJ$3),"")</f>
        <v/>
      </c>
      <c r="Y18" s="163">
        <f t="shared" si="1"/>
        <v>0</v>
      </c>
      <c r="Z18" s="154" t="str">
        <f t="shared" si="16"/>
        <v/>
      </c>
      <c r="AA18" s="154" t="str">
        <f t="shared" si="2"/>
        <v/>
      </c>
      <c r="AB18" s="479" t="str">
        <f t="shared" si="22"/>
        <v/>
      </c>
      <c r="AC18" s="475" t="str">
        <f>+IF(AND(WEEKDAY(C18)=7,D18="N"),(24-O18),IF(WEEKDAY(C18)=7,W18,IF(AND(WEEKDAY(C18)=6,D18="N"),(L18-0.33),IF(WEEKDAY(C18)=7,W18,""))))</f>
        <v/>
      </c>
      <c r="AD18" s="118" t="str">
        <f>+IF(AND(WEEKDAY(C18)=1,D18="N"),(24-O18),IF(WEEKDAY(C18)=1,W18,IF(AND(WEEKDAY(C18)=7,D18="N"),(L18-0.33),IF(WEEKDAY(C18)=1,W18,""))))</f>
        <v/>
      </c>
      <c r="AE18" s="261" t="str">
        <f t="shared" si="19"/>
        <v/>
      </c>
      <c r="AF18" s="292"/>
      <c r="AG18" s="174" t="str">
        <f>+IF(AND($C$4:$C$43=($C$70-1),$D$4:$D$43="N"),(L18-T18),IF(AND($C$4:$C$43=($C$70),$D$4:$D$43="N"),(24-K18),IF($C$4:$C$43=$C$70,$W18,"")))</f>
        <v/>
      </c>
      <c r="AH18" s="328">
        <f>IF(K18="","",IF(D18="J2","",IF(AI18=1,"",IF(U18&gt;=6,1,""))))</f>
        <v>1</v>
      </c>
      <c r="AI18" s="13" t="str">
        <f>+IF(K18="","",IF(Y18&gt;=4,1,""))</f>
        <v/>
      </c>
      <c r="AL18" s="1" t="s">
        <v>71</v>
      </c>
    </row>
    <row r="19" spans="1:38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112">
        <f t="shared" si="21"/>
        <v>43754</v>
      </c>
      <c r="D19" s="646" t="s">
        <v>202</v>
      </c>
      <c r="E19" s="633" t="str">
        <f t="shared" si="5"/>
        <v/>
      </c>
      <c r="F19" s="634" t="str">
        <f t="shared" si="6"/>
        <v/>
      </c>
      <c r="G19" s="626" t="s">
        <v>184</v>
      </c>
      <c r="H19" s="128">
        <f t="shared" si="0"/>
        <v>1</v>
      </c>
      <c r="I19" s="127" t="str">
        <f t="shared" si="7"/>
        <v/>
      </c>
      <c r="J19" s="299"/>
      <c r="K19" s="86">
        <v>12.55</v>
      </c>
      <c r="L19" s="11">
        <v>21</v>
      </c>
      <c r="M19" s="11"/>
      <c r="N19" s="369"/>
      <c r="O19" s="371">
        <f t="shared" si="23"/>
        <v>12.916666666666668</v>
      </c>
      <c r="P19" s="73">
        <f t="shared" si="23"/>
        <v>21</v>
      </c>
      <c r="Q19" s="73">
        <f t="shared" si="23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>
        <f>+IF(D19="","",IF(D19="CP","",IF(D19="J2",((N19-M19)+(L19-K19)),IF(O19&lt;P19,P19-O19,P19+24-O19)-T19)))</f>
        <v>7.7499999999999991</v>
      </c>
      <c r="V19" s="372">
        <f>IF(O19&lt;P19,IF(K19="","",IF(O19&gt;$D$75,24-O19,IF(O19&lt;$D$76,$D$76-O19,0)))+IF(P19&lt;$D$76,P19,IF(P19&gt;$D$75,P19-$D$75,0)),IF(K19="","",IF(O19&gt;$D$75,24-O19,IF(O19&lt;$D$76,$D$76-O19,3)))+IF(P19&lt;$D$76,P19,IF(P19&gt;$D$75,24-P19,P19)))</f>
        <v>0</v>
      </c>
      <c r="W19" s="114">
        <f>+IF(U19&gt;=6,U19,IF(D19="J2",((N19-M19)+(L19-K19)),IF(O19&lt;P19,P19-O19,P19+24-O19)))</f>
        <v>7.7499999999999991</v>
      </c>
      <c r="X19" s="161" t="str">
        <f>+IF(D19="cp",(I19*'Récapitulatif '!$AJ$3),"")</f>
        <v/>
      </c>
      <c r="Y19" s="163">
        <f t="shared" si="1"/>
        <v>0</v>
      </c>
      <c r="Z19" s="154" t="str">
        <f t="shared" si="16"/>
        <v/>
      </c>
      <c r="AA19" s="154" t="str">
        <f t="shared" si="2"/>
        <v/>
      </c>
      <c r="AB19" s="479" t="str">
        <f t="shared" si="22"/>
        <v/>
      </c>
      <c r="AC19" s="475" t="str">
        <f>+IF(AND(WEEKDAY(C19)=7,D19="N"),(24-O19),IF(WEEKDAY(C19)=7,W19,IF(AND(WEEKDAY(C19)=6,D19="N"),(L19-0.33),IF(WEEKDAY(C19)=7,W19,""))))</f>
        <v/>
      </c>
      <c r="AD19" s="118" t="str">
        <f>+IF(AND(WEEKDAY(C19)=1,D19="N"),(24-O19),IF(WEEKDAY(C19)=1,W19,IF(AND(WEEKDAY(C19)=7,D19="N"),(L19-0.33),IF(WEEKDAY(C19)=1,W19,""))))</f>
        <v/>
      </c>
      <c r="AE19" s="261" t="str">
        <f t="shared" si="19"/>
        <v/>
      </c>
      <c r="AF19" s="292"/>
      <c r="AG19" s="174" t="str">
        <f>+IF(AND($C$4:$C$43=($C$70-1),$D$4:$D$43="N"),(L19-T19),IF(AND($C$4:$C$43=($C$70),$D$4:$D$43="N"),(24-K19),IF($C$4:$C$43=$C$70,$W19,"")))</f>
        <v/>
      </c>
      <c r="AH19" s="328">
        <f>IF(K19="","",IF(D19="J2","",IF(AI19=1,"",IF(U19&gt;=6,1,""))))</f>
        <v>1</v>
      </c>
      <c r="AI19" s="13" t="str">
        <f>+IF(K19="","",IF(Y19&gt;=4,1,""))</f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1"/>
        <v>43755</v>
      </c>
      <c r="D20" s="646" t="s">
        <v>202</v>
      </c>
      <c r="E20" s="633" t="str">
        <f t="shared" si="5"/>
        <v/>
      </c>
      <c r="F20" s="634" t="str">
        <f t="shared" si="6"/>
        <v/>
      </c>
      <c r="G20" s="626" t="s">
        <v>184</v>
      </c>
      <c r="H20" s="128">
        <f t="shared" si="0"/>
        <v>1</v>
      </c>
      <c r="I20" s="127" t="str">
        <f t="shared" si="7"/>
        <v/>
      </c>
      <c r="J20" s="299"/>
      <c r="K20" s="86">
        <v>12.55</v>
      </c>
      <c r="L20" s="11">
        <v>21</v>
      </c>
      <c r="M20" s="11"/>
      <c r="N20" s="369"/>
      <c r="O20" s="371">
        <f t="shared" si="8"/>
        <v>12.916666666666668</v>
      </c>
      <c r="P20" s="73">
        <f t="shared" si="9"/>
        <v>21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>
        <f t="shared" si="13"/>
        <v>7.7499999999999991</v>
      </c>
      <c r="V20" s="372">
        <f t="shared" si="14"/>
        <v>0</v>
      </c>
      <c r="W20" s="114">
        <f t="shared" si="15"/>
        <v>7.7499999999999991</v>
      </c>
      <c r="X20" s="161" t="str">
        <f>+IF(D20="cp",(I20*'Récapitulatif '!$AJ$3),"")</f>
        <v/>
      </c>
      <c r="Y20" s="163">
        <f t="shared" si="1"/>
        <v>0</v>
      </c>
      <c r="Z20" s="154" t="str">
        <f t="shared" si="16"/>
        <v/>
      </c>
      <c r="AA20" s="154" t="str">
        <f t="shared" si="2"/>
        <v/>
      </c>
      <c r="AB20" s="479" t="str">
        <f t="shared" si="22"/>
        <v/>
      </c>
      <c r="AC20" s="475" t="str">
        <f t="shared" si="17"/>
        <v/>
      </c>
      <c r="AD20" s="118" t="str">
        <f t="shared" si="18"/>
        <v/>
      </c>
      <c r="AE20" s="261" t="str">
        <f t="shared" si="19"/>
        <v/>
      </c>
      <c r="AF20" s="292"/>
      <c r="AG20" s="174" t="str">
        <f t="shared" si="20"/>
        <v/>
      </c>
      <c r="AH20" s="328">
        <f t="shared" si="3"/>
        <v>1</v>
      </c>
      <c r="AI20" s="13" t="str">
        <f t="shared" si="4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21"/>
        <v>43756</v>
      </c>
      <c r="D21" s="646" t="s">
        <v>202</v>
      </c>
      <c r="E21" s="633" t="str">
        <f t="shared" si="5"/>
        <v/>
      </c>
      <c r="F21" s="634" t="str">
        <f t="shared" si="6"/>
        <v/>
      </c>
      <c r="G21" s="626" t="s">
        <v>184</v>
      </c>
      <c r="H21" s="128">
        <f t="shared" si="0"/>
        <v>1</v>
      </c>
      <c r="I21" s="127" t="str">
        <f t="shared" si="7"/>
        <v/>
      </c>
      <c r="J21" s="299"/>
      <c r="K21" s="86">
        <v>12.55</v>
      </c>
      <c r="L21" s="11">
        <v>19.149999999999999</v>
      </c>
      <c r="M21" s="11"/>
      <c r="N21" s="369"/>
      <c r="O21" s="371">
        <f t="shared" si="8"/>
        <v>12.916666666666668</v>
      </c>
      <c r="P21" s="73">
        <f t="shared" si="9"/>
        <v>19.249999999999996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>
        <f t="shared" si="13"/>
        <v>5.9999999999999956</v>
      </c>
      <c r="V21" s="372">
        <f t="shared" si="14"/>
        <v>0</v>
      </c>
      <c r="W21" s="114">
        <f t="shared" si="15"/>
        <v>5.9999999999999956</v>
      </c>
      <c r="X21" s="161" t="str">
        <f>+IF(D21="cp",(I21*'Récapitulatif '!$AJ$3),"")</f>
        <v/>
      </c>
      <c r="Y21" s="163">
        <f t="shared" si="1"/>
        <v>0</v>
      </c>
      <c r="Z21" s="154" t="str">
        <f t="shared" si="16"/>
        <v/>
      </c>
      <c r="AA21" s="154" t="str">
        <f t="shared" si="2"/>
        <v/>
      </c>
      <c r="AB21" s="479" t="str">
        <f t="shared" si="22"/>
        <v/>
      </c>
      <c r="AC21" s="475" t="str">
        <f t="shared" si="17"/>
        <v/>
      </c>
      <c r="AD21" s="118" t="str">
        <f t="shared" si="18"/>
        <v/>
      </c>
      <c r="AE21" s="261" t="str">
        <f t="shared" si="19"/>
        <v/>
      </c>
      <c r="AF21" s="292"/>
      <c r="AG21" s="174" t="str">
        <f t="shared" si="20"/>
        <v/>
      </c>
      <c r="AH21" s="328">
        <f t="shared" si="3"/>
        <v>1</v>
      </c>
      <c r="AI21" s="13" t="str">
        <f t="shared" si="4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21"/>
        <v>43757</v>
      </c>
      <c r="D22" s="647"/>
      <c r="E22" s="633" t="str">
        <f t="shared" si="5"/>
        <v/>
      </c>
      <c r="F22" s="634" t="str">
        <f t="shared" si="6"/>
        <v/>
      </c>
      <c r="G22" s="626"/>
      <c r="H22" s="128" t="str">
        <f t="shared" si="0"/>
        <v/>
      </c>
      <c r="I22" s="127" t="str">
        <f t="shared" si="7"/>
        <v/>
      </c>
      <c r="J22" s="299"/>
      <c r="K22" s="86"/>
      <c r="L22" s="11"/>
      <c r="M22" s="11"/>
      <c r="N22" s="369"/>
      <c r="O22" s="371">
        <f t="shared" si="8"/>
        <v>0</v>
      </c>
      <c r="P22" s="73">
        <f t="shared" si="9"/>
        <v>0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 t="str">
        <f t="shared" si="13"/>
        <v/>
      </c>
      <c r="V22" s="372" t="e">
        <f t="shared" si="14"/>
        <v>#VALUE!</v>
      </c>
      <c r="W22" s="114" t="str">
        <f t="shared" si="15"/>
        <v/>
      </c>
      <c r="X22" s="161" t="str">
        <f>+IF(D22="cp",(I22*'Récapitulatif '!$AJ$3),"")</f>
        <v/>
      </c>
      <c r="Y22" s="163" t="str">
        <f t="shared" si="1"/>
        <v/>
      </c>
      <c r="Z22" s="154" t="str">
        <f t="shared" si="16"/>
        <v/>
      </c>
      <c r="AA22" s="154" t="str">
        <f t="shared" si="2"/>
        <v/>
      </c>
      <c r="AB22" s="479" t="str">
        <f t="shared" si="22"/>
        <v/>
      </c>
      <c r="AC22" s="475" t="str">
        <f t="shared" si="17"/>
        <v/>
      </c>
      <c r="AD22" s="118" t="str">
        <f t="shared" si="18"/>
        <v/>
      </c>
      <c r="AE22" s="261" t="str">
        <f t="shared" si="19"/>
        <v/>
      </c>
      <c r="AF22" s="292"/>
      <c r="AG22" s="174" t="str">
        <f t="shared" si="20"/>
        <v/>
      </c>
      <c r="AH22" s="328" t="str">
        <f t="shared" si="3"/>
        <v/>
      </c>
      <c r="AI22" s="13" t="str">
        <f t="shared" si="4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21"/>
        <v>43758</v>
      </c>
      <c r="D23" s="647"/>
      <c r="E23" s="633" t="str">
        <f t="shared" si="5"/>
        <v/>
      </c>
      <c r="F23" s="634" t="str">
        <f t="shared" si="6"/>
        <v/>
      </c>
      <c r="G23" s="626"/>
      <c r="H23" s="128" t="str">
        <f t="shared" si="0"/>
        <v/>
      </c>
      <c r="I23" s="127" t="str">
        <f t="shared" si="7"/>
        <v/>
      </c>
      <c r="J23" s="299"/>
      <c r="K23" s="86"/>
      <c r="L23" s="11"/>
      <c r="M23" s="11"/>
      <c r="N23" s="369"/>
      <c r="O23" s="371">
        <f t="shared" si="8"/>
        <v>0</v>
      </c>
      <c r="P23" s="73">
        <f t="shared" si="9"/>
        <v>0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 t="str">
        <f t="shared" si="13"/>
        <v/>
      </c>
      <c r="V23" s="372" t="e">
        <f t="shared" si="14"/>
        <v>#VALUE!</v>
      </c>
      <c r="W23" s="114" t="str">
        <f t="shared" si="15"/>
        <v/>
      </c>
      <c r="X23" s="161" t="str">
        <f>+IF(D23="cp",(I23*'Récapitulatif '!$AJ$3),"")</f>
        <v/>
      </c>
      <c r="Y23" s="163" t="str">
        <f t="shared" si="1"/>
        <v/>
      </c>
      <c r="Z23" s="154" t="str">
        <f t="shared" si="16"/>
        <v/>
      </c>
      <c r="AA23" s="154" t="str">
        <f t="shared" si="2"/>
        <v/>
      </c>
      <c r="AB23" s="479">
        <f t="shared" si="22"/>
        <v>36.999999999999993</v>
      </c>
      <c r="AC23" s="475" t="str">
        <f t="shared" si="17"/>
        <v/>
      </c>
      <c r="AD23" s="118" t="str">
        <f t="shared" si="18"/>
        <v/>
      </c>
      <c r="AE23" s="261" t="str">
        <f t="shared" si="19"/>
        <v/>
      </c>
      <c r="AF23" s="292"/>
      <c r="AG23" s="174" t="str">
        <f t="shared" si="20"/>
        <v/>
      </c>
      <c r="AH23" s="328" t="str">
        <f t="shared" si="3"/>
        <v/>
      </c>
      <c r="AI23" s="13" t="str">
        <f t="shared" si="4"/>
        <v/>
      </c>
    </row>
    <row r="24" spans="1:38">
      <c r="A24" s="482">
        <f>IF(WEEKDAY(C24,2)=1,INT((C24-SUM(MOD(DATE(YEAR(C24-MOD(C24-2,7)+3),1,2),{1E+99;7})*{1;-1})+5)/7),"")</f>
        <v>43</v>
      </c>
      <c r="B24" s="482" t="str">
        <f>IF(A24&lt;&gt;"",VLOOKUP(A24,juin!$L$49:$M$101,2,FALSE),"")</f>
        <v>Matin</v>
      </c>
      <c r="C24" s="112">
        <f t="shared" si="21"/>
        <v>43759</v>
      </c>
      <c r="D24" s="646" t="s">
        <v>205</v>
      </c>
      <c r="E24" s="633" t="str">
        <f t="shared" si="5"/>
        <v/>
      </c>
      <c r="F24" s="634" t="str">
        <f t="shared" si="6"/>
        <v/>
      </c>
      <c r="G24" s="628" t="s">
        <v>184</v>
      </c>
      <c r="H24" s="128">
        <f t="shared" si="0"/>
        <v>1</v>
      </c>
      <c r="I24" s="127" t="str">
        <f t="shared" si="7"/>
        <v/>
      </c>
      <c r="J24" s="299"/>
      <c r="K24" s="86">
        <v>4.55</v>
      </c>
      <c r="L24" s="11">
        <v>13</v>
      </c>
      <c r="M24" s="11"/>
      <c r="N24" s="369"/>
      <c r="O24" s="371">
        <f t="shared" si="8"/>
        <v>4.9166666666666661</v>
      </c>
      <c r="P24" s="73">
        <f t="shared" si="9"/>
        <v>13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>
        <f t="shared" si="13"/>
        <v>7.7500000000000009</v>
      </c>
      <c r="V24" s="372">
        <f t="shared" si="14"/>
        <v>1.0833333333333339</v>
      </c>
      <c r="W24" s="114">
        <f t="shared" si="15"/>
        <v>7.7500000000000009</v>
      </c>
      <c r="X24" s="161" t="str">
        <f>+IF(D24="cp",(I24*'Récapitulatif '!$AJ$3),"")</f>
        <v/>
      </c>
      <c r="Y24" s="163">
        <f t="shared" si="1"/>
        <v>1.0833333333333339</v>
      </c>
      <c r="Z24" s="154" t="str">
        <f t="shared" si="16"/>
        <v/>
      </c>
      <c r="AA24" s="154" t="str">
        <f t="shared" si="2"/>
        <v/>
      </c>
      <c r="AB24" s="479" t="str">
        <f t="shared" si="22"/>
        <v/>
      </c>
      <c r="AC24" s="475" t="str">
        <f t="shared" si="17"/>
        <v/>
      </c>
      <c r="AD24" s="118" t="str">
        <f t="shared" si="18"/>
        <v/>
      </c>
      <c r="AE24" s="261" t="str">
        <f t="shared" si="19"/>
        <v/>
      </c>
      <c r="AF24" s="292"/>
      <c r="AG24" s="174" t="str">
        <f t="shared" si="20"/>
        <v/>
      </c>
      <c r="AH24" s="328">
        <f t="shared" si="3"/>
        <v>1</v>
      </c>
      <c r="AI24" s="13" t="str">
        <f t="shared" si="4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1"/>
        <v>43760</v>
      </c>
      <c r="D25" s="643" t="s">
        <v>205</v>
      </c>
      <c r="E25" s="633" t="str">
        <f t="shared" si="5"/>
        <v/>
      </c>
      <c r="F25" s="634" t="str">
        <f t="shared" si="6"/>
        <v/>
      </c>
      <c r="G25" s="626" t="s">
        <v>184</v>
      </c>
      <c r="H25" s="128">
        <f t="shared" si="0"/>
        <v>1</v>
      </c>
      <c r="I25" s="127" t="str">
        <f t="shared" si="7"/>
        <v/>
      </c>
      <c r="J25" s="299"/>
      <c r="K25" s="86">
        <v>4.55</v>
      </c>
      <c r="L25" s="11">
        <v>13</v>
      </c>
      <c r="M25" s="11"/>
      <c r="N25" s="369"/>
      <c r="O25" s="371">
        <f t="shared" si="8"/>
        <v>4.9166666666666661</v>
      </c>
      <c r="P25" s="73">
        <f t="shared" si="9"/>
        <v>13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>
        <f t="shared" si="13"/>
        <v>7.7500000000000009</v>
      </c>
      <c r="V25" s="372">
        <f t="shared" si="14"/>
        <v>1.0833333333333339</v>
      </c>
      <c r="W25" s="114">
        <f t="shared" si="15"/>
        <v>7.7500000000000009</v>
      </c>
      <c r="X25" s="161" t="str">
        <f>+IF(D25="cp",(I25*'Récapitulatif '!$AJ$3),"")</f>
        <v/>
      </c>
      <c r="Y25" s="163">
        <f t="shared" si="1"/>
        <v>1.0833333333333339</v>
      </c>
      <c r="Z25" s="154" t="str">
        <f t="shared" si="16"/>
        <v/>
      </c>
      <c r="AA25" s="154" t="str">
        <f t="shared" si="2"/>
        <v/>
      </c>
      <c r="AB25" s="479" t="str">
        <f t="shared" si="22"/>
        <v/>
      </c>
      <c r="AC25" s="475" t="str">
        <f t="shared" si="17"/>
        <v/>
      </c>
      <c r="AD25" s="118" t="str">
        <f t="shared" si="18"/>
        <v/>
      </c>
      <c r="AE25" s="261" t="str">
        <f t="shared" si="19"/>
        <v/>
      </c>
      <c r="AF25" s="292"/>
      <c r="AG25" s="174" t="str">
        <f t="shared" si="20"/>
        <v/>
      </c>
      <c r="AH25" s="328">
        <f t="shared" si="3"/>
        <v>1</v>
      </c>
      <c r="AI25" s="13" t="str">
        <f t="shared" si="4"/>
        <v/>
      </c>
    </row>
    <row r="26" spans="1:38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112">
        <f t="shared" si="21"/>
        <v>43761</v>
      </c>
      <c r="D26" s="643" t="s">
        <v>205</v>
      </c>
      <c r="E26" s="633" t="str">
        <f t="shared" si="5"/>
        <v/>
      </c>
      <c r="F26" s="634" t="str">
        <f t="shared" si="6"/>
        <v/>
      </c>
      <c r="G26" s="626" t="s">
        <v>184</v>
      </c>
      <c r="H26" s="128">
        <f t="shared" si="0"/>
        <v>1</v>
      </c>
      <c r="I26" s="127" t="str">
        <f t="shared" si="7"/>
        <v/>
      </c>
      <c r="J26" s="299"/>
      <c r="K26" s="86">
        <v>4.55</v>
      </c>
      <c r="L26" s="11">
        <v>13</v>
      </c>
      <c r="M26" s="11"/>
      <c r="N26" s="369"/>
      <c r="O26" s="371">
        <f t="shared" si="8"/>
        <v>4.9166666666666661</v>
      </c>
      <c r="P26" s="73">
        <f t="shared" si="9"/>
        <v>13</v>
      </c>
      <c r="Q26" s="73">
        <f t="shared" si="10"/>
        <v>0</v>
      </c>
      <c r="R26" s="73">
        <f t="shared" si="11"/>
        <v>0</v>
      </c>
      <c r="S26" s="73">
        <v>0.2</v>
      </c>
      <c r="T26" s="73">
        <f t="shared" si="12"/>
        <v>0.33333333333333337</v>
      </c>
      <c r="U26" s="12">
        <f t="shared" si="13"/>
        <v>7.7500000000000009</v>
      </c>
      <c r="V26" s="372">
        <f t="shared" si="14"/>
        <v>1.0833333333333339</v>
      </c>
      <c r="W26" s="114">
        <f t="shared" si="15"/>
        <v>7.7500000000000009</v>
      </c>
      <c r="X26" s="161" t="str">
        <f>+IF(D26="cp",(I26*'Récapitulatif '!$AJ$3),"")</f>
        <v/>
      </c>
      <c r="Y26" s="163">
        <f t="shared" si="1"/>
        <v>1.0833333333333339</v>
      </c>
      <c r="Z26" s="154" t="str">
        <f t="shared" si="16"/>
        <v/>
      </c>
      <c r="AA26" s="154" t="str">
        <f t="shared" si="2"/>
        <v/>
      </c>
      <c r="AB26" s="479" t="str">
        <f t="shared" si="22"/>
        <v/>
      </c>
      <c r="AC26" s="475" t="str">
        <f t="shared" si="17"/>
        <v/>
      </c>
      <c r="AD26" s="118" t="str">
        <f t="shared" si="18"/>
        <v/>
      </c>
      <c r="AE26" s="261" t="str">
        <f t="shared" si="19"/>
        <v/>
      </c>
      <c r="AF26" s="292"/>
      <c r="AG26" s="174" t="str">
        <f t="shared" si="20"/>
        <v/>
      </c>
      <c r="AH26" s="328">
        <f t="shared" si="3"/>
        <v>1</v>
      </c>
      <c r="AI26" s="13" t="str">
        <f t="shared" si="4"/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1"/>
        <v>43762</v>
      </c>
      <c r="D27" s="643" t="s">
        <v>205</v>
      </c>
      <c r="E27" s="633" t="str">
        <f t="shared" si="5"/>
        <v/>
      </c>
      <c r="F27" s="634" t="str">
        <f t="shared" si="6"/>
        <v/>
      </c>
      <c r="G27" s="626" t="s">
        <v>184</v>
      </c>
      <c r="H27" s="128">
        <f t="shared" si="0"/>
        <v>1</v>
      </c>
      <c r="I27" s="127" t="str">
        <f t="shared" si="7"/>
        <v/>
      </c>
      <c r="J27" s="299"/>
      <c r="K27" s="86">
        <v>4.55</v>
      </c>
      <c r="L27" s="11">
        <v>13</v>
      </c>
      <c r="M27" s="11"/>
      <c r="N27" s="369"/>
      <c r="O27" s="371">
        <f t="shared" si="8"/>
        <v>4.9166666666666661</v>
      </c>
      <c r="P27" s="73">
        <f t="shared" si="9"/>
        <v>13</v>
      </c>
      <c r="Q27" s="73">
        <f t="shared" si="10"/>
        <v>0</v>
      </c>
      <c r="R27" s="73">
        <f>+((N28-INT(N28))/60*100)+INT(N28)</f>
        <v>0</v>
      </c>
      <c r="S27" s="73">
        <v>0.2</v>
      </c>
      <c r="T27" s="73">
        <f t="shared" si="12"/>
        <v>0.33333333333333337</v>
      </c>
      <c r="U27" s="12">
        <f>+IF(D27="","",IF(D27="CP","",IF(D27="J2",((N28-M27)+(L27-K27)),IF(O27&lt;P27,P27-O27,P27+24-O27)-T27)))</f>
        <v>7.7500000000000009</v>
      </c>
      <c r="V27" s="372">
        <f t="shared" si="14"/>
        <v>1.0833333333333339</v>
      </c>
      <c r="W27" s="114">
        <f>+IF(U27&gt;=6,U27,IF(D27="J2",((N28-M27)+(L27-K27)),IF(O27&lt;P27,P27-O27,P27+24-O27)))</f>
        <v>7.7500000000000009</v>
      </c>
      <c r="X27" s="161" t="str">
        <f>+IF(D27="cp",(I27*'Récapitulatif '!$AJ$3),"")</f>
        <v/>
      </c>
      <c r="Y27" s="163">
        <f t="shared" si="1"/>
        <v>1.0833333333333339</v>
      </c>
      <c r="Z27" s="154" t="str">
        <f t="shared" si="16"/>
        <v/>
      </c>
      <c r="AA27" s="154" t="str">
        <f t="shared" si="2"/>
        <v/>
      </c>
      <c r="AB27" s="479" t="str">
        <f t="shared" si="22"/>
        <v/>
      </c>
      <c r="AC27" s="475" t="str">
        <f t="shared" si="17"/>
        <v/>
      </c>
      <c r="AD27" s="118" t="str">
        <f t="shared" si="18"/>
        <v/>
      </c>
      <c r="AE27" s="261" t="str">
        <f t="shared" si="19"/>
        <v/>
      </c>
      <c r="AF27" s="292"/>
      <c r="AG27" s="174" t="str">
        <f t="shared" si="20"/>
        <v/>
      </c>
      <c r="AH27" s="328">
        <f t="shared" si="3"/>
        <v>1</v>
      </c>
      <c r="AI27" s="13" t="str">
        <f t="shared" si="4"/>
        <v/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21"/>
        <v>43763</v>
      </c>
      <c r="D28" s="643" t="s">
        <v>205</v>
      </c>
      <c r="E28" s="633" t="str">
        <f t="shared" si="5"/>
        <v/>
      </c>
      <c r="F28" s="634" t="str">
        <f t="shared" si="6"/>
        <v/>
      </c>
      <c r="G28" s="626" t="s">
        <v>184</v>
      </c>
      <c r="H28" s="128">
        <f t="shared" si="0"/>
        <v>1</v>
      </c>
      <c r="I28" s="127" t="str">
        <f t="shared" si="7"/>
        <v/>
      </c>
      <c r="J28" s="299"/>
      <c r="K28" s="86">
        <v>4.55</v>
      </c>
      <c r="L28" s="11">
        <v>13</v>
      </c>
      <c r="M28" s="11"/>
      <c r="N28" s="369"/>
      <c r="O28" s="371">
        <f t="shared" si="8"/>
        <v>4.9166666666666661</v>
      </c>
      <c r="P28" s="73">
        <f t="shared" si="9"/>
        <v>13</v>
      </c>
      <c r="Q28" s="73">
        <f t="shared" si="10"/>
        <v>0</v>
      </c>
      <c r="R28" s="73" t="e">
        <f>+((#REF!-INT(#REF!))/60*100)+INT(#REF!)</f>
        <v>#REF!</v>
      </c>
      <c r="S28" s="73">
        <v>0.2</v>
      </c>
      <c r="T28" s="73">
        <f t="shared" si="12"/>
        <v>0.33333333333333337</v>
      </c>
      <c r="U28" s="12">
        <f>+IF(D28="","",IF(D28="CP","",IF(D28="J2",((#REF!-M28)+(L28-K28)),IF(O28&lt;P28,P28-O28,P28+24-O28)-T28)))</f>
        <v>7.7500000000000009</v>
      </c>
      <c r="V28" s="372">
        <f t="shared" si="14"/>
        <v>1.0833333333333339</v>
      </c>
      <c r="W28" s="114">
        <f>+IF(U28&gt;=6,U28,IF(D28="J2",((#REF!-M28)+(L28-K28)),IF(O28&lt;P28,P28-O28,P28+24-O28)))</f>
        <v>7.7500000000000009</v>
      </c>
      <c r="X28" s="161" t="str">
        <f>+IF(D28="cp",(I28*'Récapitulatif '!$AJ$3),"")</f>
        <v/>
      </c>
      <c r="Y28" s="163">
        <f t="shared" si="1"/>
        <v>1.0833333333333339</v>
      </c>
      <c r="Z28" s="154" t="str">
        <f t="shared" si="16"/>
        <v/>
      </c>
      <c r="AA28" s="154" t="str">
        <f t="shared" si="2"/>
        <v/>
      </c>
      <c r="AB28" s="479" t="str">
        <f t="shared" si="22"/>
        <v/>
      </c>
      <c r="AC28" s="475" t="str">
        <f t="shared" si="17"/>
        <v/>
      </c>
      <c r="AD28" s="118" t="str">
        <f t="shared" si="18"/>
        <v/>
      </c>
      <c r="AE28" s="261" t="str">
        <f t="shared" si="19"/>
        <v/>
      </c>
      <c r="AF28" s="292"/>
      <c r="AG28" s="174" t="str">
        <f t="shared" si="20"/>
        <v/>
      </c>
      <c r="AH28" s="328">
        <f t="shared" si="3"/>
        <v>1</v>
      </c>
      <c r="AI28" s="13" t="str">
        <f t="shared" si="4"/>
        <v/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21"/>
        <v>43764</v>
      </c>
      <c r="D29" s="643"/>
      <c r="E29" s="633" t="str">
        <f t="shared" si="5"/>
        <v/>
      </c>
      <c r="F29" s="634" t="str">
        <f t="shared" si="6"/>
        <v/>
      </c>
      <c r="G29" s="628"/>
      <c r="H29" s="128" t="str">
        <f t="shared" si="0"/>
        <v/>
      </c>
      <c r="I29" s="127" t="str">
        <f t="shared" si="7"/>
        <v/>
      </c>
      <c r="J29" s="299"/>
      <c r="K29" s="86"/>
      <c r="L29" s="11"/>
      <c r="M29" s="11"/>
      <c r="N29" s="369"/>
      <c r="O29" s="371">
        <f t="shared" si="8"/>
        <v>0</v>
      </c>
      <c r="P29" s="73">
        <f t="shared" si="9"/>
        <v>0</v>
      </c>
      <c r="Q29" s="73">
        <f t="shared" si="10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 t="str">
        <f t="shared" si="13"/>
        <v/>
      </c>
      <c r="V29" s="372" t="e">
        <f t="shared" si="14"/>
        <v>#VALUE!</v>
      </c>
      <c r="W29" s="114" t="str">
        <f t="shared" si="15"/>
        <v/>
      </c>
      <c r="X29" s="161" t="str">
        <f>+IF(D29="cp",(I29*'Récapitulatif '!$AJ$3),"")</f>
        <v/>
      </c>
      <c r="Y29" s="163" t="str">
        <f t="shared" si="1"/>
        <v/>
      </c>
      <c r="Z29" s="154" t="str">
        <f t="shared" si="16"/>
        <v/>
      </c>
      <c r="AA29" s="154" t="str">
        <f t="shared" si="2"/>
        <v/>
      </c>
      <c r="AB29" s="479" t="str">
        <f t="shared" si="22"/>
        <v/>
      </c>
      <c r="AC29" s="475" t="str">
        <f t="shared" si="17"/>
        <v/>
      </c>
      <c r="AD29" s="118" t="str">
        <f t="shared" si="18"/>
        <v/>
      </c>
      <c r="AE29" s="261" t="str">
        <f t="shared" si="19"/>
        <v/>
      </c>
      <c r="AF29" s="292"/>
      <c r="AG29" s="174" t="str">
        <f t="shared" si="20"/>
        <v/>
      </c>
      <c r="AH29" s="328" t="str">
        <f t="shared" si="3"/>
        <v/>
      </c>
      <c r="AI29" s="13" t="str">
        <f t="shared" si="4"/>
        <v/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21"/>
        <v>43765</v>
      </c>
      <c r="D30" s="646" t="s">
        <v>203</v>
      </c>
      <c r="E30" s="633" t="str">
        <f t="shared" si="5"/>
        <v/>
      </c>
      <c r="F30" s="634">
        <f t="shared" si="6"/>
        <v>1</v>
      </c>
      <c r="G30" s="628" t="s">
        <v>184</v>
      </c>
      <c r="H30" s="128">
        <f t="shared" si="0"/>
        <v>1</v>
      </c>
      <c r="I30" s="127" t="str">
        <f t="shared" si="7"/>
        <v/>
      </c>
      <c r="J30" s="299"/>
      <c r="K30" s="86">
        <v>21</v>
      </c>
      <c r="L30" s="11">
        <v>5</v>
      </c>
      <c r="M30" s="11"/>
      <c r="N30" s="369"/>
      <c r="O30" s="371">
        <f t="shared" si="8"/>
        <v>21</v>
      </c>
      <c r="P30" s="73">
        <f t="shared" si="9"/>
        <v>5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>
        <f t="shared" si="13"/>
        <v>7.666666666666667</v>
      </c>
      <c r="V30" s="372">
        <f t="shared" si="14"/>
        <v>8</v>
      </c>
      <c r="W30" s="114">
        <f t="shared" si="15"/>
        <v>7.666666666666667</v>
      </c>
      <c r="X30" s="161" t="str">
        <f>+IF(D30="cp",(I30*'Récapitulatif '!$AJ$3),"")</f>
        <v/>
      </c>
      <c r="Y30" s="163">
        <f t="shared" si="1"/>
        <v>7.666666666666667</v>
      </c>
      <c r="Z30" s="154" t="str">
        <f t="shared" si="16"/>
        <v/>
      </c>
      <c r="AA30" s="154">
        <f t="shared" si="2"/>
        <v>1</v>
      </c>
      <c r="AB30" s="479">
        <f t="shared" si="22"/>
        <v>46.416666666666671</v>
      </c>
      <c r="AC30" s="475" t="str">
        <f t="shared" si="17"/>
        <v/>
      </c>
      <c r="AD30" s="118">
        <f t="shared" si="18"/>
        <v>3</v>
      </c>
      <c r="AE30" s="261" t="str">
        <f t="shared" si="19"/>
        <v/>
      </c>
      <c r="AF30" s="292"/>
      <c r="AG30" s="174" t="str">
        <f t="shared" si="20"/>
        <v/>
      </c>
      <c r="AH30" s="328" t="str">
        <f t="shared" si="3"/>
        <v/>
      </c>
      <c r="AI30" s="13">
        <f t="shared" si="4"/>
        <v>1</v>
      </c>
    </row>
    <row r="31" spans="1:38">
      <c r="A31" s="482">
        <f>IF(WEEKDAY(C31,2)=1,INT((C31-SUM(MOD(DATE(YEAR(C31-MOD(C31-2,7)+3),1,2),{1E+99;7})*{1;-1})+5)/7),"")</f>
        <v>44</v>
      </c>
      <c r="B31" s="482" t="str">
        <f>IF(A31&lt;&gt;"",VLOOKUP(A31,juin!$L$49:$M$101,2,FALSE),"")</f>
        <v>Mystère</v>
      </c>
      <c r="C31" s="112">
        <f t="shared" si="21"/>
        <v>43766</v>
      </c>
      <c r="D31" s="646" t="s">
        <v>203</v>
      </c>
      <c r="E31" s="633" t="str">
        <f t="shared" si="5"/>
        <v/>
      </c>
      <c r="F31" s="634" t="str">
        <f t="shared" si="6"/>
        <v/>
      </c>
      <c r="G31" s="626" t="s">
        <v>184</v>
      </c>
      <c r="H31" s="128">
        <f t="shared" si="0"/>
        <v>1</v>
      </c>
      <c r="I31" s="127" t="str">
        <f t="shared" si="7"/>
        <v/>
      </c>
      <c r="J31" s="299"/>
      <c r="K31" s="86">
        <v>20.55</v>
      </c>
      <c r="L31" s="11">
        <v>5</v>
      </c>
      <c r="M31" s="11"/>
      <c r="N31" s="369"/>
      <c r="O31" s="371">
        <f t="shared" si="8"/>
        <v>20.916666666666668</v>
      </c>
      <c r="P31" s="73">
        <f t="shared" si="9"/>
        <v>5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>
        <f t="shared" si="13"/>
        <v>7.7499999999999991</v>
      </c>
      <c r="V31" s="372">
        <f t="shared" si="14"/>
        <v>8</v>
      </c>
      <c r="W31" s="114">
        <f t="shared" si="15"/>
        <v>7.7499999999999991</v>
      </c>
      <c r="X31" s="161" t="str">
        <f>+IF(D31="cp",(I31*'Récapitulatif '!$AJ$3),"")</f>
        <v/>
      </c>
      <c r="Y31" s="163">
        <f t="shared" si="1"/>
        <v>7.666666666666667</v>
      </c>
      <c r="Z31" s="154" t="str">
        <f t="shared" si="16"/>
        <v/>
      </c>
      <c r="AA31" s="154">
        <f t="shared" si="2"/>
        <v>1</v>
      </c>
      <c r="AB31" s="479" t="str">
        <f t="shared" si="22"/>
        <v/>
      </c>
      <c r="AC31" s="475" t="str">
        <f t="shared" si="17"/>
        <v/>
      </c>
      <c r="AD31" s="118" t="str">
        <f t="shared" si="18"/>
        <v/>
      </c>
      <c r="AE31" s="261" t="str">
        <f t="shared" si="19"/>
        <v/>
      </c>
      <c r="AF31" s="292"/>
      <c r="AG31" s="174" t="str">
        <f t="shared" si="20"/>
        <v/>
      </c>
      <c r="AH31" s="328" t="str">
        <f t="shared" si="3"/>
        <v/>
      </c>
      <c r="AI31" s="13">
        <f t="shared" si="4"/>
        <v>1</v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43767</v>
      </c>
      <c r="D32" s="646" t="s">
        <v>203</v>
      </c>
      <c r="E32" s="633" t="str">
        <f t="shared" si="5"/>
        <v/>
      </c>
      <c r="F32" s="634" t="str">
        <f t="shared" si="6"/>
        <v/>
      </c>
      <c r="G32" s="626" t="s">
        <v>184</v>
      </c>
      <c r="H32" s="128">
        <f t="shared" si="0"/>
        <v>1</v>
      </c>
      <c r="I32" s="127" t="str">
        <f t="shared" si="7"/>
        <v/>
      </c>
      <c r="J32" s="299"/>
      <c r="K32" s="86">
        <v>20.55</v>
      </c>
      <c r="L32" s="11">
        <v>5</v>
      </c>
      <c r="M32" s="11"/>
      <c r="N32" s="369"/>
      <c r="O32" s="371">
        <f t="shared" si="8"/>
        <v>20.916666666666668</v>
      </c>
      <c r="P32" s="73">
        <f t="shared" si="9"/>
        <v>5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>
        <f t="shared" si="13"/>
        <v>7.7499999999999991</v>
      </c>
      <c r="V32" s="372">
        <f t="shared" si="14"/>
        <v>8</v>
      </c>
      <c r="W32" s="114">
        <f t="shared" si="15"/>
        <v>7.7499999999999991</v>
      </c>
      <c r="X32" s="161" t="str">
        <f>+IF(D32="cp",(I32*'Récapitulatif '!$AJ$3),"")</f>
        <v/>
      </c>
      <c r="Y32" s="163">
        <f t="shared" si="1"/>
        <v>7.666666666666667</v>
      </c>
      <c r="Z32" s="154" t="str">
        <f t="shared" si="16"/>
        <v/>
      </c>
      <c r="AA32" s="154">
        <f t="shared" si="2"/>
        <v>1</v>
      </c>
      <c r="AB32" s="479" t="str">
        <f t="shared" si="22"/>
        <v/>
      </c>
      <c r="AC32" s="475" t="str">
        <f t="shared" si="17"/>
        <v/>
      </c>
      <c r="AD32" s="118" t="str">
        <f t="shared" si="18"/>
        <v/>
      </c>
      <c r="AE32" s="261" t="str">
        <f t="shared" si="19"/>
        <v/>
      </c>
      <c r="AF32" s="292"/>
      <c r="AG32" s="174" t="str">
        <f t="shared" si="20"/>
        <v/>
      </c>
      <c r="AH32" s="328" t="str">
        <f t="shared" si="3"/>
        <v/>
      </c>
      <c r="AI32" s="13">
        <f t="shared" si="4"/>
        <v>1</v>
      </c>
    </row>
    <row r="33" spans="1:39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112">
        <f>+IF(MONTH(C$31+2)=MONTH(C$31)+1,"",C$31+2)</f>
        <v>43768</v>
      </c>
      <c r="D33" s="646" t="s">
        <v>203</v>
      </c>
      <c r="E33" s="633" t="str">
        <f t="shared" si="5"/>
        <v/>
      </c>
      <c r="F33" s="634" t="str">
        <f t="shared" si="6"/>
        <v/>
      </c>
      <c r="G33" s="626" t="s">
        <v>184</v>
      </c>
      <c r="H33" s="128">
        <f t="shared" si="0"/>
        <v>1</v>
      </c>
      <c r="I33" s="127" t="str">
        <f t="shared" si="7"/>
        <v/>
      </c>
      <c r="J33" s="299"/>
      <c r="K33" s="86">
        <v>20.55</v>
      </c>
      <c r="L33" s="11">
        <v>5</v>
      </c>
      <c r="M33" s="11"/>
      <c r="N33" s="369"/>
      <c r="O33" s="371">
        <f t="shared" si="8"/>
        <v>20.916666666666668</v>
      </c>
      <c r="P33" s="73">
        <f t="shared" si="9"/>
        <v>5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>
        <f t="shared" si="13"/>
        <v>7.7499999999999991</v>
      </c>
      <c r="V33" s="372">
        <f t="shared" si="14"/>
        <v>8</v>
      </c>
      <c r="W33" s="114">
        <f t="shared" si="15"/>
        <v>7.7499999999999991</v>
      </c>
      <c r="X33" s="161" t="str">
        <f>+IF(D33="cp",(I33*'Récapitulatif '!$AJ$3),"")</f>
        <v/>
      </c>
      <c r="Y33" s="163">
        <f t="shared" si="1"/>
        <v>7.666666666666667</v>
      </c>
      <c r="Z33" s="154" t="str">
        <f t="shared" si="16"/>
        <v/>
      </c>
      <c r="AA33" s="154">
        <f t="shared" si="2"/>
        <v>1</v>
      </c>
      <c r="AB33" s="479" t="str">
        <f t="shared" si="22"/>
        <v/>
      </c>
      <c r="AC33" s="475" t="str">
        <f t="shared" si="17"/>
        <v/>
      </c>
      <c r="AD33" s="118" t="str">
        <f t="shared" si="18"/>
        <v/>
      </c>
      <c r="AE33" s="261" t="str">
        <f t="shared" si="19"/>
        <v/>
      </c>
      <c r="AF33" s="292"/>
      <c r="AG33" s="174" t="str">
        <f t="shared" si="20"/>
        <v/>
      </c>
      <c r="AH33" s="328" t="str">
        <f t="shared" si="3"/>
        <v/>
      </c>
      <c r="AI33" s="13">
        <f t="shared" si="4"/>
        <v>1</v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>
        <f>+IF(MONTH(C$31+3)=MONTH(C$31)+1,"",C$31+3)</f>
        <v>43769</v>
      </c>
      <c r="D34" s="649"/>
      <c r="E34" s="635" t="str">
        <f t="shared" si="5"/>
        <v/>
      </c>
      <c r="F34" s="636" t="str">
        <f t="shared" si="6"/>
        <v/>
      </c>
      <c r="G34" s="629"/>
      <c r="H34" s="128" t="str">
        <f t="shared" si="0"/>
        <v/>
      </c>
      <c r="I34" s="127" t="str">
        <f t="shared" si="7"/>
        <v/>
      </c>
      <c r="J34" s="300"/>
      <c r="K34" s="87"/>
      <c r="L34" s="14"/>
      <c r="M34" s="14"/>
      <c r="N34" s="370"/>
      <c r="O34" s="373">
        <f t="shared" si="8"/>
        <v>0</v>
      </c>
      <c r="P34" s="202">
        <f t="shared" si="9"/>
        <v>0</v>
      </c>
      <c r="Q34" s="202">
        <f t="shared" si="10"/>
        <v>0</v>
      </c>
      <c r="R34" s="202">
        <f t="shared" si="11"/>
        <v>0</v>
      </c>
      <c r="S34" s="202">
        <v>0.2</v>
      </c>
      <c r="T34" s="202">
        <f t="shared" si="12"/>
        <v>0.33333333333333337</v>
      </c>
      <c r="U34" s="203" t="str">
        <f t="shared" si="13"/>
        <v/>
      </c>
      <c r="V34" s="374" t="e">
        <f t="shared" si="14"/>
        <v>#VALUE!</v>
      </c>
      <c r="W34" s="115" t="str">
        <f t="shared" si="15"/>
        <v/>
      </c>
      <c r="X34" s="204" t="str">
        <f>+IF(D34="cp",(I34*'Récapitulatif '!$AJ$3),"")</f>
        <v/>
      </c>
      <c r="Y34" s="164" t="str">
        <f t="shared" si="1"/>
        <v/>
      </c>
      <c r="Z34" s="154" t="str">
        <f t="shared" si="16"/>
        <v/>
      </c>
      <c r="AA34" s="154" t="str">
        <f t="shared" si="2"/>
        <v/>
      </c>
      <c r="AB34" s="480" t="str">
        <f t="shared" si="22"/>
        <v/>
      </c>
      <c r="AC34" s="476" t="str">
        <f t="shared" si="17"/>
        <v/>
      </c>
      <c r="AD34" s="120" t="str">
        <f t="shared" si="18"/>
        <v/>
      </c>
      <c r="AE34" s="262" t="str">
        <f t="shared" si="19"/>
        <v/>
      </c>
      <c r="AF34" s="324"/>
      <c r="AG34" s="296" t="str">
        <f t="shared" si="20"/>
        <v/>
      </c>
      <c r="AH34" s="329" t="str">
        <f t="shared" si="3"/>
        <v/>
      </c>
      <c r="AI34" s="15" t="str">
        <f t="shared" si="4"/>
        <v/>
      </c>
    </row>
    <row r="35" spans="1:39" ht="13.5" hidden="1" thickBot="1">
      <c r="A35" s="482" t="e">
        <f>INT((C35-SUM(MOD(DATE(YEAR(C35-MOD(C35-2,7)+3),1,2),{1E+99;7})*{1;-1})+5)/7)</f>
        <v>#NUM!</v>
      </c>
      <c r="B35" s="482" t="e">
        <f>IF(A35&lt;&gt;"",VLOOKUP(A35,juin!$L$49:$M$101,2,FALSE),"")</f>
        <v>#NUM!</v>
      </c>
      <c r="C35" s="191"/>
      <c r="D35" s="192"/>
      <c r="E35" s="192"/>
      <c r="F35" s="622" t="str">
        <f t="shared" si="6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23.249999999999996</v>
      </c>
      <c r="AC35" s="199"/>
      <c r="AD35" s="199"/>
      <c r="AE35" s="174" t="e">
        <f>+IF(OR($C$4:$C$34=C99),W35,"")</f>
        <v>#VALUE!</v>
      </c>
      <c r="AF35" s="269"/>
      <c r="AG35" s="174" t="str">
        <f>+IF(AND($C$4:$C$43=($C$70-1),$D$4:$D$43="N"),(L35-T35),IF(AND($C$4:$C$43=($C$70),$D$4:$D$43="N"),(24-K35),IF(AND($C$4:$C$43=($C$67-1),$D$4:$D$43="N"),(L35-T35),IF(AND($C$4:$C$43=($C$67),$D$4:$D$43="N"),(24-K35),IF(OR($C$4:$C$43=($C$66),$C$4:$C$43=$C$67),$W35,"")))))</f>
        <v/>
      </c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0</v>
      </c>
      <c r="E37" s="609"/>
      <c r="F37" s="609"/>
      <c r="G37" s="836" t="s">
        <v>206</v>
      </c>
      <c r="H37" s="837"/>
      <c r="I37" s="837"/>
      <c r="J37" s="837"/>
      <c r="K37" s="616">
        <f>SUM(E4:E34)</f>
        <v>1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175.25</v>
      </c>
      <c r="X37" s="151">
        <f>SUM(X4:X34)</f>
        <v>0</v>
      </c>
      <c r="Y37" s="117">
        <f t="shared" ref="Y37:AI37" si="25">SUM(Y4:Y34)</f>
        <v>98.166666666666671</v>
      </c>
      <c r="Z37" s="155">
        <f>SUM(Z4:Z34)</f>
        <v>0</v>
      </c>
      <c r="AA37" s="155">
        <f>SUM(AA4:AA34)-Z37</f>
        <v>12</v>
      </c>
      <c r="AC37" s="121">
        <f t="shared" si="25"/>
        <v>0</v>
      </c>
      <c r="AD37" s="122">
        <f t="shared" si="25"/>
        <v>12.916666666666668</v>
      </c>
      <c r="AE37" s="123">
        <f t="shared" si="25"/>
        <v>0</v>
      </c>
      <c r="AF37" s="121">
        <f>SUM(AF4:AF34)</f>
        <v>0</v>
      </c>
      <c r="AG37" s="123">
        <f>SUM(AG4:AG34)</f>
        <v>0</v>
      </c>
      <c r="AH37" s="314">
        <f t="shared" si="25"/>
        <v>11</v>
      </c>
      <c r="AI37" s="23">
        <f t="shared" si="25"/>
        <v>12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23</v>
      </c>
      <c r="E39" s="609"/>
      <c r="F39" s="609"/>
      <c r="G39" s="836" t="s">
        <v>207</v>
      </c>
      <c r="H39" s="837"/>
      <c r="I39" s="837"/>
      <c r="J39" s="837"/>
      <c r="K39" s="616">
        <f>SUM(F4:F34)</f>
        <v>2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175.25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2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+(Septembre!AE41+Y41)-AC41</f>
        <v>51.063333333333333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45.666666666666671</v>
      </c>
      <c r="M43" s="505">
        <f>COUNTIF($D$4:$D$34,"M")</f>
        <v>6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36.999999999999993</v>
      </c>
      <c r="M44" s="504">
        <f>COUNTIF($D$4:$D$34,"aM")</f>
        <v>5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92.583333333333329</v>
      </c>
      <c r="M45" s="506">
        <f>COUNTIF($D$4:$D$34,"n")</f>
        <v>12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58" spans="3:14" hidden="1"/>
    <row r="59" spans="3:14" ht="13.5" hidden="1" thickBot="1"/>
    <row r="60" spans="3:14" hidden="1">
      <c r="C60" s="813" t="s">
        <v>108</v>
      </c>
      <c r="D60" s="814"/>
      <c r="E60" s="814"/>
      <c r="F60" s="814"/>
      <c r="G60" s="815"/>
    </row>
    <row r="61" spans="3:14" ht="13.5" hidden="1" thickBot="1">
      <c r="C61" s="816">
        <f>+juin!C52</f>
        <v>2019</v>
      </c>
      <c r="D61" s="817"/>
      <c r="E61" s="817"/>
      <c r="F61" s="817"/>
      <c r="G61" s="818"/>
    </row>
    <row r="62" spans="3:14" ht="15" hidden="1">
      <c r="C62" s="666">
        <f>+DATE(C61,1,1)</f>
        <v>43466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AE55-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43586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43593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43615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43626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43660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43692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43770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43780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43824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E80E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72" priority="9" stopIfTrue="1">
      <formula>OR(WEEKDAY($C4)=1)</formula>
    </cfRule>
  </conditionalFormatting>
  <conditionalFormatting sqref="AB4:AB34">
    <cfRule type="expression" dxfId="71" priority="10" stopIfTrue="1">
      <formula>OR(WEEKDAY($C4)=1)</formula>
    </cfRule>
  </conditionalFormatting>
  <conditionalFormatting sqref="A35:B35">
    <cfRule type="expression" dxfId="70" priority="7" stopIfTrue="1">
      <formula>OR(WEEKDAY($C35)=1)</formula>
    </cfRule>
  </conditionalFormatting>
  <conditionalFormatting sqref="A4:B34 B5:B35">
    <cfRule type="expression" dxfId="69" priority="6" stopIfTrue="1">
      <formula>OR(WEEKDAY($C4)=1)</formula>
    </cfRule>
  </conditionalFormatting>
  <conditionalFormatting sqref="A4:B34 B5:B35">
    <cfRule type="expression" dxfId="68" priority="5" stopIfTrue="1">
      <formula>OR(WEEKDAY($C4)=1)</formula>
    </cfRule>
  </conditionalFormatting>
  <conditionalFormatting sqref="G5:G13">
    <cfRule type="expression" dxfId="67" priority="4" stopIfTrue="1">
      <formula>OR(WEEKDAY($C5)=1)</formula>
    </cfRule>
  </conditionalFormatting>
  <conditionalFormatting sqref="G17:G21">
    <cfRule type="expression" dxfId="66" priority="3" stopIfTrue="1">
      <formula>OR(WEEKDAY($C17)=1)</formula>
    </cfRule>
  </conditionalFormatting>
  <conditionalFormatting sqref="G24:G28">
    <cfRule type="expression" dxfId="65" priority="2" stopIfTrue="1">
      <formula>OR(WEEKDAY($C24)=1)</formula>
    </cfRule>
  </conditionalFormatting>
  <conditionalFormatting sqref="G31:G33">
    <cfRule type="expression" dxfId="64" priority="1" stopIfTrue="1">
      <formula>OR(WEEKDAY($C31)=1)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8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M77"/>
  <sheetViews>
    <sheetView showGridLines="0" view="pageBreakPreview" zoomScaleNormal="75" zoomScaleSheetLayoutView="100" workbookViewId="0">
      <selection activeCell="Y44" sqref="Y44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+Octobre!C34+1</f>
        <v>43770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43770</v>
      </c>
      <c r="D4" s="641"/>
      <c r="E4" s="633" t="str">
        <f>+IF(AND(WEEKDAY(C4)=1,D4="M"),1,"")</f>
        <v/>
      </c>
      <c r="F4" s="634" t="str">
        <f>+IF(AND(WEEKDAY(C4)=1,D4="N"),1,"")</f>
        <v/>
      </c>
      <c r="G4" s="625"/>
      <c r="H4" s="128" t="str">
        <f t="shared" ref="H4:H34" si="0">+IF(OR(D4="",D4="CP"),"",1)</f>
        <v/>
      </c>
      <c r="I4" s="127" t="str">
        <f>+IF(D4="cp",1,"")</f>
        <v/>
      </c>
      <c r="J4" s="298"/>
      <c r="K4" s="85"/>
      <c r="L4" s="8"/>
      <c r="M4" s="8"/>
      <c r="N4" s="368"/>
      <c r="O4" s="371">
        <f>+((K4-INT(K4))/60*100)+INT(K4)</f>
        <v>0</v>
      </c>
      <c r="P4" s="73">
        <f>+((L4-INT(L4))/60*100)+INT(L4)</f>
        <v>0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 t="str">
        <f>+IF(D4="","",IF(D4="CP","",IF(D4="J2",((N4-M4)+(L4-K4)),IF(O4&lt;P4,P4-O4,P4+24-O4)-T4)))</f>
        <v/>
      </c>
      <c r="V4" s="372" t="e">
        <f>IF(O4&lt;P4,IF(K4="","",IF(O4&gt;$D$75,24-O4,IF(O4&lt;$D$76,$D$76-O4,0)))+IF(P4&lt;$D$76,P4,IF(P4&gt;$D$75,P4-$D$75,0)),IF(K4="","",IF(O4&gt;$D$75,24-O4,IF(O4&lt;$D$76,$D$76-O4,3)))+IF(P4&lt;$D$76,P4,IF(P4&gt;$D$75,24-P4,P4)))</f>
        <v>#VALUE!</v>
      </c>
      <c r="W4" s="113" t="str">
        <f>+IF(U4&gt;=6,U4,IF(D4="J2",((N4-M4)+(L4-K4)),IF(O4&lt;P4,P4-O4,P4+24-O4)))</f>
        <v/>
      </c>
      <c r="X4" s="249" t="str">
        <f>+IF(D4="cp",(I4*'Récapitulatif '!$AJ$3),"")</f>
        <v/>
      </c>
      <c r="Y4" s="162" t="str">
        <f t="shared" ref="Y4:Y33" si="1">+IF(OR(D4="CP",D4=""),"",(IF(V4&gt;6,V4-T4,V4)))</f>
        <v/>
      </c>
      <c r="Z4" s="154" t="str">
        <f>+IF(D4="CP",1,"")</f>
        <v/>
      </c>
      <c r="AA4" s="154" t="str">
        <f t="shared" ref="AA4:AA34" si="2">+IF(AND(Y4&gt;=3,D4&lt;&gt;""),1,"")</f>
        <v/>
      </c>
      <c r="AB4" s="478" t="str">
        <f>+IF(WEEKDAY(C4)=1,(SUM(W$4:X4)+(Octobre!$AB$35)),"")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+AG4</f>
        <v/>
      </c>
      <c r="AF4" s="474">
        <f>+IF(AND(WEEKDAY(C4)=1,$C$4:$C$34=$C$70),"",IF(AND($C$4:$C$34=$C$70,D4=""),'Récapitulatif '!$AJ$3,IF(AND(D4="N",AG4&lt;&gt;""),('Récapitulatif '!$AJ$3-AG4),IF(AND(WEEKDAY(C4)=1,$C$4:$C$34=$C$71),"",IF(AND($C$4:$C$34=$C$71,D4=""),'Récapitulatif '!$AJ$3,IF(AND(D4="N",AG4&lt;&gt;""),('Récapitulatif '!$AJ$3-AG4),""))))))</f>
        <v>6.9</v>
      </c>
      <c r="AG4" s="295" t="str">
        <f>+IF(AND($C$4:$C$43=($C$70-1),$D$4:$D$43="N"),(L4-T4),IF(AND($C$4:$C$43=($C$70),$D$4:$D$43="N"),(24-K4),IF(AND($C$4:$C$43=($C$71-1),$D$4:$D$43="N"),(L4-T4),IF(AND($C$4:$C$43=($C$71),$D$4:$D$43="N"),(24-K4),IF(OR($C$4:$C$43=($C$70),$C$4:$C$43=$C$71),$W4,"")))))</f>
        <v/>
      </c>
      <c r="AH4" s="380" t="str">
        <f t="shared" ref="AH4:AH33" si="3">IF(K4="","",IF(D4="J2","",IF(AI4=1,"",IF(U4&gt;=6,1,""))))</f>
        <v/>
      </c>
      <c r="AI4" s="9" t="str">
        <f t="shared" ref="AI4:AI33" si="4">+IF(K4="","",IF(Y4&gt;=4,1,""))</f>
        <v/>
      </c>
      <c r="AJ4" s="10"/>
      <c r="AL4" s="92" t="s">
        <v>64</v>
      </c>
    </row>
    <row r="5" spans="1:38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112">
        <f>+C4+1</f>
        <v>43771</v>
      </c>
      <c r="D5" s="646"/>
      <c r="E5" s="633" t="str">
        <f t="shared" ref="E5:E34" si="5">+IF(AND(WEEKDAY(C5)=1,D5="M"),1,"")</f>
        <v/>
      </c>
      <c r="F5" s="634" t="str">
        <f t="shared" ref="F5:F35" si="6">+IF(AND(WEEKDAY(C5)=1,D5="N"),1,"")</f>
        <v/>
      </c>
      <c r="G5" s="626"/>
      <c r="H5" s="128" t="str">
        <f t="shared" si="0"/>
        <v/>
      </c>
      <c r="I5" s="127" t="str">
        <f t="shared" ref="I5:I34" si="7">+IF(D5="cp",1,"")</f>
        <v/>
      </c>
      <c r="J5" s="299"/>
      <c r="K5" s="86"/>
      <c r="L5" s="11"/>
      <c r="M5" s="11"/>
      <c r="N5" s="369"/>
      <c r="O5" s="371">
        <f t="shared" ref="O5:O33" si="8">+((K5-INT(K5))/60*100)+INT(K5)</f>
        <v>0</v>
      </c>
      <c r="P5" s="73">
        <f t="shared" ref="P5:P33" si="9">+((L5-INT(L5))/60*100)+INT(L5)</f>
        <v>0</v>
      </c>
      <c r="Q5" s="73">
        <f t="shared" ref="Q5:Q33" si="10">+((M5-INT(M5))/60*100)+INT(M5)</f>
        <v>0</v>
      </c>
      <c r="R5" s="73">
        <f t="shared" ref="R5:R33" si="11">+((N5-INT(N5))/60*100)+INT(N5)</f>
        <v>0</v>
      </c>
      <c r="S5" s="73">
        <v>0.2</v>
      </c>
      <c r="T5" s="73">
        <f t="shared" ref="T5:T33" si="12">+(S5/60*100)</f>
        <v>0.33333333333333337</v>
      </c>
      <c r="U5" s="12" t="str">
        <f t="shared" ref="U5:U33" si="13">+IF(D5="","",IF(D5="CP","",IF(D5="J2",((N5-M5)+(L5-K5)),IF(O5&lt;P5,P5-O5,P5+24-O5)-T5)))</f>
        <v/>
      </c>
      <c r="V5" s="372" t="e">
        <f t="shared" ref="V5:V34" si="14">IF(O5&lt;P5,IF(K5="","",IF(O5&gt;$D$75,24-O5,IF(O5&lt;$D$76,$D$76-O5,0)))+IF(P5&lt;$D$76,P5,IF(P5&gt;$D$75,P5-$D$75,0)),IF(K5="","",IF(O5&gt;$D$75,24-O5,IF(O5&lt;$D$76,$D$76-O5,3)))+IF(P5&lt;$D$76,P5,IF(P5&gt;$D$75,24-P5,P5)))</f>
        <v>#VALUE!</v>
      </c>
      <c r="W5" s="114" t="str">
        <f t="shared" ref="W5:W33" si="15">+IF(U5&gt;=6,U5,IF(D5="J2",((N5-M5)+(L5-K5)),IF(O5&lt;P5,P5-O5,P5+24-O5)))</f>
        <v/>
      </c>
      <c r="X5" s="161" t="str">
        <f>+IF(D5="cp",(I5*'Récapitulatif '!$AJ$3),"")</f>
        <v/>
      </c>
      <c r="Y5" s="163" t="str">
        <f t="shared" si="1"/>
        <v/>
      </c>
      <c r="Z5" s="154" t="str">
        <f t="shared" ref="Z5:Z34" si="16">+IF(D5="CP",1,"")</f>
        <v/>
      </c>
      <c r="AA5" s="154" t="str">
        <f t="shared" si="2"/>
        <v/>
      </c>
      <c r="AB5" s="479" t="str">
        <f>+IF(WEEKDAY(C5)=1,(SUM(W$4:X5)+(Octobre!$AB$35)),"")</f>
        <v/>
      </c>
      <c r="AC5" s="475" t="str">
        <f t="shared" ref="AC5:AC33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 t="str">
        <f t="shared" ref="AE5:AE34" si="19">+AG5</f>
        <v/>
      </c>
      <c r="AF5" s="475" t="str">
        <f>+IF(AND(WEEKDAY(C5)=1,$C$4:$C$34=$C$70),"",IF(AND($C$4:$C$34=$C$70,D5=""),'Récapitulatif '!$AJ$3,IF(AND(D5="N",AG5&lt;&gt;""),('Récapitulatif '!$AJ$3-AG5),IF(AND(WEEKDAY(C5)=1,$C$4:$C$34=$C$71),"",IF(AND($C$4:$C$34=$C$71,D5=""),'Récapitulatif '!$AJ$3,IF(AND(D5="N",AG5&lt;&gt;""),('Récapitulatif '!$AJ$3-AG5),""))))))</f>
        <v/>
      </c>
      <c r="AG5" s="261" t="str">
        <f t="shared" ref="AG5:AG34" si="20">+IF(AND($C$4:$C$43=($C$70-1),$D$4:$D$43="N"),(L5-T5),IF(AND($C$4:$C$43=($C$70),$D$4:$D$43="N"),(24-K5),IF(AND($C$4:$C$43=($C$71-1),$D$4:$D$43="N"),(L5-T5),IF(AND($C$4:$C$43=($C$71),$D$4:$D$43="N"),(24-K5),IF(OR($C$4:$C$43=($C$70),$C$4:$C$43=$C$71),$W5,"")))))</f>
        <v/>
      </c>
      <c r="AH5" s="218" t="str">
        <f t="shared" si="3"/>
        <v/>
      </c>
      <c r="AI5" s="13" t="str">
        <f t="shared" si="4"/>
        <v/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1">+C5+1</f>
        <v>43772</v>
      </c>
      <c r="D6" s="646" t="s">
        <v>203</v>
      </c>
      <c r="E6" s="633" t="str">
        <f t="shared" si="5"/>
        <v/>
      </c>
      <c r="F6" s="634">
        <f t="shared" si="6"/>
        <v>1</v>
      </c>
      <c r="G6" s="626" t="s">
        <v>184</v>
      </c>
      <c r="H6" s="128">
        <f t="shared" si="0"/>
        <v>1</v>
      </c>
      <c r="I6" s="127" t="str">
        <f t="shared" si="7"/>
        <v/>
      </c>
      <c r="J6" s="299"/>
      <c r="K6" s="86">
        <v>20.55</v>
      </c>
      <c r="L6" s="11">
        <v>5</v>
      </c>
      <c r="M6" s="11"/>
      <c r="N6" s="369"/>
      <c r="O6" s="371">
        <f t="shared" si="8"/>
        <v>20.916666666666668</v>
      </c>
      <c r="P6" s="73">
        <f t="shared" si="9"/>
        <v>5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>
        <f t="shared" si="13"/>
        <v>7.7499999999999991</v>
      </c>
      <c r="V6" s="372">
        <f t="shared" si="14"/>
        <v>8</v>
      </c>
      <c r="W6" s="114">
        <f t="shared" si="15"/>
        <v>7.7499999999999991</v>
      </c>
      <c r="X6" s="161" t="str">
        <f>+IF(D6="cp",(I6*'Récapitulatif '!$AJ$3),"")</f>
        <v/>
      </c>
      <c r="Y6" s="163">
        <f t="shared" si="1"/>
        <v>7.666666666666667</v>
      </c>
      <c r="Z6" s="154" t="str">
        <f t="shared" si="16"/>
        <v/>
      </c>
      <c r="AA6" s="154">
        <f t="shared" si="2"/>
        <v>1</v>
      </c>
      <c r="AB6" s="479">
        <f>+IF(WEEKDAY(C6)=1,(SUM(W$4:X6)+(Octobre!$AB$35)),"")</f>
        <v>30.999999999999996</v>
      </c>
      <c r="AC6" s="475" t="str">
        <f t="shared" si="17"/>
        <v/>
      </c>
      <c r="AD6" s="118">
        <f t="shared" si="18"/>
        <v>3.0833333333333321</v>
      </c>
      <c r="AE6" s="261" t="str">
        <f t="shared" si="19"/>
        <v/>
      </c>
      <c r="AF6" s="475" t="str">
        <f>+IF(AND(WEEKDAY(C6)=1,$C$4:$C$34=$C$70),"",IF(AND($C$4:$C$34=$C$70,D6=""),'Récapitulatif '!$AJ$3,IF(AND(D6="N",AG6&lt;&gt;""),('Récapitulatif '!$AJ$3-AG6),IF(AND(WEEKDAY(C6)=1,$C$4:$C$34=$C$71),"",IF(AND($C$4:$C$34=$C$71,D6=""),'Récapitulatif '!$AJ$3,IF(AND(D6="N",AG6&lt;&gt;""),('Récapitulatif '!$AJ$3-AG6),""))))))</f>
        <v/>
      </c>
      <c r="AG6" s="261" t="str">
        <f t="shared" si="20"/>
        <v/>
      </c>
      <c r="AH6" s="218" t="str">
        <f t="shared" si="3"/>
        <v/>
      </c>
      <c r="AI6" s="13">
        <f t="shared" si="4"/>
        <v>1</v>
      </c>
      <c r="AJ6" s="10"/>
      <c r="AL6" s="1" t="s">
        <v>82</v>
      </c>
    </row>
    <row r="7" spans="1:38">
      <c r="A7" s="482">
        <f>IF(WEEKDAY(C7,2)=1,INT((C7-SUM(MOD(DATE(YEAR(C7-MOD(C7-2,7)+3),1,2),{1E+99;7})*{1;-1})+5)/7),"")</f>
        <v>45</v>
      </c>
      <c r="B7" s="482" t="str">
        <f>IF(A7&lt;&gt;"",VLOOKUP(A7,juin!$L$49:$M$101,2,FALSE),"")</f>
        <v>Nuit</v>
      </c>
      <c r="C7" s="112">
        <f t="shared" si="21"/>
        <v>43773</v>
      </c>
      <c r="D7" s="646" t="s">
        <v>203</v>
      </c>
      <c r="E7" s="633" t="str">
        <f t="shared" si="5"/>
        <v/>
      </c>
      <c r="F7" s="634" t="str">
        <f t="shared" si="6"/>
        <v/>
      </c>
      <c r="G7" s="628" t="s">
        <v>184</v>
      </c>
      <c r="H7" s="128">
        <f t="shared" si="0"/>
        <v>1</v>
      </c>
      <c r="I7" s="127" t="str">
        <f t="shared" si="7"/>
        <v/>
      </c>
      <c r="J7" s="299"/>
      <c r="K7" s="86">
        <v>20.55</v>
      </c>
      <c r="L7" s="11">
        <v>5</v>
      </c>
      <c r="M7" s="11"/>
      <c r="N7" s="369"/>
      <c r="O7" s="371">
        <f t="shared" si="8"/>
        <v>20.916666666666668</v>
      </c>
      <c r="P7" s="73">
        <f t="shared" si="9"/>
        <v>5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>
        <f t="shared" si="13"/>
        <v>7.7499999999999991</v>
      </c>
      <c r="V7" s="372">
        <f t="shared" si="14"/>
        <v>8</v>
      </c>
      <c r="W7" s="114">
        <f t="shared" si="15"/>
        <v>7.7499999999999991</v>
      </c>
      <c r="X7" s="161" t="str">
        <f>+IF(D7="cp",(I7*'Récapitulatif '!$AJ$3),"")</f>
        <v/>
      </c>
      <c r="Y7" s="163">
        <f t="shared" si="1"/>
        <v>7.666666666666667</v>
      </c>
      <c r="Z7" s="154" t="str">
        <f t="shared" si="16"/>
        <v/>
      </c>
      <c r="AA7" s="154">
        <f t="shared" si="2"/>
        <v>1</v>
      </c>
      <c r="AB7" s="479" t="str">
        <f>+IF(WEEKDAY(C7)=1,(SUM(W$4:X7)+(Octobre!$AB$35)),"")</f>
        <v/>
      </c>
      <c r="AC7" s="475" t="str">
        <f t="shared" si="17"/>
        <v/>
      </c>
      <c r="AD7" s="118" t="str">
        <f t="shared" si="18"/>
        <v/>
      </c>
      <c r="AE7" s="261" t="str">
        <f t="shared" si="19"/>
        <v/>
      </c>
      <c r="AF7" s="475" t="str">
        <f>+IF(AND(WEEKDAY(C7)=1,$C$4:$C$34=$C$70),"",IF(AND($C$4:$C$34=$C$70,D7=""),'Récapitulatif '!$AJ$3,IF(AND(D7="N",AG7&lt;&gt;""),('Récapitulatif '!$AJ$3-AG7),IF(AND(WEEKDAY(C7)=1,$C$4:$C$34=$C$71),"",IF(AND($C$4:$C$34=$C$71,D7=""),'Récapitulatif '!$AJ$3,IF(AND(D7="N",AG7&lt;&gt;""),('Récapitulatif '!$AJ$3-AG7),""))))))</f>
        <v/>
      </c>
      <c r="AG7" s="261" t="str">
        <f t="shared" si="20"/>
        <v/>
      </c>
      <c r="AH7" s="218" t="str">
        <f t="shared" si="3"/>
        <v/>
      </c>
      <c r="AI7" s="13">
        <f t="shared" si="4"/>
        <v>1</v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21"/>
        <v>43774</v>
      </c>
      <c r="D8" s="646" t="s">
        <v>203</v>
      </c>
      <c r="E8" s="633" t="str">
        <f t="shared" si="5"/>
        <v/>
      </c>
      <c r="F8" s="634" t="str">
        <f t="shared" si="6"/>
        <v/>
      </c>
      <c r="G8" s="626" t="s">
        <v>184</v>
      </c>
      <c r="H8" s="128">
        <f t="shared" si="0"/>
        <v>1</v>
      </c>
      <c r="I8" s="127" t="str">
        <f t="shared" si="7"/>
        <v/>
      </c>
      <c r="J8" s="299"/>
      <c r="K8" s="86">
        <v>20.55</v>
      </c>
      <c r="L8" s="11">
        <v>5</v>
      </c>
      <c r="M8" s="11"/>
      <c r="N8" s="369"/>
      <c r="O8" s="371">
        <f t="shared" si="8"/>
        <v>20.916666666666668</v>
      </c>
      <c r="P8" s="73">
        <f t="shared" si="9"/>
        <v>5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>
        <f t="shared" si="13"/>
        <v>7.7499999999999991</v>
      </c>
      <c r="V8" s="372">
        <f t="shared" si="14"/>
        <v>8</v>
      </c>
      <c r="W8" s="114">
        <f t="shared" si="15"/>
        <v>7.7499999999999991</v>
      </c>
      <c r="X8" s="161" t="str">
        <f>+IF(D8="cp",(I8*'Récapitulatif '!$AJ$3),"")</f>
        <v/>
      </c>
      <c r="Y8" s="163">
        <f t="shared" si="1"/>
        <v>7.666666666666667</v>
      </c>
      <c r="Z8" s="154" t="str">
        <f t="shared" si="16"/>
        <v/>
      </c>
      <c r="AA8" s="154">
        <f t="shared" si="2"/>
        <v>1</v>
      </c>
      <c r="AB8" s="479" t="str">
        <f>+IF(WEEKDAY(C8)=1,(SUM(W$4:X8)+(Octobre!$AB$35)),"")</f>
        <v/>
      </c>
      <c r="AC8" s="475" t="str">
        <f t="shared" si="17"/>
        <v/>
      </c>
      <c r="AD8" s="118" t="str">
        <f t="shared" si="18"/>
        <v/>
      </c>
      <c r="AE8" s="261" t="str">
        <f t="shared" si="19"/>
        <v/>
      </c>
      <c r="AF8" s="475" t="str">
        <f>+IF(AND(WEEKDAY(C8)=1,$C$4:$C$34=$C$70),"",IF(AND($C$4:$C$34=$C$70,D8=""),'Récapitulatif '!$AJ$3,IF(AND(D8="N",AG8&lt;&gt;""),('Récapitulatif '!$AJ$3-AG8),IF(AND(WEEKDAY(C8)=1,$C$4:$C$34=$C$71),"",IF(AND($C$4:$C$34=$C$71,D8=""),'Récapitulatif '!$AJ$3,IF(AND(D8="N",AG8&lt;&gt;""),('Récapitulatif '!$AJ$3-AG8),""))))))</f>
        <v/>
      </c>
      <c r="AG8" s="261" t="str">
        <f t="shared" si="20"/>
        <v/>
      </c>
      <c r="AH8" s="218" t="str">
        <f t="shared" si="3"/>
        <v/>
      </c>
      <c r="AI8" s="13">
        <f t="shared" si="4"/>
        <v>1</v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21"/>
        <v>43775</v>
      </c>
      <c r="D9" s="646" t="s">
        <v>203</v>
      </c>
      <c r="E9" s="633" t="str">
        <f t="shared" si="5"/>
        <v/>
      </c>
      <c r="F9" s="634" t="str">
        <f t="shared" si="6"/>
        <v/>
      </c>
      <c r="G9" s="628" t="s">
        <v>184</v>
      </c>
      <c r="H9" s="128">
        <f t="shared" si="0"/>
        <v>1</v>
      </c>
      <c r="I9" s="127" t="str">
        <f t="shared" si="7"/>
        <v/>
      </c>
      <c r="J9" s="299"/>
      <c r="K9" s="86">
        <v>20.55</v>
      </c>
      <c r="L9" s="11">
        <v>5</v>
      </c>
      <c r="M9" s="11"/>
      <c r="N9" s="369"/>
      <c r="O9" s="371">
        <f t="shared" si="8"/>
        <v>20.916666666666668</v>
      </c>
      <c r="P9" s="73">
        <f t="shared" si="9"/>
        <v>5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>
        <f t="shared" si="13"/>
        <v>7.7499999999999991</v>
      </c>
      <c r="V9" s="372">
        <f t="shared" si="14"/>
        <v>8</v>
      </c>
      <c r="W9" s="114">
        <f t="shared" si="15"/>
        <v>7.7499999999999991</v>
      </c>
      <c r="X9" s="161" t="str">
        <f>+IF(D9="cp",(I9*'Récapitulatif '!$AJ$3),"")</f>
        <v/>
      </c>
      <c r="Y9" s="163">
        <f t="shared" si="1"/>
        <v>7.666666666666667</v>
      </c>
      <c r="Z9" s="154" t="str">
        <f t="shared" si="16"/>
        <v/>
      </c>
      <c r="AA9" s="154">
        <f t="shared" si="2"/>
        <v>1</v>
      </c>
      <c r="AB9" s="479" t="str">
        <f>+IF(WEEKDAY(C9)=1,(SUM(W$4:X9)+(Octobre!$AB$35)),"")</f>
        <v/>
      </c>
      <c r="AC9" s="475" t="str">
        <f t="shared" si="17"/>
        <v/>
      </c>
      <c r="AD9" s="118" t="str">
        <f t="shared" si="18"/>
        <v/>
      </c>
      <c r="AE9" s="261" t="str">
        <f t="shared" si="19"/>
        <v/>
      </c>
      <c r="AF9" s="475" t="str">
        <f>+IF(AND(WEEKDAY(C9)=1,$C$4:$C$34=$C$70),"",IF(AND($C$4:$C$34=$C$70,D9=""),'Récapitulatif '!$AJ$3,IF(AND(D9="N",AG9&lt;&gt;""),('Récapitulatif '!$AJ$3-AG9),IF(AND(WEEKDAY(C9)=1,$C$4:$C$34=$C$71),"",IF(AND($C$4:$C$34=$C$71,D9=""),'Récapitulatif '!$AJ$3,IF(AND(D9="N",AG9&lt;&gt;""),('Récapitulatif '!$AJ$3-AG9),""))))))</f>
        <v/>
      </c>
      <c r="AG9" s="261" t="str">
        <f t="shared" si="20"/>
        <v/>
      </c>
      <c r="AH9" s="218" t="str">
        <f t="shared" si="3"/>
        <v/>
      </c>
      <c r="AI9" s="13">
        <f t="shared" si="4"/>
        <v>1</v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21"/>
        <v>43776</v>
      </c>
      <c r="D10" s="646" t="s">
        <v>203</v>
      </c>
      <c r="E10" s="633" t="str">
        <f t="shared" si="5"/>
        <v/>
      </c>
      <c r="F10" s="634" t="str">
        <f t="shared" si="6"/>
        <v/>
      </c>
      <c r="G10" s="626" t="s">
        <v>184</v>
      </c>
      <c r="H10" s="128">
        <f t="shared" si="0"/>
        <v>1</v>
      </c>
      <c r="I10" s="127" t="str">
        <f t="shared" si="7"/>
        <v/>
      </c>
      <c r="J10" s="299"/>
      <c r="K10" s="86">
        <v>20.55</v>
      </c>
      <c r="L10" s="11">
        <v>5</v>
      </c>
      <c r="M10" s="11"/>
      <c r="N10" s="369"/>
      <c r="O10" s="371">
        <f t="shared" si="8"/>
        <v>20.916666666666668</v>
      </c>
      <c r="P10" s="73">
        <f t="shared" si="9"/>
        <v>5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>
        <f t="shared" si="13"/>
        <v>7.7499999999999991</v>
      </c>
      <c r="V10" s="372">
        <f t="shared" si="14"/>
        <v>8</v>
      </c>
      <c r="W10" s="114">
        <f t="shared" si="15"/>
        <v>7.7499999999999991</v>
      </c>
      <c r="X10" s="161" t="str">
        <f>+IF(D10="cp",(I10*'Récapitulatif '!$AJ$3),"")</f>
        <v/>
      </c>
      <c r="Y10" s="163">
        <f t="shared" si="1"/>
        <v>7.666666666666667</v>
      </c>
      <c r="Z10" s="154" t="str">
        <f t="shared" si="16"/>
        <v/>
      </c>
      <c r="AA10" s="154">
        <f t="shared" si="2"/>
        <v>1</v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 t="str">
        <f t="shared" si="19"/>
        <v/>
      </c>
      <c r="AF10" s="475" t="str">
        <f>+IF(AND(WEEKDAY(C10)=1,$C$4:$C$34=$C$70),"",IF(AND($C$4:$C$34=$C$70,D10=""),'Récapitulatif '!$AJ$3,IF(AND(D10="N",AG10&lt;&gt;""),('Récapitulatif '!$AJ$3-AG10),IF(AND(WEEKDAY(C10)=1,$C$4:$C$34=$C$71),"",IF(AND($C$4:$C$34=$C$71,D10=""),'Récapitulatif '!$AJ$3,IF(AND(D10="N",AG10&lt;&gt;""),('Récapitulatif '!$AJ$3-AG10),""))))))</f>
        <v/>
      </c>
      <c r="AG10" s="261" t="str">
        <f t="shared" si="20"/>
        <v/>
      </c>
      <c r="AH10" s="218" t="str">
        <f t="shared" si="3"/>
        <v/>
      </c>
      <c r="AI10" s="13">
        <f t="shared" si="4"/>
        <v>1</v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1"/>
        <v>43777</v>
      </c>
      <c r="D11" s="646"/>
      <c r="E11" s="633" t="str">
        <f t="shared" si="5"/>
        <v/>
      </c>
      <c r="F11" s="634" t="str">
        <f t="shared" si="6"/>
        <v/>
      </c>
      <c r="G11" s="628"/>
      <c r="H11" s="128" t="str">
        <f t="shared" si="0"/>
        <v/>
      </c>
      <c r="I11" s="127" t="str">
        <f t="shared" si="7"/>
        <v/>
      </c>
      <c r="J11" s="299"/>
      <c r="K11" s="86"/>
      <c r="L11" s="11"/>
      <c r="M11" s="11"/>
      <c r="N11" s="369"/>
      <c r="O11" s="371">
        <f t="shared" si="8"/>
        <v>0</v>
      </c>
      <c r="P11" s="73">
        <f t="shared" si="9"/>
        <v>0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 t="str">
        <f t="shared" si="13"/>
        <v/>
      </c>
      <c r="V11" s="372" t="e">
        <f t="shared" si="14"/>
        <v>#VALUE!</v>
      </c>
      <c r="W11" s="114" t="str">
        <f t="shared" si="15"/>
        <v/>
      </c>
      <c r="X11" s="161" t="str">
        <f>+IF(D11="cp",(I11*'Récapitulatif '!$AJ$3),"")</f>
        <v/>
      </c>
      <c r="Y11" s="163" t="str">
        <f t="shared" si="1"/>
        <v/>
      </c>
      <c r="Z11" s="154" t="str">
        <f t="shared" si="16"/>
        <v/>
      </c>
      <c r="AA11" s="154" t="str">
        <f t="shared" si="2"/>
        <v/>
      </c>
      <c r="AB11" s="479" t="str">
        <f t="shared" ref="AB11:AB34" si="22">+IF(WEEKDAY(C11)=1,SUM(W5:X11),"")</f>
        <v/>
      </c>
      <c r="AC11" s="475" t="str">
        <f t="shared" si="17"/>
        <v/>
      </c>
      <c r="AD11" s="118" t="str">
        <f t="shared" si="18"/>
        <v/>
      </c>
      <c r="AE11" s="261" t="str">
        <f t="shared" si="19"/>
        <v/>
      </c>
      <c r="AF11" s="475" t="str">
        <f>+IF(AND(WEEKDAY(C11)=1,$C$4:$C$34=$C$70),"",IF(AND($C$4:$C$34=$C$70,D11=""),'Récapitulatif '!$AJ$3,IF(AND(D11="N",AG11&lt;&gt;""),('Récapitulatif '!$AJ$3-AG11),IF(AND(WEEKDAY(C11)=1,$C$4:$C$34=$C$71),"",IF(AND($C$4:$C$34=$C$71,D11=""),'Récapitulatif '!$AJ$3,IF(AND(D11="N",AG11&lt;&gt;""),('Récapitulatif '!$AJ$3-AG11),""))))))</f>
        <v/>
      </c>
      <c r="AG11" s="261" t="str">
        <f t="shared" si="20"/>
        <v/>
      </c>
      <c r="AH11" s="218" t="str">
        <f t="shared" si="3"/>
        <v/>
      </c>
      <c r="AI11" s="13" t="str">
        <f t="shared" si="4"/>
        <v/>
      </c>
      <c r="AJ11" s="10"/>
      <c r="AL11" s="1" t="s">
        <v>60</v>
      </c>
    </row>
    <row r="12" spans="1:38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112">
        <f t="shared" si="21"/>
        <v>43778</v>
      </c>
      <c r="D12" s="646"/>
      <c r="E12" s="633" t="str">
        <f t="shared" si="5"/>
        <v/>
      </c>
      <c r="F12" s="634" t="str">
        <f t="shared" si="6"/>
        <v/>
      </c>
      <c r="G12" s="628"/>
      <c r="H12" s="128" t="str">
        <f t="shared" si="0"/>
        <v/>
      </c>
      <c r="I12" s="127" t="str">
        <f t="shared" si="7"/>
        <v/>
      </c>
      <c r="J12" s="299"/>
      <c r="K12" s="86"/>
      <c r="L12" s="11"/>
      <c r="M12" s="11"/>
      <c r="N12" s="369"/>
      <c r="O12" s="371">
        <f t="shared" si="8"/>
        <v>0</v>
      </c>
      <c r="P12" s="73">
        <f t="shared" si="9"/>
        <v>0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 t="str">
        <f t="shared" si="13"/>
        <v/>
      </c>
      <c r="V12" s="372" t="e">
        <f t="shared" si="14"/>
        <v>#VALUE!</v>
      </c>
      <c r="W12" s="114" t="str">
        <f t="shared" si="15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6"/>
        <v/>
      </c>
      <c r="AA12" s="154" t="str">
        <f t="shared" si="2"/>
        <v/>
      </c>
      <c r="AB12" s="479" t="str">
        <f t="shared" si="22"/>
        <v/>
      </c>
      <c r="AC12" s="475" t="str">
        <f t="shared" si="17"/>
        <v/>
      </c>
      <c r="AD12" s="118" t="str">
        <f t="shared" si="18"/>
        <v/>
      </c>
      <c r="AE12" s="261" t="str">
        <f t="shared" si="19"/>
        <v/>
      </c>
      <c r="AF12" s="475" t="str">
        <f>+IF(AND(WEEKDAY(C12)=1,$C$4:$C$34=$C$70),"",IF(AND($C$4:$C$34=$C$70,D12=""),'Récapitulatif '!$AJ$3,IF(AND(D12="N",AG12&lt;&gt;""),('Récapitulatif '!$AJ$3-AG12),IF(AND(WEEKDAY(C12)=1,$C$4:$C$34=$C$71),"",IF(AND($C$4:$C$34=$C$71,D12=""),'Récapitulatif '!$AJ$3,IF(AND(D12="N",AG12&lt;&gt;""),('Récapitulatif '!$AJ$3-AG12),""))))))</f>
        <v/>
      </c>
      <c r="AG12" s="261" t="str">
        <f t="shared" si="20"/>
        <v/>
      </c>
      <c r="AH12" s="218" t="str">
        <f t="shared" si="3"/>
        <v/>
      </c>
      <c r="AI12" s="13" t="str">
        <f t="shared" si="4"/>
        <v/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1"/>
        <v>43779</v>
      </c>
      <c r="D13" s="646" t="s">
        <v>205</v>
      </c>
      <c r="E13" s="633">
        <f t="shared" si="5"/>
        <v>1</v>
      </c>
      <c r="F13" s="634" t="str">
        <f t="shared" si="6"/>
        <v/>
      </c>
      <c r="G13" s="628" t="s">
        <v>184</v>
      </c>
      <c r="H13" s="128">
        <f t="shared" si="0"/>
        <v>1</v>
      </c>
      <c r="I13" s="127" t="str">
        <f t="shared" si="7"/>
        <v/>
      </c>
      <c r="J13" s="299"/>
      <c r="K13" s="86">
        <v>5</v>
      </c>
      <c r="L13" s="11">
        <v>13</v>
      </c>
      <c r="M13" s="11"/>
      <c r="N13" s="369"/>
      <c r="O13" s="371">
        <f t="shared" si="8"/>
        <v>5</v>
      </c>
      <c r="P13" s="73">
        <f t="shared" si="9"/>
        <v>13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>
        <f t="shared" si="13"/>
        <v>7.666666666666667</v>
      </c>
      <c r="V13" s="372">
        <f t="shared" si="14"/>
        <v>1</v>
      </c>
      <c r="W13" s="114">
        <f t="shared" si="15"/>
        <v>7.666666666666667</v>
      </c>
      <c r="X13" s="161" t="str">
        <f>+IF(D13="cp",(I13*'Récapitulatif '!$AJ$3),"")</f>
        <v/>
      </c>
      <c r="Y13" s="163">
        <f t="shared" si="1"/>
        <v>1</v>
      </c>
      <c r="Z13" s="154" t="str">
        <f t="shared" si="16"/>
        <v/>
      </c>
      <c r="AA13" s="154" t="str">
        <f t="shared" si="2"/>
        <v/>
      </c>
      <c r="AB13" s="479">
        <f t="shared" si="22"/>
        <v>38.666666666666664</v>
      </c>
      <c r="AC13" s="475" t="str">
        <f t="shared" si="17"/>
        <v/>
      </c>
      <c r="AD13" s="118">
        <f t="shared" si="18"/>
        <v>7.666666666666667</v>
      </c>
      <c r="AE13" s="261" t="str">
        <f t="shared" si="19"/>
        <v/>
      </c>
      <c r="AF13" s="475" t="str">
        <f>+IF(AND(WEEKDAY(C13)=1,$C$4:$C$34=$C$70),"",IF(AND($C$4:$C$34=$C$70,D13=""),'Récapitulatif '!$AJ$3,IF(AND(D13="N",AG13&lt;&gt;""),('Récapitulatif '!$AJ$3-AG13),IF(AND(WEEKDAY(C13)=1,$C$4:$C$34=$C$71),"",IF(AND($C$4:$C$34=$C$71,D13=""),'Récapitulatif '!$AJ$3,IF(AND(D13="N",AG13&lt;&gt;""),('Récapitulatif '!$AJ$3-AG13),""))))))</f>
        <v/>
      </c>
      <c r="AG13" s="261" t="str">
        <f t="shared" si="20"/>
        <v/>
      </c>
      <c r="AH13" s="218">
        <f t="shared" si="3"/>
        <v>1</v>
      </c>
      <c r="AI13" s="13" t="str">
        <f t="shared" si="4"/>
        <v/>
      </c>
      <c r="AL13" s="91" t="s">
        <v>61</v>
      </c>
    </row>
    <row r="14" spans="1:38">
      <c r="A14" s="482">
        <f>IF(WEEKDAY(C14,2)=1,INT((C14-SUM(MOD(DATE(YEAR(C14-MOD(C14-2,7)+3),1,2),{1E+99;7})*{1;-1})+5)/7),"")</f>
        <v>46</v>
      </c>
      <c r="B14" s="482" t="str">
        <f>IF(A14&lt;&gt;"",VLOOKUP(A14,juin!$L$49:$M$101,2,FALSE),"")</f>
        <v>A - Midi</v>
      </c>
      <c r="C14" s="112">
        <f t="shared" si="21"/>
        <v>43780</v>
      </c>
      <c r="D14" s="646"/>
      <c r="E14" s="633" t="str">
        <f t="shared" si="5"/>
        <v/>
      </c>
      <c r="F14" s="634" t="str">
        <f t="shared" si="6"/>
        <v/>
      </c>
      <c r="G14" s="628"/>
      <c r="H14" s="128" t="str">
        <f t="shared" si="0"/>
        <v/>
      </c>
      <c r="I14" s="127" t="str">
        <f t="shared" si="7"/>
        <v/>
      </c>
      <c r="J14" s="299"/>
      <c r="K14" s="86"/>
      <c r="L14" s="11"/>
      <c r="M14" s="11"/>
      <c r="N14" s="369"/>
      <c r="O14" s="371">
        <f t="shared" si="8"/>
        <v>0</v>
      </c>
      <c r="P14" s="73">
        <f t="shared" si="9"/>
        <v>0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 t="str">
        <f t="shared" si="13"/>
        <v/>
      </c>
      <c r="V14" s="372" t="e">
        <f t="shared" si="14"/>
        <v>#VALUE!</v>
      </c>
      <c r="W14" s="114" t="str">
        <f t="shared" si="15"/>
        <v/>
      </c>
      <c r="X14" s="161" t="str">
        <f>+IF(D14="cp",(I14*'Récapitulatif '!$AJ$3),"")</f>
        <v/>
      </c>
      <c r="Y14" s="163" t="str">
        <f t="shared" si="1"/>
        <v/>
      </c>
      <c r="Z14" s="154" t="str">
        <f t="shared" si="16"/>
        <v/>
      </c>
      <c r="AA14" s="154" t="str">
        <f t="shared" si="2"/>
        <v/>
      </c>
      <c r="AB14" s="479" t="str">
        <f t="shared" si="22"/>
        <v/>
      </c>
      <c r="AC14" s="475" t="str">
        <f t="shared" si="17"/>
        <v/>
      </c>
      <c r="AD14" s="118" t="str">
        <f t="shared" si="18"/>
        <v/>
      </c>
      <c r="AE14" s="261" t="str">
        <f t="shared" si="19"/>
        <v/>
      </c>
      <c r="AF14" s="475">
        <f>+IF(AND(WEEKDAY(C14)=1,$C$4:$C$34=$C$70),"",IF(AND($C$4:$C$34=$C$70,D14=""),'Récapitulatif '!$AJ$3,IF(AND(D14="N",AG14&lt;&gt;""),('Récapitulatif '!$AJ$3-AG14),IF(AND(WEEKDAY(C14)=1,$C$4:$C$34=$C$71),"",IF(AND($C$4:$C$34=$C$71,D14=""),'Récapitulatif '!$AJ$3,IF(AND(D14="N",AG14&lt;&gt;""),('Récapitulatif '!$AJ$3-AG14),""))))))</f>
        <v>6.9</v>
      </c>
      <c r="AG14" s="261" t="str">
        <f t="shared" si="20"/>
        <v/>
      </c>
      <c r="AH14" s="218" t="str">
        <f t="shared" si="3"/>
        <v/>
      </c>
      <c r="AI14" s="13" t="str">
        <f t="shared" si="4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21"/>
        <v>43781</v>
      </c>
      <c r="D15" s="646" t="s">
        <v>208</v>
      </c>
      <c r="E15" s="633" t="str">
        <f t="shared" si="5"/>
        <v/>
      </c>
      <c r="F15" s="634" t="str">
        <f t="shared" si="6"/>
        <v/>
      </c>
      <c r="G15" s="628" t="s">
        <v>189</v>
      </c>
      <c r="H15" s="128">
        <f t="shared" si="0"/>
        <v>1</v>
      </c>
      <c r="I15" s="127" t="str">
        <f t="shared" si="7"/>
        <v/>
      </c>
      <c r="J15" s="299"/>
      <c r="K15" s="86">
        <v>9</v>
      </c>
      <c r="L15" s="11">
        <v>17.100000000000001</v>
      </c>
      <c r="M15" s="11"/>
      <c r="N15" s="369"/>
      <c r="O15" s="371">
        <f t="shared" si="8"/>
        <v>9</v>
      </c>
      <c r="P15" s="73">
        <f t="shared" si="9"/>
        <v>17.166666666666668</v>
      </c>
      <c r="Q15" s="73">
        <f t="shared" si="10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>
        <f t="shared" si="13"/>
        <v>7.8333333333333348</v>
      </c>
      <c r="V15" s="372">
        <f t="shared" si="14"/>
        <v>0</v>
      </c>
      <c r="W15" s="114">
        <f t="shared" si="15"/>
        <v>7.8333333333333348</v>
      </c>
      <c r="X15" s="161" t="str">
        <f>+IF(D15="cp",(I15*'Récapitulatif '!$AJ$3),"")</f>
        <v/>
      </c>
      <c r="Y15" s="163">
        <f t="shared" si="1"/>
        <v>0</v>
      </c>
      <c r="Z15" s="154" t="str">
        <f t="shared" si="16"/>
        <v/>
      </c>
      <c r="AA15" s="154" t="str">
        <f t="shared" si="2"/>
        <v/>
      </c>
      <c r="AB15" s="479" t="str">
        <f t="shared" si="22"/>
        <v/>
      </c>
      <c r="AC15" s="475" t="str">
        <f t="shared" si="17"/>
        <v/>
      </c>
      <c r="AD15" s="118" t="str">
        <f t="shared" si="18"/>
        <v/>
      </c>
      <c r="AE15" s="261" t="str">
        <f t="shared" si="19"/>
        <v/>
      </c>
      <c r="AF15" s="475" t="str">
        <f>+IF(AND(WEEKDAY(C15)=1,$C$4:$C$34=$C$70),"",IF(AND($C$4:$C$34=$C$70,D15=""),'Récapitulatif '!$AJ$3,IF(AND(D15="N",AG15&lt;&gt;""),('Récapitulatif '!$AJ$3-AG15),IF(AND(WEEKDAY(C15)=1,$C$4:$C$34=$C$71),"",IF(AND($C$4:$C$34=$C$71,D15=""),'Récapitulatif '!$AJ$3,IF(AND(D15="N",AG15&lt;&gt;""),('Récapitulatif '!$AJ$3-AG15),""))))))</f>
        <v/>
      </c>
      <c r="AG15" s="261" t="str">
        <f t="shared" si="20"/>
        <v/>
      </c>
      <c r="AH15" s="218">
        <f t="shared" si="3"/>
        <v>1</v>
      </c>
      <c r="AI15" s="13" t="str">
        <f t="shared" si="4"/>
        <v/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21"/>
        <v>43782</v>
      </c>
      <c r="D16" s="646" t="s">
        <v>208</v>
      </c>
      <c r="E16" s="633" t="str">
        <f t="shared" si="5"/>
        <v/>
      </c>
      <c r="F16" s="634" t="str">
        <f t="shared" si="6"/>
        <v/>
      </c>
      <c r="G16" s="628" t="s">
        <v>189</v>
      </c>
      <c r="H16" s="128">
        <f t="shared" si="0"/>
        <v>1</v>
      </c>
      <c r="I16" s="127" t="str">
        <f t="shared" si="7"/>
        <v/>
      </c>
      <c r="J16" s="299"/>
      <c r="K16" s="86">
        <v>9</v>
      </c>
      <c r="L16" s="11">
        <v>17</v>
      </c>
      <c r="M16" s="11"/>
      <c r="N16" s="369"/>
      <c r="O16" s="371">
        <f t="shared" si="8"/>
        <v>9</v>
      </c>
      <c r="P16" s="73">
        <f t="shared" si="9"/>
        <v>17</v>
      </c>
      <c r="Q16" s="73">
        <f t="shared" si="10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>
        <f t="shared" si="13"/>
        <v>7.666666666666667</v>
      </c>
      <c r="V16" s="372">
        <f t="shared" si="14"/>
        <v>0</v>
      </c>
      <c r="W16" s="114">
        <f t="shared" si="15"/>
        <v>7.666666666666667</v>
      </c>
      <c r="X16" s="161" t="str">
        <f>+IF(D16="cp",(I16*'Récapitulatif '!$AJ$3),"")</f>
        <v/>
      </c>
      <c r="Y16" s="163">
        <f t="shared" si="1"/>
        <v>0</v>
      </c>
      <c r="Z16" s="154" t="str">
        <f t="shared" si="16"/>
        <v/>
      </c>
      <c r="AA16" s="154" t="str">
        <f t="shared" si="2"/>
        <v/>
      </c>
      <c r="AB16" s="479" t="str">
        <f t="shared" si="22"/>
        <v/>
      </c>
      <c r="AC16" s="475" t="str">
        <f t="shared" si="17"/>
        <v/>
      </c>
      <c r="AD16" s="118" t="str">
        <f t="shared" si="18"/>
        <v/>
      </c>
      <c r="AE16" s="261" t="str">
        <f t="shared" si="19"/>
        <v/>
      </c>
      <c r="AF16" s="475" t="str">
        <f>+IF(AND(WEEKDAY(C16)=1,$C$4:$C$34=$C$70),"",IF(AND($C$4:$C$34=$C$70,D16=""),'Récapitulatif '!$AJ$3,IF(AND(D16="N",AG16&lt;&gt;""),('Récapitulatif '!$AJ$3-AG16),IF(AND(WEEKDAY(C16)=1,$C$4:$C$34=$C$71),"",IF(AND($C$4:$C$34=$C$71,D16=""),'Récapitulatif '!$AJ$3,IF(AND(D16="N",AG16&lt;&gt;""),('Récapitulatif '!$AJ$3-AG16),""))))))</f>
        <v/>
      </c>
      <c r="AG16" s="261" t="str">
        <f t="shared" si="20"/>
        <v/>
      </c>
      <c r="AH16" s="218">
        <f t="shared" si="3"/>
        <v>1</v>
      </c>
      <c r="AI16" s="13" t="str">
        <f t="shared" si="4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21"/>
        <v>43783</v>
      </c>
      <c r="D17" s="646" t="s">
        <v>208</v>
      </c>
      <c r="E17" s="633" t="str">
        <f t="shared" si="5"/>
        <v/>
      </c>
      <c r="F17" s="634" t="str">
        <f t="shared" si="6"/>
        <v/>
      </c>
      <c r="G17" s="628" t="s">
        <v>189</v>
      </c>
      <c r="H17" s="128">
        <f t="shared" si="0"/>
        <v>1</v>
      </c>
      <c r="I17" s="127" t="str">
        <f t="shared" si="7"/>
        <v/>
      </c>
      <c r="J17" s="299"/>
      <c r="K17" s="86">
        <v>9</v>
      </c>
      <c r="L17" s="11">
        <v>17.100000000000001</v>
      </c>
      <c r="M17" s="11"/>
      <c r="N17" s="369"/>
      <c r="O17" s="371">
        <f t="shared" si="8"/>
        <v>9</v>
      </c>
      <c r="P17" s="73">
        <f t="shared" si="9"/>
        <v>17.166666666666668</v>
      </c>
      <c r="Q17" s="73">
        <f t="shared" si="10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>
        <f t="shared" si="13"/>
        <v>7.8333333333333348</v>
      </c>
      <c r="V17" s="372">
        <f t="shared" si="14"/>
        <v>0</v>
      </c>
      <c r="W17" s="114">
        <f t="shared" si="15"/>
        <v>7.8333333333333348</v>
      </c>
      <c r="X17" s="161" t="str">
        <f>+IF(D17="cp",(I17*'Récapitulatif '!$AJ$3),"")</f>
        <v/>
      </c>
      <c r="Y17" s="163">
        <f t="shared" si="1"/>
        <v>0</v>
      </c>
      <c r="Z17" s="154" t="str">
        <f t="shared" si="16"/>
        <v/>
      </c>
      <c r="AA17" s="154" t="str">
        <f t="shared" si="2"/>
        <v/>
      </c>
      <c r="AB17" s="479" t="str">
        <f t="shared" si="22"/>
        <v/>
      </c>
      <c r="AC17" s="475" t="str">
        <f t="shared" si="17"/>
        <v/>
      </c>
      <c r="AD17" s="118" t="str">
        <f t="shared" si="18"/>
        <v/>
      </c>
      <c r="AE17" s="261" t="str">
        <f t="shared" si="19"/>
        <v/>
      </c>
      <c r="AF17" s="475" t="str">
        <f>+IF(AND(WEEKDAY(C17)=1,$C$4:$C$34=$C$70),"",IF(AND($C$4:$C$34=$C$70,D17=""),'Récapitulatif '!$AJ$3,IF(AND(D17="N",AG17&lt;&gt;""),('Récapitulatif '!$AJ$3-AG17),IF(AND(WEEKDAY(C17)=1,$C$4:$C$34=$C$71),"",IF(AND($C$4:$C$34=$C$71,D17=""),'Récapitulatif '!$AJ$3,IF(AND(D17="N",AG17&lt;&gt;""),('Récapitulatif '!$AJ$3-AG17),""))))))</f>
        <v/>
      </c>
      <c r="AG17" s="261" t="str">
        <f t="shared" si="20"/>
        <v/>
      </c>
      <c r="AH17" s="218">
        <f t="shared" si="3"/>
        <v>1</v>
      </c>
      <c r="AI17" s="13" t="str">
        <f t="shared" si="4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1"/>
        <v>43784</v>
      </c>
      <c r="D18" s="646"/>
      <c r="E18" s="633" t="str">
        <f t="shared" si="5"/>
        <v/>
      </c>
      <c r="F18" s="634" t="str">
        <f t="shared" si="6"/>
        <v/>
      </c>
      <c r="G18" s="628"/>
      <c r="H18" s="128" t="str">
        <f t="shared" si="0"/>
        <v/>
      </c>
      <c r="I18" s="127" t="str">
        <f t="shared" si="7"/>
        <v/>
      </c>
      <c r="J18" s="299"/>
      <c r="K18" s="86"/>
      <c r="L18" s="11"/>
      <c r="M18" s="11"/>
      <c r="N18" s="369"/>
      <c r="O18" s="371">
        <f t="shared" si="8"/>
        <v>0</v>
      </c>
      <c r="P18" s="73">
        <f t="shared" si="9"/>
        <v>0</v>
      </c>
      <c r="Q18" s="73">
        <f t="shared" si="10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 t="str">
        <f t="shared" si="13"/>
        <v/>
      </c>
      <c r="V18" s="372" t="e">
        <f t="shared" si="14"/>
        <v>#VALUE!</v>
      </c>
      <c r="W18" s="114" t="str">
        <f t="shared" si="15"/>
        <v/>
      </c>
      <c r="X18" s="161" t="str">
        <f>+IF(D18="cp",(I18*'Récapitulatif '!$AJ$3),"")</f>
        <v/>
      </c>
      <c r="Y18" s="163" t="str">
        <f t="shared" si="1"/>
        <v/>
      </c>
      <c r="Z18" s="154" t="str">
        <f t="shared" si="16"/>
        <v/>
      </c>
      <c r="AA18" s="154" t="str">
        <f t="shared" si="2"/>
        <v/>
      </c>
      <c r="AB18" s="479" t="str">
        <f t="shared" si="22"/>
        <v/>
      </c>
      <c r="AC18" s="475" t="str">
        <f t="shared" si="17"/>
        <v/>
      </c>
      <c r="AD18" s="118" t="str">
        <f t="shared" si="18"/>
        <v/>
      </c>
      <c r="AE18" s="261" t="str">
        <f t="shared" si="19"/>
        <v/>
      </c>
      <c r="AF18" s="475" t="str">
        <f>+IF(AND(WEEKDAY(C18)=1,$C$4:$C$34=$C$70),"",IF(AND($C$4:$C$34=$C$70,D18=""),'Récapitulatif '!$AJ$3,IF(AND(D18="N",AG18&lt;&gt;""),('Récapitulatif '!$AJ$3-AG18),IF(AND(WEEKDAY(C18)=1,$C$4:$C$34=$C$71),"",IF(AND($C$4:$C$34=$C$71,D18=""),'Récapitulatif '!$AJ$3,IF(AND(D18="N",AG18&lt;&gt;""),('Récapitulatif '!$AJ$3-AG18),""))))))</f>
        <v/>
      </c>
      <c r="AG18" s="261" t="str">
        <f t="shared" si="20"/>
        <v/>
      </c>
      <c r="AH18" s="218" t="str">
        <f t="shared" si="3"/>
        <v/>
      </c>
      <c r="AI18" s="13" t="str">
        <f t="shared" si="4"/>
        <v/>
      </c>
      <c r="AL18" s="1" t="s">
        <v>71</v>
      </c>
    </row>
    <row r="19" spans="1:38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112">
        <f t="shared" si="21"/>
        <v>43785</v>
      </c>
      <c r="D19" s="647"/>
      <c r="E19" s="633" t="str">
        <f t="shared" si="5"/>
        <v/>
      </c>
      <c r="F19" s="634" t="str">
        <f t="shared" si="6"/>
        <v/>
      </c>
      <c r="G19" s="628"/>
      <c r="H19" s="128" t="str">
        <f t="shared" si="0"/>
        <v/>
      </c>
      <c r="I19" s="127" t="str">
        <f t="shared" si="7"/>
        <v/>
      </c>
      <c r="J19" s="299"/>
      <c r="K19" s="86"/>
      <c r="L19" s="11"/>
      <c r="M19" s="11"/>
      <c r="N19" s="369"/>
      <c r="O19" s="371">
        <f t="shared" si="8"/>
        <v>0</v>
      </c>
      <c r="P19" s="73">
        <f t="shared" si="9"/>
        <v>0</v>
      </c>
      <c r="Q19" s="73">
        <f t="shared" si="10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 t="str">
        <f t="shared" si="13"/>
        <v/>
      </c>
      <c r="V19" s="372" t="e">
        <f t="shared" si="14"/>
        <v>#VALUE!</v>
      </c>
      <c r="W19" s="114" t="str">
        <f t="shared" si="15"/>
        <v/>
      </c>
      <c r="X19" s="161" t="str">
        <f>+IF(D19="cp",(I19*'Récapitulatif '!$AJ$3),"")</f>
        <v/>
      </c>
      <c r="Y19" s="163" t="str">
        <f t="shared" si="1"/>
        <v/>
      </c>
      <c r="Z19" s="154" t="str">
        <f t="shared" si="16"/>
        <v/>
      </c>
      <c r="AA19" s="154" t="str">
        <f t="shared" si="2"/>
        <v/>
      </c>
      <c r="AB19" s="479" t="str">
        <f t="shared" si="22"/>
        <v/>
      </c>
      <c r="AC19" s="475" t="str">
        <f t="shared" si="17"/>
        <v/>
      </c>
      <c r="AD19" s="118" t="str">
        <f t="shared" si="18"/>
        <v/>
      </c>
      <c r="AE19" s="261" t="str">
        <f t="shared" si="19"/>
        <v/>
      </c>
      <c r="AF19" s="475" t="str">
        <f>+IF(AND(WEEKDAY(C19)=1,$C$4:$C$34=$C$70),"",IF(AND($C$4:$C$34=$C$70,D19=""),'Récapitulatif '!$AJ$3,IF(AND(D19="N",AG19&lt;&gt;""),('Récapitulatif '!$AJ$3-AG19),IF(AND(WEEKDAY(C19)=1,$C$4:$C$34=$C$71),"",IF(AND($C$4:$C$34=$C$71,D19=""),'Récapitulatif '!$AJ$3,IF(AND(D19="N",AG19&lt;&gt;""),('Récapitulatif '!$AJ$3-AG19),""))))))</f>
        <v/>
      </c>
      <c r="AG19" s="261" t="str">
        <f t="shared" si="20"/>
        <v/>
      </c>
      <c r="AH19" s="218" t="str">
        <f t="shared" si="3"/>
        <v/>
      </c>
      <c r="AI19" s="13" t="str">
        <f t="shared" si="4"/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1"/>
        <v>43786</v>
      </c>
      <c r="D20" s="647"/>
      <c r="E20" s="633" t="str">
        <f t="shared" si="5"/>
        <v/>
      </c>
      <c r="F20" s="634" t="str">
        <f t="shared" si="6"/>
        <v/>
      </c>
      <c r="G20" s="628"/>
      <c r="H20" s="128" t="str">
        <f t="shared" si="0"/>
        <v/>
      </c>
      <c r="I20" s="127" t="str">
        <f t="shared" si="7"/>
        <v/>
      </c>
      <c r="J20" s="299"/>
      <c r="K20" s="86"/>
      <c r="L20" s="11"/>
      <c r="M20" s="11"/>
      <c r="N20" s="369"/>
      <c r="O20" s="371">
        <f t="shared" si="8"/>
        <v>0</v>
      </c>
      <c r="P20" s="73">
        <f t="shared" si="9"/>
        <v>0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 t="str">
        <f t="shared" si="13"/>
        <v/>
      </c>
      <c r="V20" s="372" t="e">
        <f t="shared" si="14"/>
        <v>#VALUE!</v>
      </c>
      <c r="W20" s="114" t="str">
        <f t="shared" si="15"/>
        <v/>
      </c>
      <c r="X20" s="161" t="str">
        <f>+IF(D20="cp",(I20*'Récapitulatif '!$AJ$3),"")</f>
        <v/>
      </c>
      <c r="Y20" s="163" t="str">
        <f t="shared" si="1"/>
        <v/>
      </c>
      <c r="Z20" s="154" t="str">
        <f t="shared" si="16"/>
        <v/>
      </c>
      <c r="AA20" s="154" t="str">
        <f t="shared" si="2"/>
        <v/>
      </c>
      <c r="AB20" s="479">
        <f t="shared" si="22"/>
        <v>23.333333333333336</v>
      </c>
      <c r="AC20" s="475" t="str">
        <f t="shared" si="17"/>
        <v/>
      </c>
      <c r="AD20" s="118" t="str">
        <f t="shared" si="18"/>
        <v/>
      </c>
      <c r="AE20" s="261" t="str">
        <f t="shared" si="19"/>
        <v/>
      </c>
      <c r="AF20" s="475" t="str">
        <f>+IF(AND(WEEKDAY(C20)=1,$C$4:$C$34=$C$70),"",IF(AND($C$4:$C$34=$C$70,D20=""),'Récapitulatif '!$AJ$3,IF(AND(D20="N",AG20&lt;&gt;""),('Récapitulatif '!$AJ$3-AG20),IF(AND(WEEKDAY(C20)=1,$C$4:$C$34=$C$71),"",IF(AND($C$4:$C$34=$C$71,D20=""),'Récapitulatif '!$AJ$3,IF(AND(D20="N",AG20&lt;&gt;""),('Récapitulatif '!$AJ$3-AG20),""))))))</f>
        <v/>
      </c>
      <c r="AG20" s="261" t="str">
        <f t="shared" si="20"/>
        <v/>
      </c>
      <c r="AH20" s="218" t="str">
        <f t="shared" si="3"/>
        <v/>
      </c>
      <c r="AI20" s="13" t="str">
        <f t="shared" si="4"/>
        <v/>
      </c>
    </row>
    <row r="21" spans="1:38">
      <c r="A21" s="482">
        <f>IF(WEEKDAY(C21,2)=1,INT((C21-SUM(MOD(DATE(YEAR(C21-MOD(C21-2,7)+3),1,2),{1E+99;7})*{1;-1})+5)/7),"")</f>
        <v>47</v>
      </c>
      <c r="B21" s="482" t="str">
        <f>IF(A21&lt;&gt;"",VLOOKUP(A21,juin!$L$49:$M$101,2,FALSE),"")</f>
        <v>Matin</v>
      </c>
      <c r="C21" s="112">
        <f t="shared" si="21"/>
        <v>43787</v>
      </c>
      <c r="D21" s="646" t="s">
        <v>205</v>
      </c>
      <c r="E21" s="633" t="str">
        <f t="shared" si="5"/>
        <v/>
      </c>
      <c r="F21" s="634" t="str">
        <f t="shared" si="6"/>
        <v/>
      </c>
      <c r="G21" s="626" t="s">
        <v>184</v>
      </c>
      <c r="H21" s="128">
        <f t="shared" si="0"/>
        <v>1</v>
      </c>
      <c r="I21" s="127" t="str">
        <f t="shared" si="7"/>
        <v/>
      </c>
      <c r="J21" s="299"/>
      <c r="K21" s="86">
        <v>4.55</v>
      </c>
      <c r="L21" s="11">
        <v>13</v>
      </c>
      <c r="M21" s="11"/>
      <c r="N21" s="369"/>
      <c r="O21" s="371">
        <f t="shared" si="8"/>
        <v>4.9166666666666661</v>
      </c>
      <c r="P21" s="73">
        <f t="shared" si="9"/>
        <v>13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>
        <f t="shared" si="13"/>
        <v>7.7500000000000009</v>
      </c>
      <c r="V21" s="372">
        <f t="shared" si="14"/>
        <v>1.0833333333333339</v>
      </c>
      <c r="W21" s="114">
        <f t="shared" si="15"/>
        <v>7.7500000000000009</v>
      </c>
      <c r="X21" s="161" t="str">
        <f>+IF(D21="cp",(I21*'Récapitulatif '!$AJ$3),"")</f>
        <v/>
      </c>
      <c r="Y21" s="163">
        <f t="shared" si="1"/>
        <v>1.0833333333333339</v>
      </c>
      <c r="Z21" s="154" t="str">
        <f t="shared" si="16"/>
        <v/>
      </c>
      <c r="AA21" s="154" t="str">
        <f t="shared" si="2"/>
        <v/>
      </c>
      <c r="AB21" s="479" t="str">
        <f t="shared" si="22"/>
        <v/>
      </c>
      <c r="AC21" s="475" t="str">
        <f t="shared" si="17"/>
        <v/>
      </c>
      <c r="AD21" s="118" t="str">
        <f t="shared" si="18"/>
        <v/>
      </c>
      <c r="AE21" s="261" t="str">
        <f t="shared" si="19"/>
        <v/>
      </c>
      <c r="AF21" s="475" t="str">
        <f>+IF(AND(WEEKDAY(C21)=1,$C$4:$C$34=$C$70),"",IF(AND($C$4:$C$34=$C$70,D21=""),'Récapitulatif '!$AJ$3,IF(AND(D21="N",AG21&lt;&gt;""),('Récapitulatif '!$AJ$3-AG21),IF(AND(WEEKDAY(C21)=1,$C$4:$C$34=$C$71),"",IF(AND($C$4:$C$34=$C$71,D21=""),'Récapitulatif '!$AJ$3,IF(AND(D21="N",AG21&lt;&gt;""),('Récapitulatif '!$AJ$3-AG21),""))))))</f>
        <v/>
      </c>
      <c r="AG21" s="261" t="str">
        <f t="shared" si="20"/>
        <v/>
      </c>
      <c r="AH21" s="218">
        <f t="shared" si="3"/>
        <v>1</v>
      </c>
      <c r="AI21" s="13" t="str">
        <f t="shared" si="4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21"/>
        <v>43788</v>
      </c>
      <c r="D22" s="646" t="s">
        <v>205</v>
      </c>
      <c r="E22" s="633" t="str">
        <f t="shared" si="5"/>
        <v/>
      </c>
      <c r="F22" s="634" t="str">
        <f t="shared" si="6"/>
        <v/>
      </c>
      <c r="G22" s="628" t="s">
        <v>184</v>
      </c>
      <c r="H22" s="128">
        <f t="shared" si="0"/>
        <v>1</v>
      </c>
      <c r="I22" s="127" t="str">
        <f t="shared" si="7"/>
        <v/>
      </c>
      <c r="J22" s="299"/>
      <c r="K22" s="86">
        <v>4.55</v>
      </c>
      <c r="L22" s="11">
        <v>13</v>
      </c>
      <c r="M22" s="11"/>
      <c r="N22" s="369"/>
      <c r="O22" s="371">
        <f t="shared" si="8"/>
        <v>4.9166666666666661</v>
      </c>
      <c r="P22" s="73">
        <f t="shared" si="9"/>
        <v>13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>
        <f t="shared" si="13"/>
        <v>7.7500000000000009</v>
      </c>
      <c r="V22" s="372">
        <f t="shared" si="14"/>
        <v>1.0833333333333339</v>
      </c>
      <c r="W22" s="114">
        <f t="shared" si="15"/>
        <v>7.7500000000000009</v>
      </c>
      <c r="X22" s="161" t="str">
        <f>+IF(D22="cp",(I22*'Récapitulatif '!$AJ$3),"")</f>
        <v/>
      </c>
      <c r="Y22" s="163">
        <f t="shared" si="1"/>
        <v>1.0833333333333339</v>
      </c>
      <c r="Z22" s="154" t="str">
        <f t="shared" si="16"/>
        <v/>
      </c>
      <c r="AA22" s="154" t="str">
        <f t="shared" si="2"/>
        <v/>
      </c>
      <c r="AB22" s="479" t="str">
        <f t="shared" si="22"/>
        <v/>
      </c>
      <c r="AC22" s="475" t="str">
        <f t="shared" si="17"/>
        <v/>
      </c>
      <c r="AD22" s="118" t="str">
        <f t="shared" si="18"/>
        <v/>
      </c>
      <c r="AE22" s="261" t="str">
        <f t="shared" si="19"/>
        <v/>
      </c>
      <c r="AF22" s="475" t="str">
        <f>+IF(AND(WEEKDAY(C22)=1,$C$4:$C$34=$C$70),"",IF(AND($C$4:$C$34=$C$70,D22=""),'Récapitulatif '!$AJ$3,IF(AND(D22="N",AG22&lt;&gt;""),('Récapitulatif '!$AJ$3-AG22),IF(AND(WEEKDAY(C22)=1,$C$4:$C$34=$C$71),"",IF(AND($C$4:$C$34=$C$71,D22=""),'Récapitulatif '!$AJ$3,IF(AND(D22="N",AG22&lt;&gt;""),('Récapitulatif '!$AJ$3-AG22),""))))))</f>
        <v/>
      </c>
      <c r="AG22" s="261" t="str">
        <f t="shared" si="20"/>
        <v/>
      </c>
      <c r="AH22" s="218">
        <f t="shared" si="3"/>
        <v>1</v>
      </c>
      <c r="AI22" s="13" t="str">
        <f t="shared" si="4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21"/>
        <v>43789</v>
      </c>
      <c r="D23" s="646" t="s">
        <v>205</v>
      </c>
      <c r="E23" s="633" t="str">
        <f t="shared" si="5"/>
        <v/>
      </c>
      <c r="F23" s="634" t="str">
        <f t="shared" si="6"/>
        <v/>
      </c>
      <c r="G23" s="626" t="s">
        <v>184</v>
      </c>
      <c r="H23" s="128">
        <f t="shared" si="0"/>
        <v>1</v>
      </c>
      <c r="I23" s="127" t="str">
        <f t="shared" si="7"/>
        <v/>
      </c>
      <c r="J23" s="299"/>
      <c r="K23" s="86">
        <v>4.55</v>
      </c>
      <c r="L23" s="11">
        <v>13</v>
      </c>
      <c r="M23" s="11"/>
      <c r="N23" s="369"/>
      <c r="O23" s="371">
        <f t="shared" si="8"/>
        <v>4.9166666666666661</v>
      </c>
      <c r="P23" s="73">
        <f t="shared" si="9"/>
        <v>13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>
        <f t="shared" si="13"/>
        <v>7.7500000000000009</v>
      </c>
      <c r="V23" s="372">
        <f t="shared" si="14"/>
        <v>1.0833333333333339</v>
      </c>
      <c r="W23" s="114">
        <f t="shared" si="15"/>
        <v>7.7500000000000009</v>
      </c>
      <c r="X23" s="161" t="str">
        <f>+IF(D23="cp",(I23*'Récapitulatif '!$AJ$3),"")</f>
        <v/>
      </c>
      <c r="Y23" s="163">
        <f t="shared" si="1"/>
        <v>1.0833333333333339</v>
      </c>
      <c r="Z23" s="154" t="str">
        <f t="shared" si="16"/>
        <v/>
      </c>
      <c r="AA23" s="154" t="str">
        <f t="shared" si="2"/>
        <v/>
      </c>
      <c r="AB23" s="479" t="str">
        <f t="shared" si="22"/>
        <v/>
      </c>
      <c r="AC23" s="475" t="str">
        <f t="shared" si="17"/>
        <v/>
      </c>
      <c r="AD23" s="118" t="str">
        <f t="shared" si="18"/>
        <v/>
      </c>
      <c r="AE23" s="261" t="str">
        <f t="shared" si="19"/>
        <v/>
      </c>
      <c r="AF23" s="475" t="str">
        <f>+IF(AND(WEEKDAY(C23)=1,$C$4:$C$34=$C$70),"",IF(AND($C$4:$C$34=$C$70,D23=""),'Récapitulatif '!$AJ$3,IF(AND(D23="N",AG23&lt;&gt;""),('Récapitulatif '!$AJ$3-AG23),IF(AND(WEEKDAY(C23)=1,$C$4:$C$34=$C$71),"",IF(AND($C$4:$C$34=$C$71,D23=""),'Récapitulatif '!$AJ$3,IF(AND(D23="N",AG23&lt;&gt;""),('Récapitulatif '!$AJ$3-AG23),""))))))</f>
        <v/>
      </c>
      <c r="AG23" s="261" t="str">
        <f t="shared" si="20"/>
        <v/>
      </c>
      <c r="AH23" s="218">
        <f t="shared" si="3"/>
        <v>1</v>
      </c>
      <c r="AI23" s="13" t="str">
        <f t="shared" si="4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21"/>
        <v>43790</v>
      </c>
      <c r="D24" s="646" t="s">
        <v>205</v>
      </c>
      <c r="E24" s="633" t="str">
        <f t="shared" si="5"/>
        <v/>
      </c>
      <c r="F24" s="634" t="str">
        <f t="shared" si="6"/>
        <v/>
      </c>
      <c r="G24" s="628" t="s">
        <v>184</v>
      </c>
      <c r="H24" s="128">
        <f t="shared" si="0"/>
        <v>1</v>
      </c>
      <c r="I24" s="127" t="str">
        <f t="shared" si="7"/>
        <v/>
      </c>
      <c r="J24" s="299"/>
      <c r="K24" s="86">
        <v>4.55</v>
      </c>
      <c r="L24" s="11">
        <v>13</v>
      </c>
      <c r="M24" s="11"/>
      <c r="N24" s="369"/>
      <c r="O24" s="371">
        <f t="shared" si="8"/>
        <v>4.9166666666666661</v>
      </c>
      <c r="P24" s="73">
        <f t="shared" si="9"/>
        <v>13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>
        <f t="shared" si="13"/>
        <v>7.7500000000000009</v>
      </c>
      <c r="V24" s="372">
        <f t="shared" si="14"/>
        <v>1.0833333333333339</v>
      </c>
      <c r="W24" s="114">
        <f t="shared" si="15"/>
        <v>7.7500000000000009</v>
      </c>
      <c r="X24" s="161" t="str">
        <f>+IF(D24="cp",(I24*'Récapitulatif '!$AJ$3),"")</f>
        <v/>
      </c>
      <c r="Y24" s="163">
        <f t="shared" si="1"/>
        <v>1.0833333333333339</v>
      </c>
      <c r="Z24" s="154" t="str">
        <f t="shared" si="16"/>
        <v/>
      </c>
      <c r="AA24" s="154" t="str">
        <f t="shared" si="2"/>
        <v/>
      </c>
      <c r="AB24" s="479" t="str">
        <f t="shared" si="22"/>
        <v/>
      </c>
      <c r="AC24" s="475" t="str">
        <f t="shared" si="17"/>
        <v/>
      </c>
      <c r="AD24" s="118" t="str">
        <f t="shared" si="18"/>
        <v/>
      </c>
      <c r="AE24" s="261" t="str">
        <f t="shared" si="19"/>
        <v/>
      </c>
      <c r="AF24" s="475" t="str">
        <f>+IF(AND(WEEKDAY(C24)=1,$C$4:$C$34=$C$70),"",IF(AND($C$4:$C$34=$C$70,D24=""),'Récapitulatif '!$AJ$3,IF(AND(D24="N",AG24&lt;&gt;""),('Récapitulatif '!$AJ$3-AG24),IF(AND(WEEKDAY(C24)=1,$C$4:$C$34=$C$71),"",IF(AND($C$4:$C$34=$C$71,D24=""),'Récapitulatif '!$AJ$3,IF(AND(D24="N",AG24&lt;&gt;""),('Récapitulatif '!$AJ$3-AG24),""))))))</f>
        <v/>
      </c>
      <c r="AG24" s="261" t="str">
        <f t="shared" si="20"/>
        <v/>
      </c>
      <c r="AH24" s="218">
        <f t="shared" si="3"/>
        <v>1</v>
      </c>
      <c r="AI24" s="13" t="str">
        <f t="shared" si="4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1"/>
        <v>43791</v>
      </c>
      <c r="D25" s="646" t="s">
        <v>205</v>
      </c>
      <c r="E25" s="633" t="str">
        <f t="shared" si="5"/>
        <v/>
      </c>
      <c r="F25" s="634" t="str">
        <f t="shared" si="6"/>
        <v/>
      </c>
      <c r="G25" s="626" t="s">
        <v>184</v>
      </c>
      <c r="H25" s="128">
        <f t="shared" si="0"/>
        <v>1</v>
      </c>
      <c r="I25" s="127" t="str">
        <f t="shared" si="7"/>
        <v/>
      </c>
      <c r="J25" s="299"/>
      <c r="K25" s="86">
        <v>4.55</v>
      </c>
      <c r="L25" s="11">
        <v>13</v>
      </c>
      <c r="M25" s="11"/>
      <c r="N25" s="369"/>
      <c r="O25" s="371">
        <f t="shared" si="8"/>
        <v>4.9166666666666661</v>
      </c>
      <c r="P25" s="73">
        <f t="shared" si="9"/>
        <v>13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>
        <f t="shared" si="13"/>
        <v>7.7500000000000009</v>
      </c>
      <c r="V25" s="372">
        <f t="shared" si="14"/>
        <v>1.0833333333333339</v>
      </c>
      <c r="W25" s="114">
        <f t="shared" si="15"/>
        <v>7.7500000000000009</v>
      </c>
      <c r="X25" s="161" t="str">
        <f>+IF(D25="cp",(I25*'Récapitulatif '!$AJ$3),"")</f>
        <v/>
      </c>
      <c r="Y25" s="163">
        <f t="shared" si="1"/>
        <v>1.0833333333333339</v>
      </c>
      <c r="Z25" s="154" t="str">
        <f t="shared" si="16"/>
        <v/>
      </c>
      <c r="AA25" s="154" t="str">
        <f t="shared" si="2"/>
        <v/>
      </c>
      <c r="AB25" s="479" t="str">
        <f t="shared" si="22"/>
        <v/>
      </c>
      <c r="AC25" s="475" t="str">
        <f t="shared" si="17"/>
        <v/>
      </c>
      <c r="AD25" s="118" t="str">
        <f t="shared" si="18"/>
        <v/>
      </c>
      <c r="AE25" s="261" t="str">
        <f t="shared" si="19"/>
        <v/>
      </c>
      <c r="AF25" s="475" t="str">
        <f>+IF(AND(WEEKDAY(C25)=1,$C$4:$C$34=$C$70),"",IF(AND($C$4:$C$34=$C$70,D25=""),'Récapitulatif '!$AJ$3,IF(AND(D25="N",AG25&lt;&gt;""),('Récapitulatif '!$AJ$3-AG25),IF(AND(WEEKDAY(C25)=1,$C$4:$C$34=$C$71),"",IF(AND($C$4:$C$34=$C$71,D25=""),'Récapitulatif '!$AJ$3,IF(AND(D25="N",AG25&lt;&gt;""),('Récapitulatif '!$AJ$3-AG25),""))))))</f>
        <v/>
      </c>
      <c r="AG25" s="261" t="str">
        <f t="shared" si="20"/>
        <v/>
      </c>
      <c r="AH25" s="218">
        <f t="shared" si="3"/>
        <v>1</v>
      </c>
      <c r="AI25" s="13" t="str">
        <f t="shared" si="4"/>
        <v/>
      </c>
    </row>
    <row r="26" spans="1:38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112">
        <f t="shared" si="21"/>
        <v>43792</v>
      </c>
      <c r="D26" s="646"/>
      <c r="E26" s="633" t="str">
        <f t="shared" si="5"/>
        <v/>
      </c>
      <c r="F26" s="634" t="str">
        <f t="shared" si="6"/>
        <v/>
      </c>
      <c r="G26" s="628"/>
      <c r="H26" s="128" t="str">
        <f t="shared" si="0"/>
        <v/>
      </c>
      <c r="I26" s="127" t="str">
        <f t="shared" si="7"/>
        <v/>
      </c>
      <c r="J26" s="299"/>
      <c r="K26" s="86"/>
      <c r="L26" s="11"/>
      <c r="M26" s="11"/>
      <c r="N26" s="369"/>
      <c r="O26" s="371">
        <f t="shared" si="8"/>
        <v>0</v>
      </c>
      <c r="P26" s="73">
        <f t="shared" si="9"/>
        <v>0</v>
      </c>
      <c r="Q26" s="73">
        <f t="shared" si="10"/>
        <v>0</v>
      </c>
      <c r="R26" s="73">
        <f t="shared" si="11"/>
        <v>0</v>
      </c>
      <c r="S26" s="73">
        <v>0.2</v>
      </c>
      <c r="T26" s="73">
        <f t="shared" si="12"/>
        <v>0.33333333333333337</v>
      </c>
      <c r="U26" s="12" t="str">
        <f t="shared" si="13"/>
        <v/>
      </c>
      <c r="V26" s="372" t="e">
        <f t="shared" si="14"/>
        <v>#VALUE!</v>
      </c>
      <c r="W26" s="114" t="str">
        <f t="shared" si="15"/>
        <v/>
      </c>
      <c r="X26" s="161" t="str">
        <f>+IF(D26="cp",(I26*'Récapitulatif '!$AJ$3),"")</f>
        <v/>
      </c>
      <c r="Y26" s="163" t="str">
        <f t="shared" si="1"/>
        <v/>
      </c>
      <c r="Z26" s="154" t="str">
        <f t="shared" si="16"/>
        <v/>
      </c>
      <c r="AA26" s="154" t="str">
        <f t="shared" si="2"/>
        <v/>
      </c>
      <c r="AB26" s="479" t="str">
        <f t="shared" si="22"/>
        <v/>
      </c>
      <c r="AC26" s="475" t="str">
        <f t="shared" si="17"/>
        <v/>
      </c>
      <c r="AD26" s="118" t="str">
        <f t="shared" si="18"/>
        <v/>
      </c>
      <c r="AE26" s="261" t="str">
        <f t="shared" si="19"/>
        <v/>
      </c>
      <c r="AF26" s="475" t="str">
        <f>+IF(AND(WEEKDAY(C26)=1,$C$4:$C$34=$C$70),"",IF(AND($C$4:$C$34=$C$70,D26=""),'Récapitulatif '!$AJ$3,IF(AND(D26="N",AG26&lt;&gt;""),('Récapitulatif '!$AJ$3-AG26),IF(AND(WEEKDAY(C26)=1,$C$4:$C$34=$C$71),"",IF(AND($C$4:$C$34=$C$71,D26=""),'Récapitulatif '!$AJ$3,IF(AND(D26="N",AG26&lt;&gt;""),('Récapitulatif '!$AJ$3-AG26),""))))))</f>
        <v/>
      </c>
      <c r="AG26" s="261" t="str">
        <f t="shared" si="20"/>
        <v/>
      </c>
      <c r="AH26" s="218" t="str">
        <f t="shared" si="3"/>
        <v/>
      </c>
      <c r="AI26" s="13" t="str">
        <f t="shared" si="4"/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1"/>
        <v>43793</v>
      </c>
      <c r="D27" s="646"/>
      <c r="E27" s="633" t="str">
        <f t="shared" si="5"/>
        <v/>
      </c>
      <c r="F27" s="634" t="str">
        <f t="shared" si="6"/>
        <v/>
      </c>
      <c r="G27" s="628"/>
      <c r="H27" s="128" t="str">
        <f t="shared" si="0"/>
        <v/>
      </c>
      <c r="I27" s="127" t="str">
        <f t="shared" si="7"/>
        <v/>
      </c>
      <c r="J27" s="299"/>
      <c r="K27" s="86"/>
      <c r="L27" s="11"/>
      <c r="M27" s="11"/>
      <c r="N27" s="369"/>
      <c r="O27" s="371">
        <f t="shared" si="8"/>
        <v>0</v>
      </c>
      <c r="P27" s="73">
        <f t="shared" si="9"/>
        <v>0</v>
      </c>
      <c r="Q27" s="73">
        <f t="shared" si="10"/>
        <v>0</v>
      </c>
      <c r="R27" s="73">
        <f t="shared" si="11"/>
        <v>0</v>
      </c>
      <c r="S27" s="73">
        <v>0.2</v>
      </c>
      <c r="T27" s="73">
        <f t="shared" si="12"/>
        <v>0.33333333333333337</v>
      </c>
      <c r="U27" s="12" t="str">
        <f t="shared" si="13"/>
        <v/>
      </c>
      <c r="V27" s="372" t="e">
        <f t="shared" si="14"/>
        <v>#VALUE!</v>
      </c>
      <c r="W27" s="114" t="str">
        <f t="shared" si="15"/>
        <v/>
      </c>
      <c r="X27" s="161" t="str">
        <f>+IF(D27="cp",(I27*'Récapitulatif '!$AJ$3),"")</f>
        <v/>
      </c>
      <c r="Y27" s="163" t="str">
        <f t="shared" si="1"/>
        <v/>
      </c>
      <c r="Z27" s="154" t="str">
        <f t="shared" si="16"/>
        <v/>
      </c>
      <c r="AA27" s="154" t="str">
        <f t="shared" si="2"/>
        <v/>
      </c>
      <c r="AB27" s="479">
        <f t="shared" si="22"/>
        <v>38.750000000000007</v>
      </c>
      <c r="AC27" s="475" t="str">
        <f t="shared" si="17"/>
        <v/>
      </c>
      <c r="AD27" s="118" t="str">
        <f t="shared" si="18"/>
        <v/>
      </c>
      <c r="AE27" s="261" t="str">
        <f t="shared" si="19"/>
        <v/>
      </c>
      <c r="AF27" s="475" t="str">
        <f>+IF(AND(WEEKDAY(C27)=1,$C$4:$C$34=$C$70),"",IF(AND($C$4:$C$34=$C$70,D27=""),'Récapitulatif '!$AJ$3,IF(AND(D27="N",AG27&lt;&gt;""),('Récapitulatif '!$AJ$3-AG27),IF(AND(WEEKDAY(C27)=1,$C$4:$C$34=$C$71),"",IF(AND($C$4:$C$34=$C$71,D27=""),'Récapitulatif '!$AJ$3,IF(AND(D27="N",AG27&lt;&gt;""),('Récapitulatif '!$AJ$3-AG27),""))))))</f>
        <v/>
      </c>
      <c r="AG27" s="261" t="str">
        <f t="shared" si="20"/>
        <v/>
      </c>
      <c r="AH27" s="218" t="str">
        <f t="shared" si="3"/>
        <v/>
      </c>
      <c r="AI27" s="13" t="str">
        <f t="shared" si="4"/>
        <v/>
      </c>
    </row>
    <row r="28" spans="1:38">
      <c r="A28" s="482">
        <f>IF(WEEKDAY(C28,2)=1,INT((C28-SUM(MOD(DATE(YEAR(C28-MOD(C28-2,7)+3),1,2),{1E+99;7})*{1;-1})+5)/7),"")</f>
        <v>48</v>
      </c>
      <c r="B28" s="482" t="str">
        <f>IF(A28&lt;&gt;"",VLOOKUP(A28,juin!$L$49:$M$101,2,FALSE),"")</f>
        <v>Mystère</v>
      </c>
      <c r="C28" s="112">
        <f t="shared" si="21"/>
        <v>43794</v>
      </c>
      <c r="D28" s="646" t="s">
        <v>208</v>
      </c>
      <c r="E28" s="633" t="str">
        <f t="shared" si="5"/>
        <v/>
      </c>
      <c r="F28" s="634" t="str">
        <f t="shared" si="6"/>
        <v/>
      </c>
      <c r="G28" s="628" t="s">
        <v>189</v>
      </c>
      <c r="H28" s="128">
        <f t="shared" si="0"/>
        <v>1</v>
      </c>
      <c r="I28" s="127" t="str">
        <f t="shared" si="7"/>
        <v/>
      </c>
      <c r="J28" s="299"/>
      <c r="K28" s="86">
        <v>8</v>
      </c>
      <c r="L28" s="11">
        <v>16</v>
      </c>
      <c r="M28" s="11"/>
      <c r="N28" s="369"/>
      <c r="O28" s="371">
        <f t="shared" ref="O28:Q29" si="23">+((K28-INT(K28))/60*100)+INT(K28)</f>
        <v>8</v>
      </c>
      <c r="P28" s="73">
        <f t="shared" si="23"/>
        <v>16</v>
      </c>
      <c r="Q28" s="73">
        <f t="shared" si="23"/>
        <v>0</v>
      </c>
      <c r="R28" s="73">
        <f t="shared" si="11"/>
        <v>0</v>
      </c>
      <c r="S28" s="73">
        <v>0.2</v>
      </c>
      <c r="T28" s="73">
        <f t="shared" si="12"/>
        <v>0.33333333333333337</v>
      </c>
      <c r="U28" s="12">
        <f>+IF(D28="","",IF(D28="CP","",IF(D28="J2",((N28-M28)+(L28-K28)),IF(O28&lt;P28,P28-O28,P28+24-O28)-T28)))</f>
        <v>7.666666666666667</v>
      </c>
      <c r="V28" s="372">
        <f>IF(O28&lt;P28,IF(K28="","",IF(O28&gt;$D$75,24-O28,IF(O28&lt;$D$76,$D$76-O28,0)))+IF(P28&lt;$D$76,P28,IF(P28&gt;$D$75,P28-$D$75,0)),IF(K28="","",IF(O28&gt;$D$75,24-O28,IF(O28&lt;$D$76,$D$76-O28,3)))+IF(P28&lt;$D$76,P28,IF(P28&gt;$D$75,24-P28,P28)))</f>
        <v>0</v>
      </c>
      <c r="W28" s="114">
        <f>+IF(U28&gt;=6,U28,IF(D28="J2",((N28-M28)+(L28-K28)),IF(O28&lt;P28,P28-O28,P28+24-O28)))</f>
        <v>7.666666666666667</v>
      </c>
      <c r="X28" s="161" t="str">
        <f>+IF(D28="cp",(I28*'Récapitulatif '!$AJ$3),"")</f>
        <v/>
      </c>
      <c r="Y28" s="163">
        <f t="shared" si="1"/>
        <v>0</v>
      </c>
      <c r="Z28" s="154" t="str">
        <f t="shared" si="16"/>
        <v/>
      </c>
      <c r="AA28" s="154" t="str">
        <f t="shared" si="2"/>
        <v/>
      </c>
      <c r="AB28" s="479" t="str">
        <f t="shared" si="22"/>
        <v/>
      </c>
      <c r="AC28" s="475" t="str">
        <f>+IF(AND(WEEKDAY(C28)=7,D28="N"),(24-O28),IF(WEEKDAY(C28)=7,W28,IF(AND(WEEKDAY(C28)=6,D28="N"),(L28-0.33),IF(WEEKDAY(C28)=7,W28,""))))</f>
        <v/>
      </c>
      <c r="AD28" s="118" t="str">
        <f>+IF(AND(WEEKDAY(C28)=1,D28="N"),(24-O28),IF(WEEKDAY(C28)=1,W28,IF(AND(WEEKDAY(C28)=7,D28="N"),(L28-0.33),IF(WEEKDAY(C28)=1,W28,""))))</f>
        <v/>
      </c>
      <c r="AE28" s="261" t="str">
        <f t="shared" si="19"/>
        <v/>
      </c>
      <c r="AF28" s="475" t="str">
        <f>+IF(AND(WEEKDAY(C28)=1,$C$4:$C$34=$C$70),"",IF(AND($C$4:$C$34=$C$70,D28=""),'Récapitulatif '!$AJ$3,IF(AND(D28="N",AG28&lt;&gt;""),('Récapitulatif '!$AJ$3-AG28),IF(AND(WEEKDAY(C28)=1,$C$4:$C$34=$C$71),"",IF(AND($C$4:$C$34=$C$71,D28=""),'Récapitulatif '!$AJ$3,IF(AND(D28="N",AG28&lt;&gt;""),('Récapitulatif '!$AJ$3-AG28),""))))))</f>
        <v/>
      </c>
      <c r="AG28" s="261" t="str">
        <f>+IF(AND($C$4:$C$43=($C$70-1),$D$4:$D$43="N"),(L28-T28),IF(AND($C$4:$C$43=($C$70),$D$4:$D$43="N"),(24-K28),IF(AND($C$4:$C$43=($C$71-1),$D$4:$D$43="N"),(L28-T28),IF(AND($C$4:$C$43=($C$71),$D$4:$D$43="N"),(24-K28),IF(OR($C$4:$C$43=($C$70),$C$4:$C$43=$C$71),$W28,"")))))</f>
        <v/>
      </c>
      <c r="AH28" s="218">
        <f>IF(K28="","",IF(D28="J2","",IF(AI28=1,"",IF(U28&gt;=6,1,""))))</f>
        <v>1</v>
      </c>
      <c r="AI28" s="13" t="str">
        <f>+IF(K28="","",IF(Y28&gt;=4,1,""))</f>
        <v/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21"/>
        <v>43795</v>
      </c>
      <c r="D29" s="646" t="s">
        <v>202</v>
      </c>
      <c r="E29" s="633" t="str">
        <f t="shared" si="5"/>
        <v/>
      </c>
      <c r="F29" s="634" t="str">
        <f t="shared" si="6"/>
        <v/>
      </c>
      <c r="G29" s="628" t="s">
        <v>186</v>
      </c>
      <c r="H29" s="128">
        <f t="shared" si="0"/>
        <v>1</v>
      </c>
      <c r="I29" s="127" t="str">
        <f t="shared" si="7"/>
        <v/>
      </c>
      <c r="J29" s="299"/>
      <c r="K29" s="86">
        <v>12.55</v>
      </c>
      <c r="L29" s="11">
        <v>21</v>
      </c>
      <c r="M29" s="11"/>
      <c r="N29" s="369"/>
      <c r="O29" s="371">
        <f t="shared" si="23"/>
        <v>12.916666666666668</v>
      </c>
      <c r="P29" s="73">
        <f t="shared" si="23"/>
        <v>21</v>
      </c>
      <c r="Q29" s="73">
        <f t="shared" si="23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>
        <f>+IF(D29="","",IF(D29="CP","",IF(D29="J2",((N29-M29)+(L29-K29)),IF(O29&lt;P29,P29-O29,P29+24-O29)-T29)))</f>
        <v>7.7499999999999991</v>
      </c>
      <c r="V29" s="372">
        <f>IF(O29&lt;P29,IF(K29="","",IF(O29&gt;$D$75,24-O29,IF(O29&lt;$D$76,$D$76-O29,0)))+IF(P29&lt;$D$76,P29,IF(P29&gt;$D$75,P29-$D$75,0)),IF(K29="","",IF(O29&gt;$D$75,24-O29,IF(O29&lt;$D$76,$D$76-O29,3)))+IF(P29&lt;$D$76,P29,IF(P29&gt;$D$75,24-P29,P29)))</f>
        <v>0</v>
      </c>
      <c r="W29" s="114">
        <f>+IF(U29&gt;=6,U29,IF(D29="J2",((N29-M29)+(L29-K29)),IF(O29&lt;P29,P29-O29,P29+24-O29)))</f>
        <v>7.7499999999999991</v>
      </c>
      <c r="X29" s="161" t="str">
        <f>+IF(D29="cp",(I29*'Récapitulatif '!$AJ$3),"")</f>
        <v/>
      </c>
      <c r="Y29" s="163">
        <f t="shared" si="1"/>
        <v>0</v>
      </c>
      <c r="Z29" s="154" t="str">
        <f t="shared" si="16"/>
        <v/>
      </c>
      <c r="AA29" s="154" t="str">
        <f t="shared" si="2"/>
        <v/>
      </c>
      <c r="AB29" s="479" t="str">
        <f t="shared" si="22"/>
        <v/>
      </c>
      <c r="AC29" s="475" t="str">
        <f>+IF(AND(WEEKDAY(C29)=7,D29="N"),(24-O29),IF(WEEKDAY(C29)=7,W29,IF(AND(WEEKDAY(C29)=6,D29="N"),(L29-0.33),IF(WEEKDAY(C29)=7,W29,""))))</f>
        <v/>
      </c>
      <c r="AD29" s="118" t="str">
        <f>+IF(AND(WEEKDAY(C29)=1,D29="N"),(24-O29),IF(WEEKDAY(C29)=1,W29,IF(AND(WEEKDAY(C29)=7,D29="N"),(L29-0.33),IF(WEEKDAY(C29)=1,W29,""))))</f>
        <v/>
      </c>
      <c r="AE29" s="261" t="str">
        <f t="shared" si="19"/>
        <v/>
      </c>
      <c r="AF29" s="475" t="str">
        <f>+IF(AND(WEEKDAY(C29)=1,$C$4:$C$34=$C$70),"",IF(AND($C$4:$C$34=$C$70,D29=""),'Récapitulatif '!$AJ$3,IF(AND(D29="N",AG29&lt;&gt;""),('Récapitulatif '!$AJ$3-AG29),IF(AND(WEEKDAY(C29)=1,$C$4:$C$34=$C$71),"",IF(AND($C$4:$C$34=$C$71,D29=""),'Récapitulatif '!$AJ$3,IF(AND(D29="N",AG29&lt;&gt;""),('Récapitulatif '!$AJ$3-AG29),""))))))</f>
        <v/>
      </c>
      <c r="AG29" s="261" t="str">
        <f>+IF(AND($C$4:$C$43=($C$70-1),$D$4:$D$43="N"),(L29-T29),IF(AND($C$4:$C$43=($C$70),$D$4:$D$43="N"),(24-K29),IF(AND($C$4:$C$43=($C$71-1),$D$4:$D$43="N"),(L29-T29),IF(AND($C$4:$C$43=($C$71),$D$4:$D$43="N"),(24-K29),IF(OR($C$4:$C$43=($C$70),$C$4:$C$43=$C$71),$W29,"")))))</f>
        <v/>
      </c>
      <c r="AH29" s="218">
        <f>IF(K29="","",IF(D29="J2","",IF(AI29=1,"",IF(U29&gt;=6,1,""))))</f>
        <v>1</v>
      </c>
      <c r="AI29" s="13" t="str">
        <f>+IF(K29="","",IF(Y29&gt;=4,1,""))</f>
        <v/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21"/>
        <v>43796</v>
      </c>
      <c r="D30" s="646" t="s">
        <v>202</v>
      </c>
      <c r="E30" s="633" t="str">
        <f t="shared" si="5"/>
        <v/>
      </c>
      <c r="F30" s="634" t="str">
        <f t="shared" si="6"/>
        <v/>
      </c>
      <c r="G30" s="626" t="s">
        <v>186</v>
      </c>
      <c r="H30" s="128">
        <f t="shared" si="0"/>
        <v>1</v>
      </c>
      <c r="I30" s="127" t="str">
        <f t="shared" si="7"/>
        <v/>
      </c>
      <c r="J30" s="299"/>
      <c r="K30" s="86">
        <v>12.55</v>
      </c>
      <c r="L30" s="11">
        <v>20</v>
      </c>
      <c r="M30" s="11"/>
      <c r="N30" s="369"/>
      <c r="O30" s="371">
        <f t="shared" si="8"/>
        <v>12.916666666666668</v>
      </c>
      <c r="P30" s="73">
        <f t="shared" si="9"/>
        <v>20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>
        <f t="shared" si="13"/>
        <v>6.7499999999999991</v>
      </c>
      <c r="V30" s="372">
        <f t="shared" si="14"/>
        <v>0</v>
      </c>
      <c r="W30" s="114">
        <f t="shared" si="15"/>
        <v>6.7499999999999991</v>
      </c>
      <c r="X30" s="161" t="str">
        <f>+IF(D30="cp",(I30*'Récapitulatif '!$AJ$3),"")</f>
        <v/>
      </c>
      <c r="Y30" s="163">
        <f t="shared" si="1"/>
        <v>0</v>
      </c>
      <c r="Z30" s="154" t="str">
        <f t="shared" si="16"/>
        <v/>
      </c>
      <c r="AA30" s="154" t="str">
        <f t="shared" si="2"/>
        <v/>
      </c>
      <c r="AB30" s="479" t="str">
        <f t="shared" si="22"/>
        <v/>
      </c>
      <c r="AC30" s="475" t="str">
        <f t="shared" si="17"/>
        <v/>
      </c>
      <c r="AD30" s="118" t="str">
        <f t="shared" si="18"/>
        <v/>
      </c>
      <c r="AE30" s="261" t="str">
        <f t="shared" si="19"/>
        <v/>
      </c>
      <c r="AF30" s="475" t="str">
        <f>+IF(AND(WEEKDAY(C30)=1,$C$4:$C$34=$C$70),"",IF(AND($C$4:$C$34=$C$70,D30=""),'Récapitulatif '!$AJ$3,IF(AND(D30="N",AG30&lt;&gt;""),('Récapitulatif '!$AJ$3-AG30),IF(AND(WEEKDAY(C30)=1,$C$4:$C$34=$C$71),"",IF(AND($C$4:$C$34=$C$71,D30=""),'Récapitulatif '!$AJ$3,IF(AND(D30="N",AG30&lt;&gt;""),('Récapitulatif '!$AJ$3-AG30),""))))))</f>
        <v/>
      </c>
      <c r="AG30" s="261" t="str">
        <f t="shared" si="20"/>
        <v/>
      </c>
      <c r="AH30" s="218">
        <f t="shared" si="3"/>
        <v>1</v>
      </c>
      <c r="AI30" s="13" t="str">
        <f t="shared" si="4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21"/>
        <v>43797</v>
      </c>
      <c r="D31" s="646" t="s">
        <v>202</v>
      </c>
      <c r="E31" s="633" t="str">
        <f t="shared" si="5"/>
        <v/>
      </c>
      <c r="F31" s="634" t="str">
        <f t="shared" si="6"/>
        <v/>
      </c>
      <c r="G31" s="628" t="s">
        <v>186</v>
      </c>
      <c r="H31" s="128">
        <f t="shared" si="0"/>
        <v>1</v>
      </c>
      <c r="I31" s="127" t="str">
        <f t="shared" si="7"/>
        <v/>
      </c>
      <c r="J31" s="299"/>
      <c r="K31" s="86">
        <v>12.55</v>
      </c>
      <c r="L31" s="11">
        <v>21</v>
      </c>
      <c r="M31" s="11"/>
      <c r="N31" s="369"/>
      <c r="O31" s="371">
        <f t="shared" si="8"/>
        <v>12.916666666666668</v>
      </c>
      <c r="P31" s="73">
        <f t="shared" si="9"/>
        <v>21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>
        <f t="shared" si="13"/>
        <v>7.7499999999999991</v>
      </c>
      <c r="V31" s="372">
        <f t="shared" si="14"/>
        <v>0</v>
      </c>
      <c r="W31" s="114">
        <f t="shared" si="15"/>
        <v>7.7499999999999991</v>
      </c>
      <c r="X31" s="161" t="str">
        <f>+IF(D31="cp",(I31*'Récapitulatif '!$AJ$3),"")</f>
        <v/>
      </c>
      <c r="Y31" s="163">
        <f t="shared" si="1"/>
        <v>0</v>
      </c>
      <c r="Z31" s="154" t="str">
        <f t="shared" si="16"/>
        <v/>
      </c>
      <c r="AA31" s="154" t="str">
        <f t="shared" si="2"/>
        <v/>
      </c>
      <c r="AB31" s="479" t="str">
        <f t="shared" si="22"/>
        <v/>
      </c>
      <c r="AC31" s="475" t="str">
        <f t="shared" si="17"/>
        <v/>
      </c>
      <c r="AD31" s="118" t="str">
        <f t="shared" si="18"/>
        <v/>
      </c>
      <c r="AE31" s="261" t="str">
        <f t="shared" si="19"/>
        <v/>
      </c>
      <c r="AF31" s="475" t="str">
        <f>+IF(AND(WEEKDAY(C31)=1,$C$4:$C$34=$C$70),"",IF(AND($C$4:$C$34=$C$70,D31=""),'Récapitulatif '!$AJ$3,IF(AND(D31="N",AG31&lt;&gt;""),('Récapitulatif '!$AJ$3-AG31),IF(AND(WEEKDAY(C31)=1,$C$4:$C$34=$C$71),"",IF(AND($C$4:$C$34=$C$71,D31=""),'Récapitulatif '!$AJ$3,IF(AND(D31="N",AG31&lt;&gt;""),('Récapitulatif '!$AJ$3-AG31),""))))))</f>
        <v/>
      </c>
      <c r="AG31" s="261" t="str">
        <f t="shared" si="20"/>
        <v/>
      </c>
      <c r="AH31" s="218">
        <f t="shared" si="3"/>
        <v>1</v>
      </c>
      <c r="AI31" s="13" t="str">
        <f t="shared" si="4"/>
        <v/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43798</v>
      </c>
      <c r="D32" s="646" t="s">
        <v>208</v>
      </c>
      <c r="E32" s="633" t="str">
        <f t="shared" si="5"/>
        <v/>
      </c>
      <c r="F32" s="634" t="str">
        <f t="shared" si="6"/>
        <v/>
      </c>
      <c r="G32" s="626" t="s">
        <v>184</v>
      </c>
      <c r="H32" s="128">
        <f t="shared" si="0"/>
        <v>1</v>
      </c>
      <c r="I32" s="127" t="str">
        <f t="shared" si="7"/>
        <v/>
      </c>
      <c r="J32" s="299"/>
      <c r="K32" s="86">
        <v>9</v>
      </c>
      <c r="L32" s="11">
        <v>16.350000000000001</v>
      </c>
      <c r="M32" s="11"/>
      <c r="N32" s="369"/>
      <c r="O32" s="371">
        <f t="shared" si="8"/>
        <v>9</v>
      </c>
      <c r="P32" s="73">
        <f t="shared" si="9"/>
        <v>16.583333333333336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>
        <f t="shared" si="13"/>
        <v>7.2500000000000027</v>
      </c>
      <c r="V32" s="372">
        <f t="shared" si="14"/>
        <v>0</v>
      </c>
      <c r="W32" s="114">
        <f t="shared" si="15"/>
        <v>7.2500000000000027</v>
      </c>
      <c r="X32" s="161" t="str">
        <f>+IF(D32="cp",(I32*'Récapitulatif '!$AJ$3),"")</f>
        <v/>
      </c>
      <c r="Y32" s="163">
        <f t="shared" si="1"/>
        <v>0</v>
      </c>
      <c r="Z32" s="154" t="str">
        <f t="shared" si="16"/>
        <v/>
      </c>
      <c r="AA32" s="154" t="str">
        <f t="shared" si="2"/>
        <v/>
      </c>
      <c r="AB32" s="479" t="str">
        <f t="shared" si="22"/>
        <v/>
      </c>
      <c r="AC32" s="475" t="str">
        <f t="shared" si="17"/>
        <v/>
      </c>
      <c r="AD32" s="118" t="str">
        <f t="shared" si="18"/>
        <v/>
      </c>
      <c r="AE32" s="261" t="str">
        <f t="shared" si="19"/>
        <v/>
      </c>
      <c r="AF32" s="475" t="str">
        <f>+IF(AND(WEEKDAY(C32)=1,$C$4:$C$34=$C$70),"",IF(AND($C$4:$C$34=$C$70,D32=""),'Récapitulatif '!$AJ$3,IF(AND(D32="N",AG32&lt;&gt;""),('Récapitulatif '!$AJ$3-AG32),IF(AND(WEEKDAY(C32)=1,$C$4:$C$34=$C$71),"",IF(AND($C$4:$C$34=$C$71,D32=""),'Récapitulatif '!$AJ$3,IF(AND(D32="N",AG32&lt;&gt;""),('Récapitulatif '!$AJ$3-AG32),""))))))</f>
        <v/>
      </c>
      <c r="AG32" s="261" t="str">
        <f t="shared" si="20"/>
        <v/>
      </c>
      <c r="AH32" s="218">
        <f t="shared" si="3"/>
        <v>1</v>
      </c>
      <c r="AI32" s="13" t="str">
        <f t="shared" si="4"/>
        <v/>
      </c>
    </row>
    <row r="33" spans="1:39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112">
        <f>+IF(MONTH(C$31+2)=MONTH(C$31)+1,"",C$31+2)</f>
        <v>43799</v>
      </c>
      <c r="D33" s="646"/>
      <c r="E33" s="633" t="str">
        <f t="shared" si="5"/>
        <v/>
      </c>
      <c r="F33" s="634" t="str">
        <f t="shared" si="6"/>
        <v/>
      </c>
      <c r="G33" s="628"/>
      <c r="H33" s="128" t="str">
        <f t="shared" si="0"/>
        <v/>
      </c>
      <c r="I33" s="127" t="str">
        <f t="shared" si="7"/>
        <v/>
      </c>
      <c r="J33" s="299"/>
      <c r="K33" s="86"/>
      <c r="L33" s="11"/>
      <c r="M33" s="11"/>
      <c r="N33" s="369"/>
      <c r="O33" s="371">
        <f t="shared" si="8"/>
        <v>0</v>
      </c>
      <c r="P33" s="73">
        <f t="shared" si="9"/>
        <v>0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 t="str">
        <f t="shared" si="13"/>
        <v/>
      </c>
      <c r="V33" s="372" t="e">
        <f t="shared" si="14"/>
        <v>#VALUE!</v>
      </c>
      <c r="W33" s="114" t="str">
        <f t="shared" si="15"/>
        <v/>
      </c>
      <c r="X33" s="161" t="str">
        <f>+IF(D33="cp",(I33*'Récapitulatif '!$AJ$3),"")</f>
        <v/>
      </c>
      <c r="Y33" s="163" t="str">
        <f t="shared" si="1"/>
        <v/>
      </c>
      <c r="Z33" s="154" t="str">
        <f t="shared" si="16"/>
        <v/>
      </c>
      <c r="AA33" s="154" t="str">
        <f t="shared" si="2"/>
        <v/>
      </c>
      <c r="AB33" s="479" t="str">
        <f t="shared" si="22"/>
        <v/>
      </c>
      <c r="AC33" s="475" t="str">
        <f t="shared" si="17"/>
        <v/>
      </c>
      <c r="AD33" s="118" t="str">
        <f t="shared" si="18"/>
        <v/>
      </c>
      <c r="AE33" s="261" t="str">
        <f t="shared" si="19"/>
        <v/>
      </c>
      <c r="AF33" s="475" t="str">
        <f>+IF(AND(WEEKDAY(C33)=1,$C$4:$C$34=$C$70),"",IF(AND($C$4:$C$34=$C$70,D33=""),'Récapitulatif '!$AJ$3,IF(AND(D33="N",AG33&lt;&gt;""),('Récapitulatif '!$AJ$3-AG33),IF(AND(WEEKDAY(C33)=1,$C$4:$C$34=$C$71),"",IF(AND($C$4:$C$34=$C$71,D33=""),'Récapitulatif '!$AJ$3,IF(AND(D33="N",AG33&lt;&gt;""),('Récapitulatif '!$AJ$3-AG33),""))))))</f>
        <v/>
      </c>
      <c r="AG33" s="261" t="str">
        <f t="shared" si="20"/>
        <v/>
      </c>
      <c r="AH33" s="218" t="str">
        <f t="shared" si="3"/>
        <v/>
      </c>
      <c r="AI33" s="13" t="str">
        <f t="shared" si="4"/>
        <v/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/>
      <c r="D34" s="648"/>
      <c r="E34" s="635" t="str">
        <f t="shared" si="5"/>
        <v/>
      </c>
      <c r="F34" s="636" t="str">
        <f t="shared" si="6"/>
        <v/>
      </c>
      <c r="G34" s="627"/>
      <c r="H34" s="128" t="str">
        <f t="shared" si="0"/>
        <v/>
      </c>
      <c r="I34" s="127" t="str">
        <f t="shared" si="7"/>
        <v/>
      </c>
      <c r="J34" s="300"/>
      <c r="K34" s="87"/>
      <c r="L34" s="14"/>
      <c r="M34" s="14"/>
      <c r="N34" s="370"/>
      <c r="O34" s="373"/>
      <c r="P34" s="202"/>
      <c r="Q34" s="202"/>
      <c r="R34" s="202"/>
      <c r="S34" s="202"/>
      <c r="T34" s="202"/>
      <c r="U34" s="203"/>
      <c r="V34" s="374" t="e">
        <f t="shared" si="14"/>
        <v>#VALUE!</v>
      </c>
      <c r="W34" s="115"/>
      <c r="X34" s="204" t="str">
        <f>+IF(D34="cp",(I34*'Récapitulatif '!$AJ$3),"")</f>
        <v/>
      </c>
      <c r="Y34" s="164"/>
      <c r="Z34" s="154" t="str">
        <f t="shared" si="16"/>
        <v/>
      </c>
      <c r="AA34" s="154" t="str">
        <f t="shared" si="2"/>
        <v/>
      </c>
      <c r="AB34" s="480" t="str">
        <f t="shared" si="22"/>
        <v/>
      </c>
      <c r="AC34" s="476"/>
      <c r="AD34" s="120" t="str">
        <f t="shared" si="18"/>
        <v/>
      </c>
      <c r="AE34" s="262" t="str">
        <f t="shared" si="19"/>
        <v/>
      </c>
      <c r="AF34" s="476" t="str">
        <f>+IF(AND(WEEKDAY(C34)=1,$C$4:$C$34=$C$70),"",IF(AND($C$4:$C$34=$C$70,D34=""),'Récapitulatif '!$AJ$3,IF(AND(D34="N",AG34&lt;&gt;""),('Récapitulatif '!$AJ$3-AG34),IF(AND(WEEKDAY(C34)=1,$C$4:$C$34=$C$71),"",IF(AND($C$4:$C$34=$C$71,D34=""),'Récapitulatif '!$AJ$3,IF(AND(D34="N",AG34&lt;&gt;""),('Récapitulatif '!$AJ$3-AG34),""))))))</f>
        <v/>
      </c>
      <c r="AG34" s="262" t="str">
        <f t="shared" si="20"/>
        <v/>
      </c>
      <c r="AH34" s="219"/>
      <c r="AI34" s="15"/>
    </row>
    <row r="35" spans="1:39" ht="13.5" hidden="1" thickBot="1">
      <c r="A35" s="482" t="e">
        <f>INT((C35-SUM(MOD(DATE(YEAR(C35-MOD(C35-2,7)+3),1,2),{1E+99;7})*{1;-1})+5)/7)</f>
        <v>#NUM!</v>
      </c>
      <c r="B35" s="482" t="e">
        <f>IF(A35&lt;&gt;"",VLOOKUP(A35,juin!$L$49:$M$101,2,FALSE),"")</f>
        <v>#NUM!</v>
      </c>
      <c r="C35" s="191"/>
      <c r="D35" s="192"/>
      <c r="E35" s="192"/>
      <c r="F35" s="622" t="str">
        <f t="shared" si="6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+IF(WEEKDAY(C27)=1,SUM(W28:X34),IF(WEEKDAY(C28)=1,SUM(W29:X34),IF(WEEKDAY(C29)=1,SUM(W30:X34),IF(WEEKDAY(C30)=1,SUM(W31:X34),IF(WEEKDAY(C31)=1,SUM(W32:X34),IF(WEEKDAY(C32)=1,SUM(W33:X34),IF(WEEKDAY(C33)=1,SUM(W33:X33),"")))))))</f>
        <v>37.166666666666664</v>
      </c>
      <c r="AC35" s="199"/>
      <c r="AD35" s="199"/>
      <c r="AE35" s="174" t="e">
        <f>+IF(OR($C$4:$C$34=C99),W35,"")</f>
        <v>#VALUE!</v>
      </c>
      <c r="AF35" s="260" t="e">
        <f>+IF(AND(WEEKDAY(C35)=1,$C$4:$C$34=$C$70),"",IF(AND($C$4:$C$34=$C$70,D35=""),'Récapitulatif '!$AJ$3,IF(AND(D35="N",AG35&lt;&gt;""),('Récapitulatif '!$AJ$3-AG35),IF(AND(WEEKDAY(C35)=1,$C$4:$C$34=$C$71),"",IF(AND($C$4:$C$34=$C$71,D35=""),'Récapitulatif '!$AJ$3,IF(AND(D35="N",AG35&lt;&gt;""),('Récapitulatif '!$AJ$3-AG35),""))))))</f>
        <v>#VALUE!</v>
      </c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+SUM(I4:I33)</f>
        <v>0</v>
      </c>
      <c r="E37" s="609"/>
      <c r="F37" s="609"/>
      <c r="G37" s="836" t="s">
        <v>206</v>
      </c>
      <c r="H37" s="837"/>
      <c r="I37" s="837"/>
      <c r="J37" s="837"/>
      <c r="K37" s="616">
        <f>SUM(E4:E34)</f>
        <v>1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+SUM(U4:U33)</f>
        <v>145.66666666666666</v>
      </c>
      <c r="X37" s="151">
        <f>SUM(X4:X34)</f>
        <v>0</v>
      </c>
      <c r="Y37" s="117">
        <f>SUM(Y4:Y33)</f>
        <v>44.750000000000014</v>
      </c>
      <c r="Z37" s="155">
        <f>SUM(Z4:Z34)</f>
        <v>0</v>
      </c>
      <c r="AA37" s="155">
        <f>SUM(AA4:AA34)-Z37</f>
        <v>5</v>
      </c>
      <c r="AC37" s="121">
        <f>SUM(AC4:AC33)</f>
        <v>0</v>
      </c>
      <c r="AD37" s="122">
        <f>SUM(AD4:AD33)</f>
        <v>10.75</v>
      </c>
      <c r="AE37" s="123">
        <f>SUM(AE4:AE33)</f>
        <v>0</v>
      </c>
      <c r="AF37" s="121">
        <f>SUM(AF4:AF34)</f>
        <v>13.8</v>
      </c>
      <c r="AG37" s="123">
        <f>SUM(AG4:AG34)</f>
        <v>0</v>
      </c>
      <c r="AH37" s="314">
        <f>SUM(AH4:AH33)</f>
        <v>14</v>
      </c>
      <c r="AI37" s="23">
        <f>SUM(AI4:AI33)</f>
        <v>5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19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92.416666666666657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0.83333333333333337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+(Octobre!AE41+Y41)-AC41</f>
        <v>51.896666666666668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22.249999999999996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31.000000000000004</v>
      </c>
      <c r="E43" s="620"/>
      <c r="F43" s="620"/>
      <c r="K43" s="505" t="s">
        <v>79</v>
      </c>
      <c r="L43" s="508">
        <f>SUMIF($D$4:$D$34,"M",$W$4:$W$34)</f>
        <v>46.416666666666671</v>
      </c>
      <c r="M43" s="505">
        <f>COUNTIF($D$4:$D$34,"M")</f>
        <v>6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22.249999999999996</v>
      </c>
      <c r="M44" s="504">
        <f>COUNTIF($D$4:$D$34,"aM")</f>
        <v>3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38.749999999999993</v>
      </c>
      <c r="M45" s="506">
        <f>COUNTIF($D$4:$D$34,"n")</f>
        <v>5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60" spans="3:14" hidden="1">
      <c r="C60" s="813" t="s">
        <v>108</v>
      </c>
      <c r="D60" s="814"/>
      <c r="E60" s="814"/>
      <c r="F60" s="814"/>
      <c r="G60" s="815"/>
    </row>
    <row r="61" spans="3:14" ht="13.5" hidden="1" thickBot="1">
      <c r="C61" s="816">
        <f>+juin!C52</f>
        <v>2019</v>
      </c>
      <c r="D61" s="817"/>
      <c r="E61" s="817"/>
      <c r="F61" s="817"/>
      <c r="G61" s="818"/>
    </row>
    <row r="62" spans="3:14" ht="15" hidden="1">
      <c r="C62" s="666">
        <f>+DATE(C61,1,1)</f>
        <v>43466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AE55-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43586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43593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43615</v>
      </c>
      <c r="D66" s="676" t="s">
        <v>113</v>
      </c>
      <c r="E66" s="670"/>
      <c r="F66" s="670"/>
      <c r="G66" s="671"/>
    </row>
    <row r="67" spans="3:7" ht="15" hidden="1">
      <c r="C67" s="669">
        <f>+C70+11</f>
        <v>43781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43660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43692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43770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43780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43824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83E3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63" priority="15" stopIfTrue="1">
      <formula>OR(WEEKDAY($C4)=1)</formula>
    </cfRule>
  </conditionalFormatting>
  <conditionalFormatting sqref="AB4:AB34">
    <cfRule type="expression" dxfId="62" priority="16" stopIfTrue="1">
      <formula>OR(WEEKDAY($C4)=1)</formula>
    </cfRule>
  </conditionalFormatting>
  <conditionalFormatting sqref="D5:F12">
    <cfRule type="expression" dxfId="61" priority="14" stopIfTrue="1">
      <formula>OR(WEEKDAY($C5)=1)</formula>
    </cfRule>
  </conditionalFormatting>
  <conditionalFormatting sqref="G5:G32">
    <cfRule type="expression" dxfId="60" priority="13" stopIfTrue="1">
      <formula>OR(WEEKDAY($C5)=1)</formula>
    </cfRule>
  </conditionalFormatting>
  <conditionalFormatting sqref="K5:L12">
    <cfRule type="expression" dxfId="59" priority="12" stopIfTrue="1">
      <formula>OR(WEEKDAY($C5)=1)</formula>
    </cfRule>
  </conditionalFormatting>
  <conditionalFormatting sqref="K18:L18">
    <cfRule type="expression" dxfId="58" priority="11" stopIfTrue="1">
      <formula>OR(WEEKDAY($C18)=1)</formula>
    </cfRule>
  </conditionalFormatting>
  <conditionalFormatting sqref="A35:B35">
    <cfRule type="expression" dxfId="57" priority="9" stopIfTrue="1">
      <formula>OR(WEEKDAY($C35)=1)</formula>
    </cfRule>
  </conditionalFormatting>
  <conditionalFormatting sqref="A4:B34 B5:B35">
    <cfRule type="expression" dxfId="56" priority="8" stopIfTrue="1">
      <formula>OR(WEEKDAY($C4)=1)</formula>
    </cfRule>
  </conditionalFormatting>
  <conditionalFormatting sqref="A4:B34 B5:B35">
    <cfRule type="expression" dxfId="55" priority="7" stopIfTrue="1">
      <formula>OR(WEEKDAY($C4)=1)</formula>
    </cfRule>
  </conditionalFormatting>
  <conditionalFormatting sqref="G26:G32">
    <cfRule type="expression" dxfId="54" priority="6" stopIfTrue="1">
      <formula>OR(WEEKDAY($C26)=1)</formula>
    </cfRule>
  </conditionalFormatting>
  <conditionalFormatting sqref="D22:F26">
    <cfRule type="expression" dxfId="53" priority="5" stopIfTrue="1">
      <formula>OR(WEEKDAY($C22)=1)</formula>
    </cfRule>
  </conditionalFormatting>
  <conditionalFormatting sqref="K22:L26">
    <cfRule type="expression" dxfId="52" priority="4" stopIfTrue="1">
      <formula>OR(WEEKDAY($C22)=1)</formula>
    </cfRule>
  </conditionalFormatting>
  <conditionalFormatting sqref="G29:G33">
    <cfRule type="expression" dxfId="51" priority="3" stopIfTrue="1">
      <formula>OR(WEEKDAY($C29)=1)</formula>
    </cfRule>
  </conditionalFormatting>
  <conditionalFormatting sqref="C4:C34">
    <cfRule type="cellIs" dxfId="50" priority="2" operator="equal">
      <formula>$C$70</formula>
    </cfRule>
    <cfRule type="cellIs" dxfId="49" priority="1" operator="equal">
      <formula>$C$71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AM77"/>
  <sheetViews>
    <sheetView showGridLines="0" view="pageBreakPreview" zoomScaleNormal="75" zoomScaleSheetLayoutView="100" workbookViewId="0">
      <selection activeCell="W44" sqref="W44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+Novembre!C33+1</f>
        <v>43800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48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43800</v>
      </c>
      <c r="D4" s="678" t="s">
        <v>203</v>
      </c>
      <c r="E4" s="637" t="str">
        <f>+IF(AND(WEEKDAY(C4)=1,D4="M"),1,"")</f>
        <v/>
      </c>
      <c r="F4" s="638">
        <f>+IF(AND(WEEKDAY(C4)=1,D4="N"),1,"")</f>
        <v>1</v>
      </c>
      <c r="G4" s="625" t="s">
        <v>184</v>
      </c>
      <c r="H4" s="128">
        <f t="shared" ref="H4:H34" si="0">+IF(OR(D4="",D4="CP"),"",1)</f>
        <v>1</v>
      </c>
      <c r="I4" s="127" t="str">
        <f>+IF(D4="CP",1,"")</f>
        <v/>
      </c>
      <c r="J4" s="298"/>
      <c r="K4" s="85">
        <v>21</v>
      </c>
      <c r="L4" s="8">
        <v>5</v>
      </c>
      <c r="M4" s="8"/>
      <c r="N4" s="368"/>
      <c r="O4" s="371">
        <f>+((K4-INT(K4))/60*100)+INT(K4)</f>
        <v>21</v>
      </c>
      <c r="P4" s="73">
        <f>+((L4-INT(L4))/60*100)+INT(L4)</f>
        <v>5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>
        <f>+IF(D4="","",IF(D4="CP","",IF(D4="J2",((N4-M4)+(L4-K4)),IF(O4&lt;P4,P4-O4,P4+24-O4)-T4)))</f>
        <v>7.666666666666667</v>
      </c>
      <c r="V4" s="372">
        <f>IF(O4&lt;P4,IF(K4="","",IF(O4&gt;$D$75,24-O4,IF(O4&lt;$D$76,$D$76-O4,0)))+IF(P4&lt;$D$76,P4,IF(P4&gt;$D$75,P4-$D$75,0)),IF(K4="","",IF(O4&gt;$D$75,24-O4,IF(O4&lt;$D$76,$D$76-O4,3)))+IF(P4&lt;$D$76,P4,IF(P4&gt;$D$75,24-P4,P4)))</f>
        <v>8</v>
      </c>
      <c r="W4" s="113">
        <f>+IF(U4&gt;=6,U4,IF(D4="J2",((N4-M4)+(L4-K4)),IF(O4&lt;P4,P4-O4,P4+24-O4)))</f>
        <v>7.666666666666667</v>
      </c>
      <c r="X4" s="249" t="str">
        <f>+IF(D4="cp",(I4*'Récapitulatif '!$AJ$3),"")</f>
        <v/>
      </c>
      <c r="Y4" s="162">
        <f t="shared" ref="Y4:Y34" si="1">+IF(OR(D4="CP",D4=""),"",(IF(V4&gt;6,V4-T4,V4)))</f>
        <v>7.666666666666667</v>
      </c>
      <c r="Z4" s="154" t="str">
        <f>+IF(D4="CP",1,"")</f>
        <v/>
      </c>
      <c r="AA4" s="154">
        <f t="shared" ref="AA4:AA34" si="2">+IF(AND(Y4&gt;=3,D4&lt;&gt;""),1,"")</f>
        <v>1</v>
      </c>
      <c r="AB4" s="478">
        <f>+IF(WEEKDAY(C4)=1,(SUM(W$4:X4)+(Novembre!$AB$35)),"")</f>
        <v>44.833333333333329</v>
      </c>
      <c r="AC4" s="474" t="str">
        <f>+IF(AND(WEEKDAY(C4)=7,D4="N"),(24-O4),IF(WEEKDAY(C4)=7,W4,IF(AND(WEEKDAY(C4)=6,D4="N"),(L4-0.33),IF(WEEKDAY(C4)=7,W4,""))))</f>
        <v/>
      </c>
      <c r="AD4" s="130">
        <f>+IF(AND(WEEKDAY(C4)=1,D4="N"),(24-O4),IF(WEEKDAY(C4)=1,W4,IF(AND(WEEKDAY(C4)=7,D4="N"),(L4-0.33),IF(WEEKDAY(C4)=1,W4,""))))</f>
        <v>3</v>
      </c>
      <c r="AE4" s="295" t="str">
        <f>+AG4</f>
        <v/>
      </c>
      <c r="AF4" s="474" t="str">
        <f>+IF(AND(WEEKDAY(C4)=1,$C$4:$C$34=$C$72),"",IF(AND($C$4:$C$34=$C$72,D4=""),'Récapitulatif '!$AJ$3,IF(AND(D4="N",AG4&lt;&gt;""),('Récapitulatif '!$AJ$3-AG4),"")))</f>
        <v/>
      </c>
      <c r="AG4" s="294" t="str">
        <f>+IF(AND($C$4:$C$43=($C$72-1),$D$4:$D$43="N"),(L4-T4),IF(AND($C$4:$C$43=($C$72),$D$4:$D$43="N"),(24-K4),IF(AND($C$4:$C$43=(Janvier!$C$62-1),$D$4:$D$43="N"),(L4-T4),IF(AND($C$4:$C$43=(Janvier!$C$62),$D$4:$D$43="N"),(24-K4),IF(OR($C$4:$C$43=($C$72),$C$4:$C$43=Janvier!$C$62),$W4,"")))))</f>
        <v/>
      </c>
      <c r="AH4" s="380" t="str">
        <f t="shared" ref="AH4:AH34" si="3">IF(K4="","",IF(D4="J2","",IF(AI4=1,"",IF(U4&gt;=6,1,""))))</f>
        <v/>
      </c>
      <c r="AI4" s="9">
        <f t="shared" ref="AI4:AI34" si="4">+IF(K4="","",IF(Y4&gt;=4,1,""))</f>
        <v>1</v>
      </c>
      <c r="AJ4" s="10"/>
      <c r="AL4" s="92" t="s">
        <v>64</v>
      </c>
    </row>
    <row r="5" spans="1:38">
      <c r="A5" s="482">
        <f>IF(WEEKDAY(C5,2)=1,INT((C5-SUM(MOD(DATE(YEAR(C5-MOD(C5-2,7)+3),1,2),{1E+99;7})*{1;-1})+5)/7),"")</f>
        <v>49</v>
      </c>
      <c r="B5" s="482" t="str">
        <f>IF(A5&lt;&gt;"",VLOOKUP(A5,juin!$L$49:$M$101,2,FALSE),"")</f>
        <v>Nuit</v>
      </c>
      <c r="C5" s="112">
        <f>+C4+1</f>
        <v>43801</v>
      </c>
      <c r="D5" s="646" t="s">
        <v>203</v>
      </c>
      <c r="E5" s="637" t="str">
        <f t="shared" ref="E5:E34" si="5">+IF(AND(WEEKDAY(C5)=1,D5="M"),1,"")</f>
        <v/>
      </c>
      <c r="F5" s="638" t="str">
        <f t="shared" ref="F5:F35" si="6">+IF(AND(WEEKDAY(C5)=1,D5="N"),1,"")</f>
        <v/>
      </c>
      <c r="G5" s="626" t="s">
        <v>184</v>
      </c>
      <c r="H5" s="128">
        <f t="shared" si="0"/>
        <v>1</v>
      </c>
      <c r="I5" s="127" t="str">
        <f t="shared" ref="I5:I34" si="7">+IF(D5="CP",1,"")</f>
        <v/>
      </c>
      <c r="J5" s="299"/>
      <c r="K5" s="86">
        <v>20.55</v>
      </c>
      <c r="L5" s="11">
        <v>5</v>
      </c>
      <c r="M5" s="11"/>
      <c r="N5" s="369"/>
      <c r="O5" s="371">
        <f t="shared" ref="O5:O34" si="8">+((K5-INT(K5))/60*100)+INT(K5)</f>
        <v>20.916666666666668</v>
      </c>
      <c r="P5" s="73">
        <f t="shared" ref="P5:P34" si="9">+((L5-INT(L5))/60*100)+INT(L5)</f>
        <v>5</v>
      </c>
      <c r="Q5" s="73">
        <f t="shared" ref="Q5:Q34" si="10">+((M5-INT(M5))/60*100)+INT(M5)</f>
        <v>0</v>
      </c>
      <c r="R5" s="73">
        <f t="shared" ref="R5:R34" si="11">+((N5-INT(N5))/60*100)+INT(N5)</f>
        <v>0</v>
      </c>
      <c r="S5" s="73">
        <v>0.2</v>
      </c>
      <c r="T5" s="73">
        <f t="shared" ref="T5:T34" si="12">+(S5/60*100)</f>
        <v>0.33333333333333337</v>
      </c>
      <c r="U5" s="12">
        <f t="shared" ref="U5:U34" si="13">+IF(D5="","",IF(D5="CP","",IF(D5="J2",((N5-M5)+(L5-K5)),IF(O5&lt;P5,P5-O5,P5+24-O5)-T5)))</f>
        <v>7.7499999999999991</v>
      </c>
      <c r="V5" s="372">
        <f t="shared" ref="V5:V34" si="14">IF(O5&lt;P5,IF(K5="","",IF(O5&gt;$D$75,24-O5,IF(O5&lt;$D$76,$D$76-O5,0)))+IF(P5&lt;$D$76,P5,IF(P5&gt;$D$75,P5-$D$75,0)),IF(K5="","",IF(O5&gt;$D$75,24-O5,IF(O5&lt;$D$76,$D$76-O5,3)))+IF(P5&lt;$D$76,P5,IF(P5&gt;$D$75,24-P5,P5)))</f>
        <v>8</v>
      </c>
      <c r="W5" s="114">
        <f t="shared" ref="W5:W34" si="15">+IF(U5&gt;=6,U5,IF(D5="J2",((N5-M5)+(L5-K5)),IF(O5&lt;P5,P5-O5,P5+24-O5)))</f>
        <v>7.7499999999999991</v>
      </c>
      <c r="X5" s="161" t="str">
        <f>+IF(D5="cp",(I5*'Récapitulatif '!$AJ$3),"")</f>
        <v/>
      </c>
      <c r="Y5" s="163">
        <f t="shared" si="1"/>
        <v>7.666666666666667</v>
      </c>
      <c r="Z5" s="154" t="str">
        <f t="shared" ref="Z5:Z34" si="16">+IF(D5="CP",1,"")</f>
        <v/>
      </c>
      <c r="AA5" s="154">
        <f t="shared" si="2"/>
        <v>1</v>
      </c>
      <c r="AB5" s="479" t="str">
        <f>+IF(WEEKDAY(C5)=1,(SUM(W$4:X5)+(Novembre!$AB$35)),"")</f>
        <v/>
      </c>
      <c r="AC5" s="475" t="str">
        <f t="shared" ref="AC5:AC34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 t="str">
        <f t="shared" ref="AE5:AE34" si="19">+AG5</f>
        <v/>
      </c>
      <c r="AF5" s="475" t="str">
        <f>+IF(AND(WEEKDAY(C5)=1,$C$4:$C$34=$C$72),"",IF(AND($C$4:$C$34=$C$72,D5=""),'Récapitulatif '!$AJ$3,IF(AND(D5="N",AG5&lt;&gt;""),('Récapitulatif '!$AJ$3-AG5),"")))</f>
        <v/>
      </c>
      <c r="AG5" s="119" t="str">
        <f>+IF(AND($C$4:$C$43=($C$72-1),$D$4:$D$43="N"),(L5-T5),IF(AND($C$4:$C$43=($C$72),$D$4:$D$43="N"),(24-K5),IF(AND($C$4:$C$43=(Janvier!$C$62-1),$D$4:$D$43="N"),(L5-T5),IF(AND($C$4:$C$43=(Janvier!$C$62),$D$4:$D$43="N"),(24-K5),IF(OR($C$4:$C$43=($C$72),$C$4:$C$43=Janvier!$C$62),$W5,"")))))</f>
        <v/>
      </c>
      <c r="AH5" s="218" t="str">
        <f t="shared" si="3"/>
        <v/>
      </c>
      <c r="AI5" s="13">
        <f t="shared" si="4"/>
        <v>1</v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0">+C5+1</f>
        <v>43802</v>
      </c>
      <c r="D6" s="646" t="s">
        <v>203</v>
      </c>
      <c r="E6" s="637" t="str">
        <f t="shared" si="5"/>
        <v/>
      </c>
      <c r="F6" s="638" t="str">
        <f t="shared" si="6"/>
        <v/>
      </c>
      <c r="G6" s="626" t="s">
        <v>184</v>
      </c>
      <c r="H6" s="128">
        <f t="shared" si="0"/>
        <v>1</v>
      </c>
      <c r="I6" s="127" t="str">
        <f t="shared" si="7"/>
        <v/>
      </c>
      <c r="J6" s="299"/>
      <c r="K6" s="86">
        <v>20.55</v>
      </c>
      <c r="L6" s="11">
        <v>5</v>
      </c>
      <c r="M6" s="11"/>
      <c r="N6" s="369"/>
      <c r="O6" s="371">
        <f t="shared" si="8"/>
        <v>20.916666666666668</v>
      </c>
      <c r="P6" s="73">
        <f t="shared" si="9"/>
        <v>5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>
        <f t="shared" si="13"/>
        <v>7.7499999999999991</v>
      </c>
      <c r="V6" s="372">
        <f t="shared" si="14"/>
        <v>8</v>
      </c>
      <c r="W6" s="114">
        <f t="shared" si="15"/>
        <v>7.7499999999999991</v>
      </c>
      <c r="X6" s="161" t="str">
        <f>+IF(D6="cp",(I6*'Récapitulatif '!$AJ$3),"")</f>
        <v/>
      </c>
      <c r="Y6" s="163">
        <f t="shared" si="1"/>
        <v>7.666666666666667</v>
      </c>
      <c r="Z6" s="154" t="str">
        <f t="shared" si="16"/>
        <v/>
      </c>
      <c r="AA6" s="154">
        <f t="shared" si="2"/>
        <v>1</v>
      </c>
      <c r="AB6" s="479" t="str">
        <f>+IF(WEEKDAY(C6)=1,(SUM(W$4:X6)+(Novembre!$AB$35)),"")</f>
        <v/>
      </c>
      <c r="AC6" s="475" t="str">
        <f t="shared" si="17"/>
        <v/>
      </c>
      <c r="AD6" s="118" t="str">
        <f t="shared" si="18"/>
        <v/>
      </c>
      <c r="AE6" s="261" t="str">
        <f t="shared" si="19"/>
        <v/>
      </c>
      <c r="AF6" s="475" t="str">
        <f>+IF(AND(WEEKDAY(C6)=1,$C$4:$C$34=$C$72),"",IF(AND($C$4:$C$34=$C$72,D6=""),'Récapitulatif '!$AJ$3,IF(AND(D6="N",AG6&lt;&gt;""),('Récapitulatif '!$AJ$3-AG6),"")))</f>
        <v/>
      </c>
      <c r="AG6" s="119" t="str">
        <f>+IF(AND($C$4:$C$43=($C$72-1),$D$4:$D$43="N"),(L6-T6),IF(AND($C$4:$C$43=($C$72),$D$4:$D$43="N"),(24-K6),IF(AND($C$4:$C$43=(Janvier!$C$62-1),$D$4:$D$43="N"),(L6-T6),IF(AND($C$4:$C$43=(Janvier!$C$62),$D$4:$D$43="N"),(24-K6),IF(OR($C$4:$C$43=($C$72),$C$4:$C$43=Janvier!$C$62),$W6,"")))))</f>
        <v/>
      </c>
      <c r="AH6" s="218" t="str">
        <f t="shared" si="3"/>
        <v/>
      </c>
      <c r="AI6" s="13">
        <f t="shared" si="4"/>
        <v>1</v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20"/>
        <v>43803</v>
      </c>
      <c r="D7" s="646" t="s">
        <v>203</v>
      </c>
      <c r="E7" s="637" t="str">
        <f t="shared" si="5"/>
        <v/>
      </c>
      <c r="F7" s="638" t="str">
        <f t="shared" si="6"/>
        <v/>
      </c>
      <c r="G7" s="626" t="s">
        <v>184</v>
      </c>
      <c r="H7" s="128">
        <f t="shared" si="0"/>
        <v>1</v>
      </c>
      <c r="I7" s="127" t="str">
        <f t="shared" si="7"/>
        <v/>
      </c>
      <c r="J7" s="299"/>
      <c r="K7" s="86">
        <v>20.55</v>
      </c>
      <c r="L7" s="11">
        <v>5</v>
      </c>
      <c r="M7" s="11"/>
      <c r="N7" s="369"/>
      <c r="O7" s="371">
        <f t="shared" si="8"/>
        <v>20.916666666666668</v>
      </c>
      <c r="P7" s="73">
        <f t="shared" si="9"/>
        <v>5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>
        <f t="shared" si="13"/>
        <v>7.7499999999999991</v>
      </c>
      <c r="V7" s="372">
        <f t="shared" si="14"/>
        <v>8</v>
      </c>
      <c r="W7" s="114">
        <f t="shared" si="15"/>
        <v>7.7499999999999991</v>
      </c>
      <c r="X7" s="161" t="str">
        <f>+IF(D7="cp",(I7*'Récapitulatif '!$AJ$3),"")</f>
        <v/>
      </c>
      <c r="Y7" s="163">
        <f t="shared" si="1"/>
        <v>7.666666666666667</v>
      </c>
      <c r="Z7" s="154" t="str">
        <f t="shared" si="16"/>
        <v/>
      </c>
      <c r="AA7" s="154">
        <f t="shared" si="2"/>
        <v>1</v>
      </c>
      <c r="AB7" s="479" t="str">
        <f>+IF(WEEKDAY(C7)=1,(SUM(W$4:X7)+(Novembre!$AB$35)),"")</f>
        <v/>
      </c>
      <c r="AC7" s="475" t="str">
        <f t="shared" si="17"/>
        <v/>
      </c>
      <c r="AD7" s="118" t="str">
        <f t="shared" si="18"/>
        <v/>
      </c>
      <c r="AE7" s="261" t="str">
        <f t="shared" si="19"/>
        <v/>
      </c>
      <c r="AF7" s="475" t="str">
        <f>+IF(AND(WEEKDAY(C7)=1,$C$4:$C$34=$C$72),"",IF(AND($C$4:$C$34=$C$72,D7=""),'Récapitulatif '!$AJ$3,IF(AND(D7="N",AG7&lt;&gt;""),('Récapitulatif '!$AJ$3-AG7),"")))</f>
        <v/>
      </c>
      <c r="AG7" s="119" t="str">
        <f>+IF(AND($C$4:$C$43=($C$72-1),$D$4:$D$43="N"),(L7-T7),IF(AND($C$4:$C$43=($C$72),$D$4:$D$43="N"),(24-K7),IF(AND($C$4:$C$43=(Janvier!$C$62-1),$D$4:$D$43="N"),(L7-T7),IF(AND($C$4:$C$43=(Janvier!$C$62),$D$4:$D$43="N"),(24-K7),IF(OR($C$4:$C$43=($C$72),$C$4:$C$43=Janvier!$C$62),$W7,"")))))</f>
        <v/>
      </c>
      <c r="AH7" s="218" t="str">
        <f t="shared" si="3"/>
        <v/>
      </c>
      <c r="AI7" s="13">
        <f t="shared" si="4"/>
        <v>1</v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20"/>
        <v>43804</v>
      </c>
      <c r="D8" s="646" t="s">
        <v>203</v>
      </c>
      <c r="E8" s="637" t="str">
        <f t="shared" si="5"/>
        <v/>
      </c>
      <c r="F8" s="638" t="str">
        <f t="shared" si="6"/>
        <v/>
      </c>
      <c r="G8" s="626" t="s">
        <v>184</v>
      </c>
      <c r="H8" s="128">
        <f t="shared" si="0"/>
        <v>1</v>
      </c>
      <c r="I8" s="127" t="str">
        <f t="shared" si="7"/>
        <v/>
      </c>
      <c r="J8" s="299"/>
      <c r="K8" s="86">
        <v>20.55</v>
      </c>
      <c r="L8" s="11">
        <v>5</v>
      </c>
      <c r="M8" s="11"/>
      <c r="N8" s="369"/>
      <c r="O8" s="371">
        <f t="shared" si="8"/>
        <v>20.916666666666668</v>
      </c>
      <c r="P8" s="73">
        <f t="shared" si="9"/>
        <v>5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>
        <f t="shared" si="13"/>
        <v>7.7499999999999991</v>
      </c>
      <c r="V8" s="372">
        <f t="shared" si="14"/>
        <v>8</v>
      </c>
      <c r="W8" s="114">
        <f t="shared" si="15"/>
        <v>7.7499999999999991</v>
      </c>
      <c r="X8" s="161" t="str">
        <f>+IF(D8="cp",(I8*'Récapitulatif '!$AJ$3),"")</f>
        <v/>
      </c>
      <c r="Y8" s="163">
        <f t="shared" si="1"/>
        <v>7.666666666666667</v>
      </c>
      <c r="Z8" s="154" t="str">
        <f t="shared" si="16"/>
        <v/>
      </c>
      <c r="AA8" s="154">
        <f t="shared" si="2"/>
        <v>1</v>
      </c>
      <c r="AB8" s="479" t="str">
        <f>+IF(WEEKDAY(C8)=1,(SUM(W$4:X8)+(Novembre!$AB$35)),"")</f>
        <v/>
      </c>
      <c r="AC8" s="475" t="str">
        <f t="shared" si="17"/>
        <v/>
      </c>
      <c r="AD8" s="118" t="str">
        <f t="shared" si="18"/>
        <v/>
      </c>
      <c r="AE8" s="261" t="str">
        <f t="shared" si="19"/>
        <v/>
      </c>
      <c r="AF8" s="475" t="str">
        <f>+IF(AND(WEEKDAY(C8)=1,$C$4:$C$34=$C$72),"",IF(AND($C$4:$C$34=$C$72,D8=""),'Récapitulatif '!$AJ$3,IF(AND(D8="N",AG8&lt;&gt;""),('Récapitulatif '!$AJ$3-AG8),"")))</f>
        <v/>
      </c>
      <c r="AG8" s="119" t="str">
        <f>+IF(AND($C$4:$C$43=($C$72-1),$D$4:$D$43="N"),(L8-T8),IF(AND($C$4:$C$43=($C$72),$D$4:$D$43="N"),(24-K8),IF(AND($C$4:$C$43=(Janvier!$C$62-1),$D$4:$D$43="N"),(L8-T8),IF(AND($C$4:$C$43=(Janvier!$C$62),$D$4:$D$43="N"),(24-K8),IF(OR($C$4:$C$43=($C$72),$C$4:$C$43=Janvier!$C$62),$W8,"")))))</f>
        <v/>
      </c>
      <c r="AH8" s="218" t="str">
        <f t="shared" si="3"/>
        <v/>
      </c>
      <c r="AI8" s="13">
        <f t="shared" si="4"/>
        <v>1</v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20"/>
        <v>43805</v>
      </c>
      <c r="D9" s="646"/>
      <c r="E9" s="637" t="str">
        <f t="shared" si="5"/>
        <v/>
      </c>
      <c r="F9" s="638" t="str">
        <f t="shared" si="6"/>
        <v/>
      </c>
      <c r="G9" s="626"/>
      <c r="H9" s="128" t="str">
        <f t="shared" si="0"/>
        <v/>
      </c>
      <c r="I9" s="127" t="str">
        <f t="shared" si="7"/>
        <v/>
      </c>
      <c r="J9" s="299"/>
      <c r="K9" s="86"/>
      <c r="L9" s="11"/>
      <c r="M9" s="11"/>
      <c r="N9" s="369"/>
      <c r="O9" s="371">
        <f t="shared" si="8"/>
        <v>0</v>
      </c>
      <c r="P9" s="73">
        <f t="shared" si="9"/>
        <v>0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 t="str">
        <f t="shared" si="13"/>
        <v/>
      </c>
      <c r="V9" s="372" t="e">
        <f t="shared" si="14"/>
        <v>#VALUE!</v>
      </c>
      <c r="W9" s="114" t="str">
        <f t="shared" si="15"/>
        <v/>
      </c>
      <c r="X9" s="161" t="str">
        <f>+IF(D9="cp",(I9*'Récapitulatif '!$AJ$3),"")</f>
        <v/>
      </c>
      <c r="Y9" s="163" t="str">
        <f t="shared" si="1"/>
        <v/>
      </c>
      <c r="Z9" s="154" t="str">
        <f t="shared" si="16"/>
        <v/>
      </c>
      <c r="AA9" s="154" t="str">
        <f t="shared" si="2"/>
        <v/>
      </c>
      <c r="AB9" s="479" t="str">
        <f>+IF(WEEKDAY(C9)=1,(SUM(W$4:X9)+(Novembre!$AB$35)),"")</f>
        <v/>
      </c>
      <c r="AC9" s="475" t="str">
        <f t="shared" si="17"/>
        <v/>
      </c>
      <c r="AD9" s="118" t="str">
        <f t="shared" si="18"/>
        <v/>
      </c>
      <c r="AE9" s="261" t="str">
        <f t="shared" si="19"/>
        <v/>
      </c>
      <c r="AF9" s="475" t="str">
        <f>+IF(AND(WEEKDAY(C9)=1,$C$4:$C$34=$C$72),"",IF(AND($C$4:$C$34=$C$72,D9=""),'Récapitulatif '!$AJ$3,IF(AND(D9="N",AG9&lt;&gt;""),('Récapitulatif '!$AJ$3-AG9),"")))</f>
        <v/>
      </c>
      <c r="AG9" s="119" t="str">
        <f>+IF(AND($C$4:$C$43=($C$72-1),$D$4:$D$43="N"),(L9-T9),IF(AND($C$4:$C$43=($C$72),$D$4:$D$43="N"),(24-K9),IF(AND($C$4:$C$43=(Janvier!$C$62-1),$D$4:$D$43="N"),(L9-T9),IF(AND($C$4:$C$43=(Janvier!$C$62),$D$4:$D$43="N"),(24-K9),IF(OR($C$4:$C$43=($C$72),$C$4:$C$43=Janvier!$C$62),$W9,"")))))</f>
        <v/>
      </c>
      <c r="AH9" s="218" t="str">
        <f t="shared" si="3"/>
        <v/>
      </c>
      <c r="AI9" s="13" t="str">
        <f t="shared" si="4"/>
        <v/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20"/>
        <v>43806</v>
      </c>
      <c r="D10" s="646"/>
      <c r="E10" s="637" t="str">
        <f t="shared" si="5"/>
        <v/>
      </c>
      <c r="F10" s="638" t="str">
        <f t="shared" si="6"/>
        <v/>
      </c>
      <c r="G10" s="626"/>
      <c r="H10" s="128" t="str">
        <f t="shared" si="0"/>
        <v/>
      </c>
      <c r="I10" s="127" t="str">
        <f t="shared" si="7"/>
        <v/>
      </c>
      <c r="J10" s="299"/>
      <c r="K10" s="86"/>
      <c r="L10" s="11"/>
      <c r="M10" s="11"/>
      <c r="N10" s="369"/>
      <c r="O10" s="371">
        <f t="shared" si="8"/>
        <v>0</v>
      </c>
      <c r="P10" s="73">
        <f t="shared" si="9"/>
        <v>0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 t="str">
        <f t="shared" si="13"/>
        <v/>
      </c>
      <c r="V10" s="372" t="e">
        <f t="shared" si="14"/>
        <v>#VALUE!</v>
      </c>
      <c r="W10" s="114" t="str">
        <f t="shared" si="15"/>
        <v/>
      </c>
      <c r="X10" s="161" t="str">
        <f>+IF(D10="cp",(I10*'Récapitulatif '!$AJ$3),"")</f>
        <v/>
      </c>
      <c r="Y10" s="163" t="str">
        <f t="shared" si="1"/>
        <v/>
      </c>
      <c r="Z10" s="154" t="str">
        <f t="shared" si="16"/>
        <v/>
      </c>
      <c r="AA10" s="154" t="str">
        <f t="shared" si="2"/>
        <v/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 t="str">
        <f t="shared" si="19"/>
        <v/>
      </c>
      <c r="AF10" s="475" t="str">
        <f>+IF(AND(WEEKDAY(C10)=1,$C$4:$C$34=$C$72),"",IF(AND($C$4:$C$34=$C$72,D10=""),'Récapitulatif '!$AJ$3,IF(AND(D10="N",AG10&lt;&gt;""),('Récapitulatif '!$AJ$3-AG10),"")))</f>
        <v/>
      </c>
      <c r="AG10" s="119" t="str">
        <f>+IF(AND($C$4:$C$43=($C$72-1),$D$4:$D$43="N"),(L10-T10),IF(AND($C$4:$C$43=($C$72),$D$4:$D$43="N"),(24-K10),IF(AND($C$4:$C$43=(Janvier!$C$62-1),$D$4:$D$43="N"),(L10-T10),IF(AND($C$4:$C$43=(Janvier!$C$62),$D$4:$D$43="N"),(24-K10),IF(OR($C$4:$C$43=($C$72),$C$4:$C$43=Janvier!$C$62),$W10,"")))))</f>
        <v/>
      </c>
      <c r="AH10" s="218" t="str">
        <f t="shared" si="3"/>
        <v/>
      </c>
      <c r="AI10" s="13" t="str">
        <f t="shared" si="4"/>
        <v/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0"/>
        <v>43807</v>
      </c>
      <c r="D11" s="643" t="s">
        <v>205</v>
      </c>
      <c r="E11" s="637">
        <f t="shared" si="5"/>
        <v>1</v>
      </c>
      <c r="F11" s="638" t="str">
        <f t="shared" si="6"/>
        <v/>
      </c>
      <c r="G11" s="628" t="s">
        <v>184</v>
      </c>
      <c r="H11" s="128">
        <f t="shared" si="0"/>
        <v>1</v>
      </c>
      <c r="I11" s="127" t="str">
        <f t="shared" si="7"/>
        <v/>
      </c>
      <c r="J11" s="299"/>
      <c r="K11" s="86">
        <v>5</v>
      </c>
      <c r="L11" s="11">
        <v>12.3</v>
      </c>
      <c r="M11" s="11"/>
      <c r="N11" s="369"/>
      <c r="O11" s="371">
        <f t="shared" si="8"/>
        <v>5</v>
      </c>
      <c r="P11" s="73">
        <f t="shared" si="9"/>
        <v>12.500000000000002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>
        <f t="shared" si="13"/>
        <v>7.1666666666666687</v>
      </c>
      <c r="V11" s="372">
        <f t="shared" si="14"/>
        <v>1</v>
      </c>
      <c r="W11" s="114">
        <f t="shared" si="15"/>
        <v>7.1666666666666687</v>
      </c>
      <c r="X11" s="161" t="str">
        <f>+IF(D11="cp",(I11*'Récapitulatif '!$AJ$3),"")</f>
        <v/>
      </c>
      <c r="Y11" s="163">
        <f t="shared" si="1"/>
        <v>1</v>
      </c>
      <c r="Z11" s="154" t="str">
        <f t="shared" si="16"/>
        <v/>
      </c>
      <c r="AA11" s="154" t="str">
        <f t="shared" si="2"/>
        <v/>
      </c>
      <c r="AB11" s="479">
        <f t="shared" ref="AB11:AB34" si="21">+IF(WEEKDAY(C11)=1,SUM(W5:X11),"")</f>
        <v>38.166666666666664</v>
      </c>
      <c r="AC11" s="475" t="str">
        <f t="shared" si="17"/>
        <v/>
      </c>
      <c r="AD11" s="118">
        <f t="shared" si="18"/>
        <v>7.1666666666666687</v>
      </c>
      <c r="AE11" s="261" t="str">
        <f t="shared" si="19"/>
        <v/>
      </c>
      <c r="AF11" s="475" t="str">
        <f>+IF(AND(WEEKDAY(C11)=1,$C$4:$C$34=$C$72),"",IF(AND($C$4:$C$34=$C$72,D11=""),'Récapitulatif '!$AJ$3,IF(AND(D11="N",AG11&lt;&gt;""),('Récapitulatif '!$AJ$3-AG11),"")))</f>
        <v/>
      </c>
      <c r="AG11" s="119" t="str">
        <f>+IF(AND($C$4:$C$43=($C$72-1),$D$4:$D$43="N"),(L11-T11),IF(AND($C$4:$C$43=($C$72),$D$4:$D$43="N"),(24-K11),IF(AND($C$4:$C$43=(Janvier!$C$62-1),$D$4:$D$43="N"),(L11-T11),IF(AND($C$4:$C$43=(Janvier!$C$62),$D$4:$D$43="N"),(24-K11),IF(OR($C$4:$C$43=($C$72),$C$4:$C$43=Janvier!$C$62),$W11,"")))))</f>
        <v/>
      </c>
      <c r="AH11" s="218">
        <f t="shared" si="3"/>
        <v>1</v>
      </c>
      <c r="AI11" s="13" t="str">
        <f t="shared" si="4"/>
        <v/>
      </c>
      <c r="AJ11" s="10"/>
      <c r="AL11" s="1" t="s">
        <v>60</v>
      </c>
    </row>
    <row r="12" spans="1:38">
      <c r="A12" s="482">
        <f>IF(WEEKDAY(C12,2)=1,INT((C12-SUM(MOD(DATE(YEAR(C12-MOD(C12-2,7)+3),1,2),{1E+99;7})*{1;-1})+5)/7),"")</f>
        <v>50</v>
      </c>
      <c r="B12" s="482" t="str">
        <f>IF(A12&lt;&gt;"",VLOOKUP(A12,juin!$L$49:$M$101,2,FALSE),"")</f>
        <v>A - Midi</v>
      </c>
      <c r="C12" s="112">
        <f t="shared" si="20"/>
        <v>43808</v>
      </c>
      <c r="D12" s="643"/>
      <c r="E12" s="637" t="str">
        <f t="shared" si="5"/>
        <v/>
      </c>
      <c r="F12" s="638" t="str">
        <f t="shared" si="6"/>
        <v/>
      </c>
      <c r="G12" s="626"/>
      <c r="H12" s="128" t="str">
        <f t="shared" si="0"/>
        <v/>
      </c>
      <c r="I12" s="127" t="str">
        <f t="shared" si="7"/>
        <v/>
      </c>
      <c r="J12" s="299"/>
      <c r="K12" s="86"/>
      <c r="L12" s="11"/>
      <c r="M12" s="11"/>
      <c r="N12" s="369"/>
      <c r="O12" s="371">
        <f t="shared" si="8"/>
        <v>0</v>
      </c>
      <c r="P12" s="73">
        <f t="shared" si="9"/>
        <v>0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 t="str">
        <f t="shared" si="13"/>
        <v/>
      </c>
      <c r="V12" s="372" t="e">
        <f t="shared" si="14"/>
        <v>#VALUE!</v>
      </c>
      <c r="W12" s="114" t="str">
        <f t="shared" si="15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6"/>
        <v/>
      </c>
      <c r="AA12" s="154" t="str">
        <f t="shared" si="2"/>
        <v/>
      </c>
      <c r="AB12" s="479" t="str">
        <f t="shared" si="21"/>
        <v/>
      </c>
      <c r="AC12" s="475" t="str">
        <f t="shared" si="17"/>
        <v/>
      </c>
      <c r="AD12" s="118" t="str">
        <f t="shared" si="18"/>
        <v/>
      </c>
      <c r="AE12" s="261" t="str">
        <f t="shared" si="19"/>
        <v/>
      </c>
      <c r="AF12" s="475" t="str">
        <f>+IF(AND(WEEKDAY(C12)=1,$C$4:$C$34=$C$72),"",IF(AND($C$4:$C$34=$C$72,D12=""),'Récapitulatif '!$AJ$3,IF(AND(D12="N",AG12&lt;&gt;""),('Récapitulatif '!$AJ$3-AG12),"")))</f>
        <v/>
      </c>
      <c r="AG12" s="119" t="str">
        <f>+IF(AND($C$4:$C$43=($C$72-1),$D$4:$D$43="N"),(L12-T12),IF(AND($C$4:$C$43=($C$72),$D$4:$D$43="N"),(24-K12),IF(AND($C$4:$C$43=(Janvier!$C$62-1),$D$4:$D$43="N"),(L12-T12),IF(AND($C$4:$C$43=(Janvier!$C$62),$D$4:$D$43="N"),(24-K12),IF(OR($C$4:$C$43=($C$72),$C$4:$C$43=Janvier!$C$62),$W12,"")))))</f>
        <v/>
      </c>
      <c r="AH12" s="218" t="str">
        <f t="shared" si="3"/>
        <v/>
      </c>
      <c r="AI12" s="13" t="str">
        <f t="shared" si="4"/>
        <v/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0"/>
        <v>43809</v>
      </c>
      <c r="D13" s="643"/>
      <c r="E13" s="637" t="str">
        <f t="shared" si="5"/>
        <v/>
      </c>
      <c r="F13" s="638" t="str">
        <f t="shared" si="6"/>
        <v/>
      </c>
      <c r="G13" s="626"/>
      <c r="H13" s="128" t="str">
        <f t="shared" si="0"/>
        <v/>
      </c>
      <c r="I13" s="127" t="str">
        <f t="shared" si="7"/>
        <v/>
      </c>
      <c r="J13" s="299"/>
      <c r="K13" s="86"/>
      <c r="L13" s="11"/>
      <c r="M13" s="11"/>
      <c r="N13" s="369"/>
      <c r="O13" s="371">
        <f t="shared" si="8"/>
        <v>0</v>
      </c>
      <c r="P13" s="73">
        <f t="shared" si="9"/>
        <v>0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 t="str">
        <f t="shared" si="13"/>
        <v/>
      </c>
      <c r="V13" s="372" t="e">
        <f t="shared" si="14"/>
        <v>#VALUE!</v>
      </c>
      <c r="W13" s="114" t="str">
        <f t="shared" si="15"/>
        <v/>
      </c>
      <c r="X13" s="161" t="str">
        <f>+IF(D13="cp",(I13*'Récapitulatif '!$AJ$3),"")</f>
        <v/>
      </c>
      <c r="Y13" s="163" t="str">
        <f t="shared" si="1"/>
        <v/>
      </c>
      <c r="Z13" s="154" t="str">
        <f t="shared" si="16"/>
        <v/>
      </c>
      <c r="AA13" s="154" t="str">
        <f t="shared" si="2"/>
        <v/>
      </c>
      <c r="AB13" s="479" t="str">
        <f t="shared" si="21"/>
        <v/>
      </c>
      <c r="AC13" s="475" t="str">
        <f t="shared" si="17"/>
        <v/>
      </c>
      <c r="AD13" s="118" t="str">
        <f t="shared" si="18"/>
        <v/>
      </c>
      <c r="AE13" s="261" t="str">
        <f t="shared" si="19"/>
        <v/>
      </c>
      <c r="AF13" s="475" t="str">
        <f>+IF(AND(WEEKDAY(C13)=1,$C$4:$C$34=$C$72),"",IF(AND($C$4:$C$34=$C$72,D13=""),'Récapitulatif '!$AJ$3,IF(AND(D13="N",AG13&lt;&gt;""),('Récapitulatif '!$AJ$3-AG13),"")))</f>
        <v/>
      </c>
      <c r="AG13" s="119" t="str">
        <f>+IF(AND($C$4:$C$43=($C$72-1),$D$4:$D$43="N"),(L13-T13),IF(AND($C$4:$C$43=($C$72),$D$4:$D$43="N"),(24-K13),IF(AND($C$4:$C$43=(Janvier!$C$62-1),$D$4:$D$43="N"),(L13-T13),IF(AND($C$4:$C$43=(Janvier!$C$62),$D$4:$D$43="N"),(24-K13),IF(OR($C$4:$C$43=($C$72),$C$4:$C$43=Janvier!$C$62),$W13,"")))))</f>
        <v/>
      </c>
      <c r="AH13" s="218" t="str">
        <f t="shared" si="3"/>
        <v/>
      </c>
      <c r="AI13" s="13" t="str">
        <f t="shared" si="4"/>
        <v/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20"/>
        <v>43810</v>
      </c>
      <c r="D14" s="643"/>
      <c r="E14" s="637" t="str">
        <f t="shared" si="5"/>
        <v/>
      </c>
      <c r="F14" s="638" t="str">
        <f t="shared" si="6"/>
        <v/>
      </c>
      <c r="G14" s="626"/>
      <c r="H14" s="128" t="str">
        <f t="shared" si="0"/>
        <v/>
      </c>
      <c r="I14" s="127" t="str">
        <f t="shared" si="7"/>
        <v/>
      </c>
      <c r="J14" s="299"/>
      <c r="K14" s="86"/>
      <c r="L14" s="11"/>
      <c r="M14" s="11"/>
      <c r="N14" s="369"/>
      <c r="O14" s="371">
        <f t="shared" si="8"/>
        <v>0</v>
      </c>
      <c r="P14" s="73">
        <f t="shared" si="9"/>
        <v>0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 t="str">
        <f t="shared" si="13"/>
        <v/>
      </c>
      <c r="V14" s="372" t="e">
        <f t="shared" si="14"/>
        <v>#VALUE!</v>
      </c>
      <c r="W14" s="114" t="str">
        <f t="shared" si="15"/>
        <v/>
      </c>
      <c r="X14" s="161" t="str">
        <f>+IF(D14="cp",(I14*'Récapitulatif '!$AJ$3),"")</f>
        <v/>
      </c>
      <c r="Y14" s="163" t="str">
        <f t="shared" si="1"/>
        <v/>
      </c>
      <c r="Z14" s="154" t="str">
        <f t="shared" si="16"/>
        <v/>
      </c>
      <c r="AA14" s="154" t="str">
        <f t="shared" si="2"/>
        <v/>
      </c>
      <c r="AB14" s="479" t="str">
        <f t="shared" si="21"/>
        <v/>
      </c>
      <c r="AC14" s="475" t="str">
        <f t="shared" si="17"/>
        <v/>
      </c>
      <c r="AD14" s="118" t="str">
        <f t="shared" si="18"/>
        <v/>
      </c>
      <c r="AE14" s="261" t="str">
        <f t="shared" si="19"/>
        <v/>
      </c>
      <c r="AF14" s="475" t="str">
        <f>+IF(AND(WEEKDAY(C14)=1,$C$4:$C$34=$C$72),"",IF(AND($C$4:$C$34=$C$72,D14=""),'Récapitulatif '!$AJ$3,IF(AND(D14="N",AG14&lt;&gt;""),('Récapitulatif '!$AJ$3-AG14),"")))</f>
        <v/>
      </c>
      <c r="AG14" s="119" t="str">
        <f>+IF(AND($C$4:$C$43=($C$72-1),$D$4:$D$43="N"),(L14-T14),IF(AND($C$4:$C$43=($C$72),$D$4:$D$43="N"),(24-K14),IF(AND($C$4:$C$43=(Janvier!$C$62-1),$D$4:$D$43="N"),(L14-T14),IF(AND($C$4:$C$43=(Janvier!$C$62),$D$4:$D$43="N"),(24-K14),IF(OR($C$4:$C$43=($C$72),$C$4:$C$43=Janvier!$C$62),$W14,"")))))</f>
        <v/>
      </c>
      <c r="AH14" s="218" t="str">
        <f t="shared" si="3"/>
        <v/>
      </c>
      <c r="AI14" s="13" t="str">
        <f t="shared" si="4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20"/>
        <v>43811</v>
      </c>
      <c r="D15" s="643"/>
      <c r="E15" s="637" t="str">
        <f t="shared" si="5"/>
        <v/>
      </c>
      <c r="F15" s="638" t="str">
        <f t="shared" si="6"/>
        <v/>
      </c>
      <c r="G15" s="626"/>
      <c r="H15" s="128" t="str">
        <f t="shared" si="0"/>
        <v/>
      </c>
      <c r="I15" s="127" t="str">
        <f t="shared" si="7"/>
        <v/>
      </c>
      <c r="J15" s="299"/>
      <c r="K15" s="86"/>
      <c r="L15" s="11"/>
      <c r="M15" s="11"/>
      <c r="N15" s="369"/>
      <c r="O15" s="371">
        <f t="shared" si="8"/>
        <v>0</v>
      </c>
      <c r="P15" s="73">
        <f t="shared" si="9"/>
        <v>0</v>
      </c>
      <c r="Q15" s="73">
        <f t="shared" si="10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 t="str">
        <f t="shared" si="13"/>
        <v/>
      </c>
      <c r="V15" s="372" t="e">
        <f t="shared" si="14"/>
        <v>#VALUE!</v>
      </c>
      <c r="W15" s="114" t="str">
        <f t="shared" si="15"/>
        <v/>
      </c>
      <c r="X15" s="161" t="str">
        <f>+IF(D15="cp",(I15*'Récapitulatif '!$AJ$3),"")</f>
        <v/>
      </c>
      <c r="Y15" s="163" t="str">
        <f t="shared" si="1"/>
        <v/>
      </c>
      <c r="Z15" s="154" t="str">
        <f t="shared" si="16"/>
        <v/>
      </c>
      <c r="AA15" s="154" t="str">
        <f t="shared" si="2"/>
        <v/>
      </c>
      <c r="AB15" s="479" t="str">
        <f t="shared" si="21"/>
        <v/>
      </c>
      <c r="AC15" s="475" t="str">
        <f t="shared" si="17"/>
        <v/>
      </c>
      <c r="AD15" s="118" t="str">
        <f t="shared" si="18"/>
        <v/>
      </c>
      <c r="AE15" s="261" t="str">
        <f t="shared" si="19"/>
        <v/>
      </c>
      <c r="AF15" s="475" t="str">
        <f>+IF(AND(WEEKDAY(C15)=1,$C$4:$C$34=$C$72),"",IF(AND($C$4:$C$34=$C$72,D15=""),'Récapitulatif '!$AJ$3,IF(AND(D15="N",AG15&lt;&gt;""),('Récapitulatif '!$AJ$3-AG15),"")))</f>
        <v/>
      </c>
      <c r="AG15" s="119" t="str">
        <f>+IF(AND($C$4:$C$43=($C$72-1),$D$4:$D$43="N"),(L15-T15),IF(AND($C$4:$C$43=($C$72),$D$4:$D$43="N"),(24-K15),IF(AND($C$4:$C$43=(Janvier!$C$62-1),$D$4:$D$43="N"),(L15-T15),IF(AND($C$4:$C$43=(Janvier!$C$62),$D$4:$D$43="N"),(24-K15),IF(OR($C$4:$C$43=($C$72),$C$4:$C$43=Janvier!$C$62),$W15,"")))))</f>
        <v/>
      </c>
      <c r="AH15" s="218" t="str">
        <f t="shared" si="3"/>
        <v/>
      </c>
      <c r="AI15" s="13" t="str">
        <f t="shared" si="4"/>
        <v/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20"/>
        <v>43812</v>
      </c>
      <c r="D16" s="643"/>
      <c r="E16" s="637" t="str">
        <f t="shared" si="5"/>
        <v/>
      </c>
      <c r="F16" s="638" t="str">
        <f t="shared" si="6"/>
        <v/>
      </c>
      <c r="G16" s="626"/>
      <c r="H16" s="128" t="str">
        <f t="shared" si="0"/>
        <v/>
      </c>
      <c r="I16" s="127" t="str">
        <f t="shared" si="7"/>
        <v/>
      </c>
      <c r="J16" s="299"/>
      <c r="K16" s="86"/>
      <c r="L16" s="11"/>
      <c r="M16" s="11"/>
      <c r="N16" s="369"/>
      <c r="O16" s="371">
        <f t="shared" si="8"/>
        <v>0</v>
      </c>
      <c r="P16" s="73">
        <f t="shared" si="9"/>
        <v>0</v>
      </c>
      <c r="Q16" s="73">
        <f t="shared" si="10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 t="str">
        <f t="shared" si="13"/>
        <v/>
      </c>
      <c r="V16" s="372" t="e">
        <f t="shared" si="14"/>
        <v>#VALUE!</v>
      </c>
      <c r="W16" s="114" t="str">
        <f t="shared" si="15"/>
        <v/>
      </c>
      <c r="X16" s="161" t="str">
        <f>+IF(D16="cp",(I16*'Récapitulatif '!$AJ$3),"")</f>
        <v/>
      </c>
      <c r="Y16" s="163" t="str">
        <f t="shared" si="1"/>
        <v/>
      </c>
      <c r="Z16" s="154" t="str">
        <f t="shared" si="16"/>
        <v/>
      </c>
      <c r="AA16" s="154" t="str">
        <f t="shared" si="2"/>
        <v/>
      </c>
      <c r="AB16" s="479" t="str">
        <f t="shared" si="21"/>
        <v/>
      </c>
      <c r="AC16" s="475" t="str">
        <f t="shared" si="17"/>
        <v/>
      </c>
      <c r="AD16" s="118" t="str">
        <f t="shared" si="18"/>
        <v/>
      </c>
      <c r="AE16" s="261" t="str">
        <f t="shared" si="19"/>
        <v/>
      </c>
      <c r="AF16" s="475" t="str">
        <f>+IF(AND(WEEKDAY(C16)=1,$C$4:$C$34=$C$72),"",IF(AND($C$4:$C$34=$C$72,D16=""),'Récapitulatif '!$AJ$3,IF(AND(D16="N",AG16&lt;&gt;""),('Récapitulatif '!$AJ$3-AG16),"")))</f>
        <v/>
      </c>
      <c r="AG16" s="119" t="str">
        <f>+IF(AND($C$4:$C$43=($C$72-1),$D$4:$D$43="N"),(L16-T16),IF(AND($C$4:$C$43=($C$72),$D$4:$D$43="N"),(24-K16),IF(AND($C$4:$C$43=(Janvier!$C$62-1),$D$4:$D$43="N"),(L16-T16),IF(AND($C$4:$C$43=(Janvier!$C$62),$D$4:$D$43="N"),(24-K16),IF(OR($C$4:$C$43=($C$72),$C$4:$C$43=Janvier!$C$62),$W16,"")))))</f>
        <v/>
      </c>
      <c r="AH16" s="218" t="str">
        <f t="shared" si="3"/>
        <v/>
      </c>
      <c r="AI16" s="13" t="str">
        <f t="shared" si="4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20"/>
        <v>43813</v>
      </c>
      <c r="D17" s="643"/>
      <c r="E17" s="637" t="str">
        <f t="shared" si="5"/>
        <v/>
      </c>
      <c r="F17" s="638" t="str">
        <f t="shared" si="6"/>
        <v/>
      </c>
      <c r="G17" s="626"/>
      <c r="H17" s="128" t="str">
        <f t="shared" si="0"/>
        <v/>
      </c>
      <c r="I17" s="127" t="str">
        <f t="shared" si="7"/>
        <v/>
      </c>
      <c r="J17" s="299"/>
      <c r="K17" s="86"/>
      <c r="L17" s="11"/>
      <c r="M17" s="11"/>
      <c r="N17" s="369"/>
      <c r="O17" s="371">
        <f t="shared" si="8"/>
        <v>0</v>
      </c>
      <c r="P17" s="73">
        <f t="shared" si="9"/>
        <v>0</v>
      </c>
      <c r="Q17" s="73">
        <f t="shared" si="10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 t="str">
        <f t="shared" si="13"/>
        <v/>
      </c>
      <c r="V17" s="372" t="e">
        <f t="shared" si="14"/>
        <v>#VALUE!</v>
      </c>
      <c r="W17" s="114" t="str">
        <f t="shared" si="15"/>
        <v/>
      </c>
      <c r="X17" s="161" t="str">
        <f>+IF(D17="cp",(I17*'Récapitulatif '!$AJ$3),"")</f>
        <v/>
      </c>
      <c r="Y17" s="163" t="str">
        <f t="shared" si="1"/>
        <v/>
      </c>
      <c r="Z17" s="154" t="str">
        <f t="shared" si="16"/>
        <v/>
      </c>
      <c r="AA17" s="154" t="str">
        <f t="shared" si="2"/>
        <v/>
      </c>
      <c r="AB17" s="479" t="str">
        <f t="shared" si="21"/>
        <v/>
      </c>
      <c r="AC17" s="475" t="str">
        <f t="shared" si="17"/>
        <v/>
      </c>
      <c r="AD17" s="118" t="str">
        <f t="shared" si="18"/>
        <v/>
      </c>
      <c r="AE17" s="261" t="str">
        <f t="shared" si="19"/>
        <v/>
      </c>
      <c r="AF17" s="475" t="str">
        <f>+IF(AND(WEEKDAY(C17)=1,$C$4:$C$34=$C$72),"",IF(AND($C$4:$C$34=$C$72,D17=""),'Récapitulatif '!$AJ$3,IF(AND(D17="N",AG17&lt;&gt;""),('Récapitulatif '!$AJ$3-AG17),"")))</f>
        <v/>
      </c>
      <c r="AG17" s="119" t="str">
        <f>+IF(AND($C$4:$C$43=($C$72-1),$D$4:$D$43="N"),(L17-T17),IF(AND($C$4:$C$43=($C$72),$D$4:$D$43="N"),(24-K17),IF(AND($C$4:$C$43=(Janvier!$C$62-1),$D$4:$D$43="N"),(L17-T17),IF(AND($C$4:$C$43=(Janvier!$C$62),$D$4:$D$43="N"),(24-K17),IF(OR($C$4:$C$43=($C$72),$C$4:$C$43=Janvier!$C$62),$W17,"")))))</f>
        <v/>
      </c>
      <c r="AH17" s="218" t="str">
        <f t="shared" si="3"/>
        <v/>
      </c>
      <c r="AI17" s="13" t="str">
        <f t="shared" si="4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0"/>
        <v>43814</v>
      </c>
      <c r="D18" s="643"/>
      <c r="E18" s="637" t="str">
        <f t="shared" si="5"/>
        <v/>
      </c>
      <c r="F18" s="638" t="str">
        <f t="shared" si="6"/>
        <v/>
      </c>
      <c r="G18" s="626"/>
      <c r="H18" s="128" t="str">
        <f t="shared" si="0"/>
        <v/>
      </c>
      <c r="I18" s="127" t="str">
        <f t="shared" si="7"/>
        <v/>
      </c>
      <c r="J18" s="299"/>
      <c r="K18" s="86"/>
      <c r="L18" s="11"/>
      <c r="M18" s="11"/>
      <c r="N18" s="369"/>
      <c r="O18" s="371">
        <f t="shared" si="8"/>
        <v>0</v>
      </c>
      <c r="P18" s="73">
        <f t="shared" si="9"/>
        <v>0</v>
      </c>
      <c r="Q18" s="73">
        <f t="shared" si="10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 t="str">
        <f t="shared" si="13"/>
        <v/>
      </c>
      <c r="V18" s="372" t="e">
        <f t="shared" si="14"/>
        <v>#VALUE!</v>
      </c>
      <c r="W18" s="114" t="str">
        <f t="shared" si="15"/>
        <v/>
      </c>
      <c r="X18" s="161" t="str">
        <f>+IF(D18="cp",(I18*'Récapitulatif '!$AJ$3),"")</f>
        <v/>
      </c>
      <c r="Y18" s="163" t="str">
        <f t="shared" si="1"/>
        <v/>
      </c>
      <c r="Z18" s="154" t="str">
        <f t="shared" si="16"/>
        <v/>
      </c>
      <c r="AA18" s="154" t="str">
        <f t="shared" si="2"/>
        <v/>
      </c>
      <c r="AB18" s="479">
        <f t="shared" si="21"/>
        <v>0</v>
      </c>
      <c r="AC18" s="475" t="str">
        <f t="shared" si="17"/>
        <v/>
      </c>
      <c r="AD18" s="118" t="str">
        <f t="shared" si="18"/>
        <v/>
      </c>
      <c r="AE18" s="261" t="str">
        <f t="shared" si="19"/>
        <v/>
      </c>
      <c r="AF18" s="475" t="str">
        <f>+IF(AND(WEEKDAY(C18)=1,$C$4:$C$34=$C$72),"",IF(AND($C$4:$C$34=$C$72,D18=""),'Récapitulatif '!$AJ$3,IF(AND(D18="N",AG18&lt;&gt;""),('Récapitulatif '!$AJ$3-AG18),"")))</f>
        <v/>
      </c>
      <c r="AG18" s="119" t="str">
        <f>+IF(AND($C$4:$C$43=($C$72-1),$D$4:$D$43="N"),(L18-T18),IF(AND($C$4:$C$43=($C$72),$D$4:$D$43="N"),(24-K18),IF(AND($C$4:$C$43=(Janvier!$C$62-1),$D$4:$D$43="N"),(L18-T18),IF(AND($C$4:$C$43=(Janvier!$C$62),$D$4:$D$43="N"),(24-K18),IF(OR($C$4:$C$43=($C$72),$C$4:$C$43=Janvier!$C$62),$W18,"")))))</f>
        <v/>
      </c>
      <c r="AH18" s="218" t="str">
        <f t="shared" si="3"/>
        <v/>
      </c>
      <c r="AI18" s="13" t="str">
        <f t="shared" si="4"/>
        <v/>
      </c>
      <c r="AL18" s="1" t="s">
        <v>71</v>
      </c>
    </row>
    <row r="19" spans="1:38">
      <c r="A19" s="482">
        <f>IF(WEEKDAY(C19,2)=1,INT((C19-SUM(MOD(DATE(YEAR(C19-MOD(C19-2,7)+3),1,2),{1E+99;7})*{1;-1})+5)/7),"")</f>
        <v>51</v>
      </c>
      <c r="B19" s="482" t="str">
        <f>IF(A19&lt;&gt;"",VLOOKUP(A19,juin!$L$49:$M$101,2,FALSE),"")</f>
        <v>Matin</v>
      </c>
      <c r="C19" s="112">
        <f t="shared" si="20"/>
        <v>43815</v>
      </c>
      <c r="D19" s="643"/>
      <c r="E19" s="637" t="str">
        <f t="shared" si="5"/>
        <v/>
      </c>
      <c r="F19" s="638" t="str">
        <f t="shared" si="6"/>
        <v/>
      </c>
      <c r="G19" s="626"/>
      <c r="H19" s="128" t="str">
        <f t="shared" si="0"/>
        <v/>
      </c>
      <c r="I19" s="127" t="str">
        <f t="shared" si="7"/>
        <v/>
      </c>
      <c r="J19" s="299"/>
      <c r="K19" s="86"/>
      <c r="L19" s="11"/>
      <c r="M19" s="11"/>
      <c r="N19" s="369"/>
      <c r="O19" s="371">
        <f t="shared" si="8"/>
        <v>0</v>
      </c>
      <c r="P19" s="73">
        <f t="shared" si="9"/>
        <v>0</v>
      </c>
      <c r="Q19" s="73">
        <f t="shared" si="10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 t="str">
        <f t="shared" si="13"/>
        <v/>
      </c>
      <c r="V19" s="372" t="e">
        <f t="shared" si="14"/>
        <v>#VALUE!</v>
      </c>
      <c r="W19" s="114" t="str">
        <f t="shared" si="15"/>
        <v/>
      </c>
      <c r="X19" s="161" t="str">
        <f>+IF(D19="cp",(I19*'Récapitulatif '!$AJ$3),"")</f>
        <v/>
      </c>
      <c r="Y19" s="163" t="str">
        <f t="shared" si="1"/>
        <v/>
      </c>
      <c r="Z19" s="154" t="str">
        <f t="shared" si="16"/>
        <v/>
      </c>
      <c r="AA19" s="154" t="str">
        <f t="shared" si="2"/>
        <v/>
      </c>
      <c r="AB19" s="479" t="str">
        <f t="shared" si="21"/>
        <v/>
      </c>
      <c r="AC19" s="475" t="str">
        <f t="shared" si="17"/>
        <v/>
      </c>
      <c r="AD19" s="118" t="str">
        <f t="shared" si="18"/>
        <v/>
      </c>
      <c r="AE19" s="261" t="str">
        <f t="shared" si="19"/>
        <v/>
      </c>
      <c r="AF19" s="475" t="str">
        <f>+IF(AND(WEEKDAY(C19)=1,$C$4:$C$34=$C$72),"",IF(AND($C$4:$C$34=$C$72,D19=""),'Récapitulatif '!$AJ$3,IF(AND(D19="N",AG19&lt;&gt;""),('Récapitulatif '!$AJ$3-AG19),"")))</f>
        <v/>
      </c>
      <c r="AG19" s="119" t="str">
        <f>+IF(AND($C$4:$C$43=($C$72-1),$D$4:$D$43="N"),(L19-T19),IF(AND($C$4:$C$43=($C$72),$D$4:$D$43="N"),(24-K19),IF(AND($C$4:$C$43=(Janvier!$C$62-1),$D$4:$D$43="N"),(L19-T19),IF(AND($C$4:$C$43=(Janvier!$C$62),$D$4:$D$43="N"),(24-K19),IF(OR($C$4:$C$43=($C$72),$C$4:$C$43=Janvier!$C$62),$W19,"")))))</f>
        <v/>
      </c>
      <c r="AH19" s="218" t="str">
        <f t="shared" si="3"/>
        <v/>
      </c>
      <c r="AI19" s="13" t="str">
        <f t="shared" si="4"/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0"/>
        <v>43816</v>
      </c>
      <c r="D20" s="643"/>
      <c r="E20" s="637" t="str">
        <f t="shared" si="5"/>
        <v/>
      </c>
      <c r="F20" s="638" t="str">
        <f t="shared" si="6"/>
        <v/>
      </c>
      <c r="G20" s="626"/>
      <c r="H20" s="128" t="str">
        <f t="shared" si="0"/>
        <v/>
      </c>
      <c r="I20" s="127" t="str">
        <f t="shared" si="7"/>
        <v/>
      </c>
      <c r="J20" s="299"/>
      <c r="K20" s="86"/>
      <c r="L20" s="11"/>
      <c r="M20" s="11"/>
      <c r="N20" s="369"/>
      <c r="O20" s="371">
        <f t="shared" si="8"/>
        <v>0</v>
      </c>
      <c r="P20" s="73">
        <f t="shared" si="9"/>
        <v>0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 t="str">
        <f t="shared" si="13"/>
        <v/>
      </c>
      <c r="V20" s="372" t="e">
        <f t="shared" si="14"/>
        <v>#VALUE!</v>
      </c>
      <c r="W20" s="114" t="str">
        <f t="shared" si="15"/>
        <v/>
      </c>
      <c r="X20" s="161" t="str">
        <f>+IF(D20="cp",(I20*'Récapitulatif '!$AJ$3),"")</f>
        <v/>
      </c>
      <c r="Y20" s="163" t="str">
        <f t="shared" si="1"/>
        <v/>
      </c>
      <c r="Z20" s="154" t="str">
        <f t="shared" si="16"/>
        <v/>
      </c>
      <c r="AA20" s="154" t="str">
        <f t="shared" si="2"/>
        <v/>
      </c>
      <c r="AB20" s="479" t="str">
        <f t="shared" si="21"/>
        <v/>
      </c>
      <c r="AC20" s="475" t="str">
        <f t="shared" si="17"/>
        <v/>
      </c>
      <c r="AD20" s="118" t="str">
        <f t="shared" si="18"/>
        <v/>
      </c>
      <c r="AE20" s="261" t="str">
        <f t="shared" si="19"/>
        <v/>
      </c>
      <c r="AF20" s="475" t="str">
        <f>+IF(AND(WEEKDAY(C20)=1,$C$4:$C$34=$C$72),"",IF(AND($C$4:$C$34=$C$72,D20=""),'Récapitulatif '!$AJ$3,IF(AND(D20="N",AG20&lt;&gt;""),('Récapitulatif '!$AJ$3-AG20),"")))</f>
        <v/>
      </c>
      <c r="AG20" s="119" t="str">
        <f>+IF(AND($C$4:$C$43=($C$72-1),$D$4:$D$43="N"),(L20-T20),IF(AND($C$4:$C$43=($C$72),$D$4:$D$43="N"),(24-K20),IF(AND($C$4:$C$43=(Janvier!$C$62-1),$D$4:$D$43="N"),(L20-T20),IF(AND($C$4:$C$43=(Janvier!$C$62),$D$4:$D$43="N"),(24-K20),IF(OR($C$4:$C$43=($C$72),$C$4:$C$43=Janvier!$C$62),$W20,"")))))</f>
        <v/>
      </c>
      <c r="AH20" s="218" t="str">
        <f t="shared" si="3"/>
        <v/>
      </c>
      <c r="AI20" s="13" t="str">
        <f t="shared" si="4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20"/>
        <v>43817</v>
      </c>
      <c r="D21" s="643"/>
      <c r="E21" s="637" t="str">
        <f t="shared" si="5"/>
        <v/>
      </c>
      <c r="F21" s="638" t="str">
        <f t="shared" si="6"/>
        <v/>
      </c>
      <c r="G21" s="626"/>
      <c r="H21" s="128" t="str">
        <f t="shared" si="0"/>
        <v/>
      </c>
      <c r="I21" s="127" t="str">
        <f t="shared" si="7"/>
        <v/>
      </c>
      <c r="J21" s="299"/>
      <c r="K21" s="86"/>
      <c r="L21" s="11"/>
      <c r="M21" s="11"/>
      <c r="N21" s="369"/>
      <c r="O21" s="371">
        <f t="shared" si="8"/>
        <v>0</v>
      </c>
      <c r="P21" s="73">
        <f t="shared" si="9"/>
        <v>0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 t="str">
        <f t="shared" si="13"/>
        <v/>
      </c>
      <c r="V21" s="372" t="e">
        <f t="shared" si="14"/>
        <v>#VALUE!</v>
      </c>
      <c r="W21" s="114" t="str">
        <f t="shared" si="15"/>
        <v/>
      </c>
      <c r="X21" s="161" t="str">
        <f>+IF(D21="cp",(I21*'Récapitulatif '!$AJ$3),"")</f>
        <v/>
      </c>
      <c r="Y21" s="163" t="str">
        <f t="shared" si="1"/>
        <v/>
      </c>
      <c r="Z21" s="154" t="str">
        <f t="shared" si="16"/>
        <v/>
      </c>
      <c r="AA21" s="154" t="str">
        <f t="shared" si="2"/>
        <v/>
      </c>
      <c r="AB21" s="479" t="str">
        <f t="shared" si="21"/>
        <v/>
      </c>
      <c r="AC21" s="475" t="str">
        <f t="shared" si="17"/>
        <v/>
      </c>
      <c r="AD21" s="118" t="str">
        <f t="shared" si="18"/>
        <v/>
      </c>
      <c r="AE21" s="261" t="str">
        <f t="shared" si="19"/>
        <v/>
      </c>
      <c r="AF21" s="475" t="str">
        <f>+IF(AND(WEEKDAY(C21)=1,$C$4:$C$34=$C$72),"",IF(AND($C$4:$C$34=$C$72,D21=""),'Récapitulatif '!$AJ$3,IF(AND(D21="N",AG21&lt;&gt;""),('Récapitulatif '!$AJ$3-AG21),"")))</f>
        <v/>
      </c>
      <c r="AG21" s="119" t="str">
        <f>+IF(AND($C$4:$C$43=($C$72-1),$D$4:$D$43="N"),(L21-T21),IF(AND($C$4:$C$43=($C$72),$D$4:$D$43="N"),(24-K21),IF(AND($C$4:$C$43=(Janvier!$C$62-1),$D$4:$D$43="N"),(L21-T21),IF(AND($C$4:$C$43=(Janvier!$C$62),$D$4:$D$43="N"),(24-K21),IF(OR($C$4:$C$43=($C$72),$C$4:$C$43=Janvier!$C$62),$W21,"")))))</f>
        <v/>
      </c>
      <c r="AH21" s="218" t="str">
        <f t="shared" si="3"/>
        <v/>
      </c>
      <c r="AI21" s="13" t="str">
        <f t="shared" si="4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20"/>
        <v>43818</v>
      </c>
      <c r="D22" s="643"/>
      <c r="E22" s="637" t="str">
        <f t="shared" si="5"/>
        <v/>
      </c>
      <c r="F22" s="638" t="str">
        <f t="shared" si="6"/>
        <v/>
      </c>
      <c r="G22" s="626"/>
      <c r="H22" s="128" t="str">
        <f t="shared" si="0"/>
        <v/>
      </c>
      <c r="I22" s="127" t="str">
        <f t="shared" si="7"/>
        <v/>
      </c>
      <c r="J22" s="299"/>
      <c r="K22" s="86"/>
      <c r="L22" s="11"/>
      <c r="M22" s="11"/>
      <c r="N22" s="369"/>
      <c r="O22" s="371">
        <f t="shared" si="8"/>
        <v>0</v>
      </c>
      <c r="P22" s="73">
        <f t="shared" si="9"/>
        <v>0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 t="str">
        <f t="shared" si="13"/>
        <v/>
      </c>
      <c r="V22" s="372" t="e">
        <f t="shared" si="14"/>
        <v>#VALUE!</v>
      </c>
      <c r="W22" s="114" t="str">
        <f t="shared" si="15"/>
        <v/>
      </c>
      <c r="X22" s="161" t="str">
        <f>+IF(D22="cp",(I22*'Récapitulatif '!$AJ$3),"")</f>
        <v/>
      </c>
      <c r="Y22" s="163" t="str">
        <f t="shared" si="1"/>
        <v/>
      </c>
      <c r="Z22" s="154" t="str">
        <f t="shared" si="16"/>
        <v/>
      </c>
      <c r="AA22" s="154" t="str">
        <f t="shared" si="2"/>
        <v/>
      </c>
      <c r="AB22" s="479" t="str">
        <f t="shared" si="21"/>
        <v/>
      </c>
      <c r="AC22" s="475" t="str">
        <f t="shared" si="17"/>
        <v/>
      </c>
      <c r="AD22" s="118" t="str">
        <f t="shared" si="18"/>
        <v/>
      </c>
      <c r="AE22" s="261" t="str">
        <f t="shared" si="19"/>
        <v/>
      </c>
      <c r="AF22" s="475" t="str">
        <f>+IF(AND(WEEKDAY(C22)=1,$C$4:$C$34=$C$72),"",IF(AND($C$4:$C$34=$C$72,D22=""),'Récapitulatif '!$AJ$3,IF(AND(D22="N",AG22&lt;&gt;""),('Récapitulatif '!$AJ$3-AG22),"")))</f>
        <v/>
      </c>
      <c r="AG22" s="119" t="str">
        <f>+IF(AND($C$4:$C$43=($C$72-1),$D$4:$D$43="N"),(L22-T22),IF(AND($C$4:$C$43=($C$72),$D$4:$D$43="N"),(24-K22),IF(AND($C$4:$C$43=(Janvier!$C$62-1),$D$4:$D$43="N"),(L22-T22),IF(AND($C$4:$C$43=(Janvier!$C$62),$D$4:$D$43="N"),(24-K22),IF(OR($C$4:$C$43=($C$72),$C$4:$C$43=Janvier!$C$62),$W22,"")))))</f>
        <v/>
      </c>
      <c r="AH22" s="218" t="str">
        <f t="shared" si="3"/>
        <v/>
      </c>
      <c r="AI22" s="13" t="str">
        <f t="shared" si="4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20"/>
        <v>43819</v>
      </c>
      <c r="D23" s="643"/>
      <c r="E23" s="637" t="str">
        <f t="shared" si="5"/>
        <v/>
      </c>
      <c r="F23" s="638" t="str">
        <f t="shared" si="6"/>
        <v/>
      </c>
      <c r="G23" s="626"/>
      <c r="H23" s="128" t="str">
        <f t="shared" si="0"/>
        <v/>
      </c>
      <c r="I23" s="127" t="str">
        <f t="shared" si="7"/>
        <v/>
      </c>
      <c r="J23" s="299"/>
      <c r="K23" s="86"/>
      <c r="L23" s="11"/>
      <c r="M23" s="11"/>
      <c r="N23" s="369"/>
      <c r="O23" s="371">
        <f t="shared" si="8"/>
        <v>0</v>
      </c>
      <c r="P23" s="73">
        <f t="shared" si="9"/>
        <v>0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 t="str">
        <f t="shared" si="13"/>
        <v/>
      </c>
      <c r="V23" s="372" t="e">
        <f t="shared" si="14"/>
        <v>#VALUE!</v>
      </c>
      <c r="W23" s="114" t="str">
        <f t="shared" si="15"/>
        <v/>
      </c>
      <c r="X23" s="161" t="str">
        <f>+IF(D23="cp",(I23*'Récapitulatif '!$AJ$3),"")</f>
        <v/>
      </c>
      <c r="Y23" s="163" t="str">
        <f t="shared" si="1"/>
        <v/>
      </c>
      <c r="Z23" s="154" t="str">
        <f t="shared" si="16"/>
        <v/>
      </c>
      <c r="AA23" s="154" t="str">
        <f t="shared" si="2"/>
        <v/>
      </c>
      <c r="AB23" s="479" t="str">
        <f t="shared" si="21"/>
        <v/>
      </c>
      <c r="AC23" s="475" t="str">
        <f t="shared" si="17"/>
        <v/>
      </c>
      <c r="AD23" s="118" t="str">
        <f t="shared" si="18"/>
        <v/>
      </c>
      <c r="AE23" s="261" t="str">
        <f t="shared" si="19"/>
        <v/>
      </c>
      <c r="AF23" s="475" t="str">
        <f>+IF(AND(WEEKDAY(C23)=1,$C$4:$C$34=$C$72),"",IF(AND($C$4:$C$34=$C$72,D23=""),'Récapitulatif '!$AJ$3,IF(AND(D23="N",AG23&lt;&gt;""),('Récapitulatif '!$AJ$3-AG23),"")))</f>
        <v/>
      </c>
      <c r="AG23" s="119" t="str">
        <f>+IF(AND($C$4:$C$43=($C$72-1),$D$4:$D$43="N"),(L23-T23),IF(AND($C$4:$C$43=($C$72),$D$4:$D$43="N"),(24-K23),IF(AND($C$4:$C$43=(Janvier!$C$62-1),$D$4:$D$43="N"),(L23-T23),IF(AND($C$4:$C$43=(Janvier!$C$62),$D$4:$D$43="N"),(24-K23),IF(OR($C$4:$C$43=($C$72),$C$4:$C$43=Janvier!$C$62),$W23,"")))))</f>
        <v/>
      </c>
      <c r="AH23" s="218" t="str">
        <f t="shared" si="3"/>
        <v/>
      </c>
      <c r="AI23" s="13" t="str">
        <f t="shared" si="4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20"/>
        <v>43820</v>
      </c>
      <c r="D24" s="643"/>
      <c r="E24" s="637" t="str">
        <f t="shared" si="5"/>
        <v/>
      </c>
      <c r="F24" s="638" t="str">
        <f t="shared" si="6"/>
        <v/>
      </c>
      <c r="G24" s="626"/>
      <c r="H24" s="128" t="str">
        <f t="shared" si="0"/>
        <v/>
      </c>
      <c r="I24" s="127" t="str">
        <f t="shared" si="7"/>
        <v/>
      </c>
      <c r="J24" s="299"/>
      <c r="K24" s="86"/>
      <c r="L24" s="11"/>
      <c r="M24" s="11"/>
      <c r="N24" s="369"/>
      <c r="O24" s="371">
        <f t="shared" si="8"/>
        <v>0</v>
      </c>
      <c r="P24" s="73">
        <f t="shared" si="9"/>
        <v>0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 t="str">
        <f t="shared" si="13"/>
        <v/>
      </c>
      <c r="V24" s="372" t="e">
        <f t="shared" si="14"/>
        <v>#VALUE!</v>
      </c>
      <c r="W24" s="114" t="str">
        <f t="shared" si="15"/>
        <v/>
      </c>
      <c r="X24" s="161" t="str">
        <f>+IF(D24="cp",(I24*'Récapitulatif '!$AJ$3),"")</f>
        <v/>
      </c>
      <c r="Y24" s="163" t="str">
        <f t="shared" si="1"/>
        <v/>
      </c>
      <c r="Z24" s="154" t="str">
        <f t="shared" si="16"/>
        <v/>
      </c>
      <c r="AA24" s="154" t="str">
        <f t="shared" si="2"/>
        <v/>
      </c>
      <c r="AB24" s="479" t="str">
        <f t="shared" si="21"/>
        <v/>
      </c>
      <c r="AC24" s="475" t="str">
        <f t="shared" si="17"/>
        <v/>
      </c>
      <c r="AD24" s="118" t="str">
        <f t="shared" si="18"/>
        <v/>
      </c>
      <c r="AE24" s="261" t="str">
        <f t="shared" si="19"/>
        <v/>
      </c>
      <c r="AF24" s="475" t="str">
        <f>+IF(AND(WEEKDAY(C24)=1,$C$4:$C$34=$C$72),"",IF(AND($C$4:$C$34=$C$72,D24=""),'Récapitulatif '!$AJ$3,IF(AND(D24="N",AG24&lt;&gt;""),('Récapitulatif '!$AJ$3-AG24),"")))</f>
        <v/>
      </c>
      <c r="AG24" s="119" t="str">
        <f>+IF(AND($C$4:$C$43=($C$72-1),$D$4:$D$43="N"),(L24-T24),IF(AND($C$4:$C$43=($C$72),$D$4:$D$43="N"),(24-K24),IF(AND($C$4:$C$43=(Janvier!$C$62-1),$D$4:$D$43="N"),(L24-T24),IF(AND($C$4:$C$43=(Janvier!$C$62),$D$4:$D$43="N"),(24-K24),IF(OR($C$4:$C$43=($C$72),$C$4:$C$43=Janvier!$C$62),$W24,"")))))</f>
        <v/>
      </c>
      <c r="AH24" s="218" t="str">
        <f t="shared" si="3"/>
        <v/>
      </c>
      <c r="AI24" s="13" t="str">
        <f t="shared" si="4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0"/>
        <v>43821</v>
      </c>
      <c r="D25" s="643"/>
      <c r="E25" s="637" t="str">
        <f t="shared" si="5"/>
        <v/>
      </c>
      <c r="F25" s="638" t="str">
        <f t="shared" si="6"/>
        <v/>
      </c>
      <c r="G25" s="628"/>
      <c r="H25" s="128" t="str">
        <f t="shared" si="0"/>
        <v/>
      </c>
      <c r="I25" s="127" t="str">
        <f t="shared" si="7"/>
        <v/>
      </c>
      <c r="J25" s="299"/>
      <c r="K25" s="86"/>
      <c r="L25" s="11"/>
      <c r="M25" s="11"/>
      <c r="N25" s="369"/>
      <c r="O25" s="371">
        <f t="shared" si="8"/>
        <v>0</v>
      </c>
      <c r="P25" s="73">
        <f t="shared" si="9"/>
        <v>0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 t="str">
        <f t="shared" si="13"/>
        <v/>
      </c>
      <c r="V25" s="372" t="e">
        <f t="shared" si="14"/>
        <v>#VALUE!</v>
      </c>
      <c r="W25" s="114" t="str">
        <f t="shared" si="15"/>
        <v/>
      </c>
      <c r="X25" s="161" t="str">
        <f>+IF(D25="cp",(I25*'Récapitulatif '!$AJ$3),"")</f>
        <v/>
      </c>
      <c r="Y25" s="163" t="str">
        <f t="shared" si="1"/>
        <v/>
      </c>
      <c r="Z25" s="154" t="str">
        <f t="shared" si="16"/>
        <v/>
      </c>
      <c r="AA25" s="154" t="str">
        <f t="shared" si="2"/>
        <v/>
      </c>
      <c r="AB25" s="479">
        <f t="shared" si="21"/>
        <v>0</v>
      </c>
      <c r="AC25" s="475" t="str">
        <f t="shared" si="17"/>
        <v/>
      </c>
      <c r="AD25" s="118" t="str">
        <f t="shared" si="18"/>
        <v/>
      </c>
      <c r="AE25" s="261" t="str">
        <f t="shared" si="19"/>
        <v/>
      </c>
      <c r="AF25" s="475" t="str">
        <f>+IF(AND(WEEKDAY(C25)=1,$C$4:$C$34=$C$72),"",IF(AND($C$4:$C$34=$C$72,D25=""),'Récapitulatif '!$AJ$3,IF(AND(D25="N",AG25&lt;&gt;""),('Récapitulatif '!$AJ$3-AG25),"")))</f>
        <v/>
      </c>
      <c r="AG25" s="119" t="str">
        <f>+IF(AND($C$4:$C$43=($C$72-1),$D$4:$D$43="N"),(L25-T25),IF(AND($C$4:$C$43=($C$72),$D$4:$D$43="N"),(24-K25),IF(AND($C$4:$C$43=(Janvier!$C$62-1),$D$4:$D$43="N"),(L25-T25),IF(AND($C$4:$C$43=(Janvier!$C$62),$D$4:$D$43="N"),(24-K25),IF(OR($C$4:$C$43=($C$72),$C$4:$C$43=Janvier!$C$62),$W25,"")))))</f>
        <v/>
      </c>
      <c r="AH25" s="218" t="str">
        <f t="shared" si="3"/>
        <v/>
      </c>
      <c r="AI25" s="13" t="str">
        <f t="shared" si="4"/>
        <v/>
      </c>
    </row>
    <row r="26" spans="1:38">
      <c r="A26" s="482">
        <f>IF(WEEKDAY(C26,2)=1,INT((C26-SUM(MOD(DATE(YEAR(C26-MOD(C26-2,7)+3),1,2),{1E+99;7})*{1;-1})+5)/7),"")</f>
        <v>52</v>
      </c>
      <c r="B26" s="482" t="str">
        <f>IF(A26&lt;&gt;"",VLOOKUP(A26,juin!$L$49:$M$101,2,FALSE),"")</f>
        <v>Mystère</v>
      </c>
      <c r="C26" s="112">
        <f t="shared" si="20"/>
        <v>43822</v>
      </c>
      <c r="D26" s="643"/>
      <c r="E26" s="637" t="str">
        <f t="shared" si="5"/>
        <v/>
      </c>
      <c r="F26" s="638" t="str">
        <f t="shared" si="6"/>
        <v/>
      </c>
      <c r="G26" s="626"/>
      <c r="H26" s="128" t="str">
        <f t="shared" si="0"/>
        <v/>
      </c>
      <c r="I26" s="127" t="str">
        <f t="shared" si="7"/>
        <v/>
      </c>
      <c r="J26" s="299"/>
      <c r="K26" s="86"/>
      <c r="L26" s="11"/>
      <c r="M26" s="11"/>
      <c r="N26" s="369"/>
      <c r="O26" s="371">
        <f t="shared" ref="O26:R27" si="22">+((K26-INT(K26))/60*100)+INT(K26)</f>
        <v>0</v>
      </c>
      <c r="P26" s="73">
        <f t="shared" si="22"/>
        <v>0</v>
      </c>
      <c r="Q26" s="73">
        <f t="shared" si="22"/>
        <v>0</v>
      </c>
      <c r="R26" s="73">
        <f t="shared" si="22"/>
        <v>0</v>
      </c>
      <c r="S26" s="73">
        <v>0.2</v>
      </c>
      <c r="T26" s="73">
        <f t="shared" si="12"/>
        <v>0.33333333333333337</v>
      </c>
      <c r="U26" s="12" t="str">
        <f>+IF(D26="","",IF(D26="CP","",IF(D26="J2",((N26-M26)+(L26-K26)),IF(O26&lt;P26,P26-O26,P26+24-O26)-T26)))</f>
        <v/>
      </c>
      <c r="V26" s="372" t="e">
        <f>IF(O26&lt;P26,IF(K26="","",IF(O26&gt;$D$75,24-O26,IF(O26&lt;$D$76,$D$76-O26,0)))+IF(P26&lt;$D$76,P26,IF(P26&gt;$D$75,P26-$D$75,0)),IF(K26="","",IF(O26&gt;$D$75,24-O26,IF(O26&lt;$D$76,$D$76-O26,3)))+IF(P26&lt;$D$76,P26,IF(P26&gt;$D$75,24-P26,P26)))</f>
        <v>#VALUE!</v>
      </c>
      <c r="W26" s="114" t="str">
        <f>+IF(U26&gt;=6,U26,IF(D26="J2",((N26-M26)+(L26-K26)),IF(O26&lt;P26,P26-O26,P26+24-O26)))</f>
        <v/>
      </c>
      <c r="X26" s="161" t="str">
        <f>+IF(D26="cp",(I26*'Récapitulatif '!$AJ$3),"")</f>
        <v/>
      </c>
      <c r="Y26" s="163" t="str">
        <f t="shared" si="1"/>
        <v/>
      </c>
      <c r="Z26" s="154" t="str">
        <f t="shared" si="16"/>
        <v/>
      </c>
      <c r="AA26" s="154" t="str">
        <f t="shared" si="2"/>
        <v/>
      </c>
      <c r="AB26" s="479" t="str">
        <f t="shared" si="21"/>
        <v/>
      </c>
      <c r="AC26" s="475" t="str">
        <f>+IF(AND(WEEKDAY(C26)=7,D26="N"),(24-O26),IF(WEEKDAY(C26)=7,W26,IF(AND(WEEKDAY(C26)=6,D26="N"),(L26-0.33),IF(WEEKDAY(C26)=7,W26,""))))</f>
        <v/>
      </c>
      <c r="AD26" s="118" t="str">
        <f>+IF(AND(WEEKDAY(C26)=1,D26="N"),(24-O26),IF(WEEKDAY(C26)=1,W26,IF(AND(WEEKDAY(C26)=7,D26="N"),(L26-0.33),IF(WEEKDAY(C26)=1,W26,""))))</f>
        <v/>
      </c>
      <c r="AE26" s="261" t="str">
        <f t="shared" si="19"/>
        <v/>
      </c>
      <c r="AF26" s="475" t="str">
        <f>+IF(AND(WEEKDAY(C26)=1,$C$4:$C$34=$C$72),"",IF(AND($C$4:$C$34=$C$72,D26=""),'Récapitulatif '!$AJ$3,IF(AND(D26="N",AG26&lt;&gt;""),('Récapitulatif '!$AJ$3-AG26),"")))</f>
        <v/>
      </c>
      <c r="AG26" s="119" t="str">
        <f>+IF(AND($C$4:$C$43=($C$72-1),$D$4:$D$43="N"),(L26-T26),IF(AND($C$4:$C$43=($C$72),$D$4:$D$43="N"),(24-K26),IF(AND($C$4:$C$43=(Janvier!$C$62-1),$D$4:$D$43="N"),(L26-T26),IF(AND($C$4:$C$43=(Janvier!$C$62),$D$4:$D$43="N"),(24-K26),IF(OR($C$4:$C$43=($C$72),$C$4:$C$43=Janvier!$C$62),$W26,"")))))</f>
        <v/>
      </c>
      <c r="AH26" s="218" t="str">
        <f>IF(K26="","",IF(D26="J2","",IF(AI26=1,"",IF(U26&gt;=6,1,""))))</f>
        <v/>
      </c>
      <c r="AI26" s="13" t="str">
        <f>+IF(K26="","",IF(Y26&gt;=4,1,""))</f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0"/>
        <v>43823</v>
      </c>
      <c r="D27" s="643"/>
      <c r="E27" s="637" t="str">
        <f t="shared" si="5"/>
        <v/>
      </c>
      <c r="F27" s="638" t="str">
        <f t="shared" si="6"/>
        <v/>
      </c>
      <c r="G27" s="628"/>
      <c r="H27" s="128" t="str">
        <f t="shared" si="0"/>
        <v/>
      </c>
      <c r="I27" s="127" t="str">
        <f t="shared" si="7"/>
        <v/>
      </c>
      <c r="J27" s="299"/>
      <c r="K27" s="86"/>
      <c r="L27" s="11"/>
      <c r="M27" s="11"/>
      <c r="N27" s="369"/>
      <c r="O27" s="371">
        <f t="shared" si="22"/>
        <v>0</v>
      </c>
      <c r="P27" s="73">
        <f t="shared" si="22"/>
        <v>0</v>
      </c>
      <c r="Q27" s="73">
        <f t="shared" si="22"/>
        <v>0</v>
      </c>
      <c r="R27" s="73">
        <f t="shared" si="22"/>
        <v>0</v>
      </c>
      <c r="S27" s="73">
        <v>0.2</v>
      </c>
      <c r="T27" s="73">
        <f t="shared" si="12"/>
        <v>0.33333333333333337</v>
      </c>
      <c r="U27" s="12" t="str">
        <f>+IF(D27="","",IF(D27="CP","",IF(D27="J2",((N27-M27)+(L27-K27)),IF(O27&lt;P27,P27-O27,P27+24-O27)-T27)))</f>
        <v/>
      </c>
      <c r="V27" s="372" t="e">
        <f>IF(O27&lt;P27,IF(K27="","",IF(O27&gt;$D$75,24-O27,IF(O27&lt;$D$76,$D$76-O27,0)))+IF(P27&lt;$D$76,P27,IF(P27&gt;$D$75,P27-$D$75,0)),IF(K27="","",IF(O27&gt;$D$75,24-O27,IF(O27&lt;$D$76,$D$76-O27,3)))+IF(P27&lt;$D$76,P27,IF(P27&gt;$D$75,24-P27,P27)))</f>
        <v>#VALUE!</v>
      </c>
      <c r="W27" s="114" t="str">
        <f>+IF(U27&gt;=6,U27,IF(D27="J2",((N27-M27)+(L27-K27)),IF(O27&lt;P27,P27-O27,P27+24-O27)))</f>
        <v/>
      </c>
      <c r="X27" s="161" t="str">
        <f>+IF(D27="cp",(I27*'Récapitulatif '!$AJ$3),"")</f>
        <v/>
      </c>
      <c r="Y27" s="163" t="str">
        <f t="shared" si="1"/>
        <v/>
      </c>
      <c r="Z27" s="154" t="str">
        <f t="shared" si="16"/>
        <v/>
      </c>
      <c r="AA27" s="154" t="str">
        <f t="shared" si="2"/>
        <v/>
      </c>
      <c r="AB27" s="479" t="str">
        <f t="shared" si="21"/>
        <v/>
      </c>
      <c r="AC27" s="475" t="str">
        <f>+IF(AND(WEEKDAY(C27)=7,D27="N"),(24-O27),IF(WEEKDAY(C27)=7,W27,IF(AND(WEEKDAY(C27)=6,D27="N"),(L27-0.33),IF(WEEKDAY(C27)=7,W27,""))))</f>
        <v/>
      </c>
      <c r="AD27" s="118" t="str">
        <f>+IF(AND(WEEKDAY(C27)=1,D27="N"),(24-O27),IF(WEEKDAY(C27)=1,W27,IF(AND(WEEKDAY(C27)=7,D27="N"),(L27-0.33),IF(WEEKDAY(C27)=1,W27,""))))</f>
        <v/>
      </c>
      <c r="AE27" s="261" t="str">
        <f t="shared" si="19"/>
        <v/>
      </c>
      <c r="AF27" s="475" t="str">
        <f>+IF(AND(WEEKDAY(C27)=1,$C$4:$C$34=$C$72),"",IF(AND($C$4:$C$34=$C$72,D27=""),'Récapitulatif '!$AJ$3,IF(AND(D27="N",AG27&lt;&gt;""),('Récapitulatif '!$AJ$3-AG27),"")))</f>
        <v/>
      </c>
      <c r="AG27" s="119" t="str">
        <f>+IF(AND($C$4:$C$43=($C$72-1),$D$4:$D$43="N"),(L27-T27),IF(AND($C$4:$C$43=($C$72),$D$4:$D$43="N"),(24-K27),IF(AND($C$4:$C$43=(Janvier!$C$62-1),$D$4:$D$43="N"),(L27-T27),IF(AND($C$4:$C$43=(Janvier!$C$62),$D$4:$D$43="N"),(24-K27),IF(OR($C$4:$C$43=($C$72),$C$4:$C$43=Janvier!$C$62),$W27,"")))))</f>
        <v/>
      </c>
      <c r="AH27" s="218" t="str">
        <f>IF(K27="","",IF(D27="J2","",IF(AI27=1,"",IF(U27&gt;=6,1,""))))</f>
        <v/>
      </c>
      <c r="AI27" s="13" t="str">
        <f>+IF(K27="","",IF(Y27&gt;=4,1,""))</f>
        <v/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20"/>
        <v>43824</v>
      </c>
      <c r="D28" s="643"/>
      <c r="E28" s="637" t="str">
        <f t="shared" si="5"/>
        <v/>
      </c>
      <c r="F28" s="638" t="str">
        <f t="shared" si="6"/>
        <v/>
      </c>
      <c r="G28" s="626"/>
      <c r="H28" s="128" t="str">
        <f t="shared" si="0"/>
        <v/>
      </c>
      <c r="I28" s="127" t="str">
        <f t="shared" si="7"/>
        <v/>
      </c>
      <c r="J28" s="299"/>
      <c r="K28" s="86"/>
      <c r="L28" s="11"/>
      <c r="M28" s="11"/>
      <c r="N28" s="369"/>
      <c r="O28" s="371">
        <f t="shared" si="8"/>
        <v>0</v>
      </c>
      <c r="P28" s="73">
        <f t="shared" si="9"/>
        <v>0</v>
      </c>
      <c r="Q28" s="73">
        <f t="shared" si="10"/>
        <v>0</v>
      </c>
      <c r="R28" s="73">
        <f t="shared" si="11"/>
        <v>0</v>
      </c>
      <c r="S28" s="73">
        <v>0.2</v>
      </c>
      <c r="T28" s="73">
        <f t="shared" si="12"/>
        <v>0.33333333333333337</v>
      </c>
      <c r="U28" s="12" t="str">
        <f t="shared" si="13"/>
        <v/>
      </c>
      <c r="V28" s="372" t="e">
        <f t="shared" si="14"/>
        <v>#VALUE!</v>
      </c>
      <c r="W28" s="114" t="str">
        <f t="shared" si="15"/>
        <v/>
      </c>
      <c r="X28" s="161" t="str">
        <f>+IF(D28="cp",(I28*'Récapitulatif '!$AJ$3),"")</f>
        <v/>
      </c>
      <c r="Y28" s="163" t="str">
        <f t="shared" si="1"/>
        <v/>
      </c>
      <c r="Z28" s="154" t="str">
        <f t="shared" si="16"/>
        <v/>
      </c>
      <c r="AA28" s="154" t="str">
        <f t="shared" si="2"/>
        <v/>
      </c>
      <c r="AB28" s="479" t="str">
        <f t="shared" si="21"/>
        <v/>
      </c>
      <c r="AC28" s="475" t="str">
        <f t="shared" si="17"/>
        <v/>
      </c>
      <c r="AD28" s="118" t="str">
        <f t="shared" si="18"/>
        <v/>
      </c>
      <c r="AE28" s="261" t="str">
        <f t="shared" si="19"/>
        <v/>
      </c>
      <c r="AF28" s="475">
        <f>+IF(AND(WEEKDAY(C28)=1,$C$4:$C$34=$C$72),"",IF(AND($C$4:$C$34=$C$72,D28=""),'Récapitulatif '!$AJ$3,IF(AND(D28="N",AG28&lt;&gt;""),('Récapitulatif '!$AJ$3-AG28),"")))</f>
        <v>6.9</v>
      </c>
      <c r="AG28" s="119" t="str">
        <f>+IF(AND($C$4:$C$43=($C$72-1),$D$4:$D$43="N"),(L28-T28),IF(AND($C$4:$C$43=($C$72),$D$4:$D$43="N"),(24-K28),IF(AND($C$4:$C$43=(Janvier!$C$62-1),$D$4:$D$43="N"),(L28-T28),IF(AND($C$4:$C$43=(Janvier!$C$62),$D$4:$D$43="N"),(24-K28),IF(OR($C$4:$C$43=($C$72),$C$4:$C$43=Janvier!$C$62),$W28,"")))))</f>
        <v/>
      </c>
      <c r="AH28" s="218" t="str">
        <f t="shared" si="3"/>
        <v/>
      </c>
      <c r="AI28" s="13" t="str">
        <f t="shared" si="4"/>
        <v/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20"/>
        <v>43825</v>
      </c>
      <c r="D29" s="643"/>
      <c r="E29" s="637" t="str">
        <f t="shared" si="5"/>
        <v/>
      </c>
      <c r="F29" s="638" t="str">
        <f t="shared" si="6"/>
        <v/>
      </c>
      <c r="G29" s="626"/>
      <c r="H29" s="128" t="str">
        <f t="shared" si="0"/>
        <v/>
      </c>
      <c r="I29" s="127" t="str">
        <f t="shared" si="7"/>
        <v/>
      </c>
      <c r="J29" s="299"/>
      <c r="K29" s="86"/>
      <c r="L29" s="11"/>
      <c r="M29" s="11"/>
      <c r="N29" s="369"/>
      <c r="O29" s="371">
        <f t="shared" si="8"/>
        <v>0</v>
      </c>
      <c r="P29" s="73">
        <f t="shared" si="9"/>
        <v>0</v>
      </c>
      <c r="Q29" s="73">
        <f t="shared" si="10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 t="str">
        <f t="shared" si="13"/>
        <v/>
      </c>
      <c r="V29" s="372" t="e">
        <f t="shared" si="14"/>
        <v>#VALUE!</v>
      </c>
      <c r="W29" s="114" t="str">
        <f t="shared" si="15"/>
        <v/>
      </c>
      <c r="X29" s="161" t="str">
        <f>+IF(D29="cp",(I29*'Récapitulatif '!$AJ$3),"")</f>
        <v/>
      </c>
      <c r="Y29" s="163" t="str">
        <f t="shared" si="1"/>
        <v/>
      </c>
      <c r="Z29" s="154" t="str">
        <f t="shared" si="16"/>
        <v/>
      </c>
      <c r="AA29" s="154" t="str">
        <f t="shared" si="2"/>
        <v/>
      </c>
      <c r="AB29" s="479" t="str">
        <f t="shared" si="21"/>
        <v/>
      </c>
      <c r="AC29" s="475" t="str">
        <f t="shared" si="17"/>
        <v/>
      </c>
      <c r="AD29" s="118" t="str">
        <f t="shared" si="18"/>
        <v/>
      </c>
      <c r="AE29" s="261" t="str">
        <f t="shared" si="19"/>
        <v/>
      </c>
      <c r="AF29" s="475" t="str">
        <f>+IF(AND(WEEKDAY(C29)=1,$C$4:$C$34=$C$72),"",IF(AND($C$4:$C$34=$C$72,D29=""),'Récapitulatif '!$AJ$3,IF(AND(D29="N",AG29&lt;&gt;""),('Récapitulatif '!$AJ$3-AG29),"")))</f>
        <v/>
      </c>
      <c r="AG29" s="119" t="str">
        <f>+IF(AND($C$4:$C$43=($C$72-1),$D$4:$D$43="N"),(L29-T29),IF(AND($C$4:$C$43=($C$72),$D$4:$D$43="N"),(24-K29),IF(AND($C$4:$C$43=(Janvier!$C$62-1),$D$4:$D$43="N"),(L29-T29),IF(AND($C$4:$C$43=(Janvier!$C$62),$D$4:$D$43="N"),(24-K29),IF(OR($C$4:$C$43=($C$72),$C$4:$C$43=Janvier!$C$62),$W29,"")))))</f>
        <v/>
      </c>
      <c r="AH29" s="218" t="str">
        <f t="shared" si="3"/>
        <v/>
      </c>
      <c r="AI29" s="13" t="str">
        <f t="shared" si="4"/>
        <v/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20"/>
        <v>43826</v>
      </c>
      <c r="D30" s="643"/>
      <c r="E30" s="637" t="str">
        <f t="shared" si="5"/>
        <v/>
      </c>
      <c r="F30" s="638" t="str">
        <f t="shared" si="6"/>
        <v/>
      </c>
      <c r="G30" s="628"/>
      <c r="H30" s="128" t="str">
        <f t="shared" si="0"/>
        <v/>
      </c>
      <c r="I30" s="127" t="str">
        <f t="shared" si="7"/>
        <v/>
      </c>
      <c r="J30" s="299"/>
      <c r="K30" s="86"/>
      <c r="L30" s="11"/>
      <c r="M30" s="11"/>
      <c r="N30" s="369"/>
      <c r="O30" s="371">
        <f t="shared" si="8"/>
        <v>0</v>
      </c>
      <c r="P30" s="73">
        <f t="shared" si="9"/>
        <v>0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 t="str">
        <f t="shared" si="13"/>
        <v/>
      </c>
      <c r="V30" s="372" t="e">
        <f t="shared" si="14"/>
        <v>#VALUE!</v>
      </c>
      <c r="W30" s="114" t="str">
        <f t="shared" si="15"/>
        <v/>
      </c>
      <c r="X30" s="161" t="str">
        <f>+IF(D30="cp",(I30*'Récapitulatif '!$AJ$3),"")</f>
        <v/>
      </c>
      <c r="Y30" s="163" t="str">
        <f t="shared" si="1"/>
        <v/>
      </c>
      <c r="Z30" s="154" t="str">
        <f t="shared" si="16"/>
        <v/>
      </c>
      <c r="AA30" s="154" t="str">
        <f t="shared" si="2"/>
        <v/>
      </c>
      <c r="AB30" s="479" t="str">
        <f t="shared" si="21"/>
        <v/>
      </c>
      <c r="AC30" s="475" t="str">
        <f t="shared" si="17"/>
        <v/>
      </c>
      <c r="AD30" s="118" t="str">
        <f t="shared" si="18"/>
        <v/>
      </c>
      <c r="AE30" s="261" t="str">
        <f t="shared" si="19"/>
        <v/>
      </c>
      <c r="AF30" s="475" t="str">
        <f>+IF(AND(WEEKDAY(C30)=1,$C$4:$C$34=$C$72),"",IF(AND($C$4:$C$34=$C$72,D30=""),'Récapitulatif '!$AJ$3,IF(AND(D30="N",AG30&lt;&gt;""),('Récapitulatif '!$AJ$3-AG30),"")))</f>
        <v/>
      </c>
      <c r="AG30" s="119" t="str">
        <f>+IF(AND($C$4:$C$43=($C$72-1),$D$4:$D$43="N"),(L30-T30),IF(AND($C$4:$C$43=($C$72),$D$4:$D$43="N"),(24-K30),IF(AND($C$4:$C$43=(Janvier!$C$62-1),$D$4:$D$43="N"),(L30-T30),IF(AND($C$4:$C$43=(Janvier!$C$62),$D$4:$D$43="N"),(24-K30),IF(OR($C$4:$C$43=($C$72),$C$4:$C$43=Janvier!$C$62),$W30,"")))))</f>
        <v/>
      </c>
      <c r="AH30" s="218" t="str">
        <f t="shared" si="3"/>
        <v/>
      </c>
      <c r="AI30" s="13" t="str">
        <f t="shared" si="4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20"/>
        <v>43827</v>
      </c>
      <c r="D31" s="643"/>
      <c r="E31" s="637" t="str">
        <f t="shared" si="5"/>
        <v/>
      </c>
      <c r="F31" s="638" t="str">
        <f t="shared" si="6"/>
        <v/>
      </c>
      <c r="G31" s="626"/>
      <c r="H31" s="128" t="str">
        <f t="shared" si="0"/>
        <v/>
      </c>
      <c r="I31" s="127" t="str">
        <f t="shared" si="7"/>
        <v/>
      </c>
      <c r="J31" s="299"/>
      <c r="K31" s="86"/>
      <c r="L31" s="11"/>
      <c r="M31" s="11"/>
      <c r="N31" s="369"/>
      <c r="O31" s="371">
        <f t="shared" si="8"/>
        <v>0</v>
      </c>
      <c r="P31" s="73">
        <f t="shared" si="9"/>
        <v>0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 t="str">
        <f t="shared" si="13"/>
        <v/>
      </c>
      <c r="V31" s="372" t="e">
        <f t="shared" si="14"/>
        <v>#VALUE!</v>
      </c>
      <c r="W31" s="114" t="str">
        <f t="shared" si="15"/>
        <v/>
      </c>
      <c r="X31" s="161" t="str">
        <f>+IF(D31="cp",(I31*'Récapitulatif '!$AJ$3),"")</f>
        <v/>
      </c>
      <c r="Y31" s="163" t="str">
        <f t="shared" si="1"/>
        <v/>
      </c>
      <c r="Z31" s="154" t="str">
        <f t="shared" si="16"/>
        <v/>
      </c>
      <c r="AA31" s="154" t="str">
        <f t="shared" si="2"/>
        <v/>
      </c>
      <c r="AB31" s="479" t="str">
        <f t="shared" si="21"/>
        <v/>
      </c>
      <c r="AC31" s="475" t="str">
        <f t="shared" si="17"/>
        <v/>
      </c>
      <c r="AD31" s="118" t="str">
        <f t="shared" si="18"/>
        <v/>
      </c>
      <c r="AE31" s="261" t="str">
        <f t="shared" si="19"/>
        <v/>
      </c>
      <c r="AF31" s="475" t="str">
        <f>+IF(AND(WEEKDAY(C31)=1,$C$4:$C$34=$C$72),"",IF(AND($C$4:$C$34=$C$72,D31=""),'Récapitulatif '!$AJ$3,IF(AND(D31="N",AG31&lt;&gt;""),('Récapitulatif '!$AJ$3-AG31),"")))</f>
        <v/>
      </c>
      <c r="AG31" s="119" t="str">
        <f>+IF(AND($C$4:$C$43=($C$72-1),$D$4:$D$43="N"),(L31-T31),IF(AND($C$4:$C$43=($C$72),$D$4:$D$43="N"),(24-K31),IF(AND($C$4:$C$43=(Janvier!$C$62-1),$D$4:$D$43="N"),(L31-T31),IF(AND($C$4:$C$43=(Janvier!$C$62),$D$4:$D$43="N"),(24-K31),IF(OR($C$4:$C$43=($C$72),$C$4:$C$43=Janvier!$C$62),$W31,"")))))</f>
        <v/>
      </c>
      <c r="AH31" s="218" t="str">
        <f t="shared" si="3"/>
        <v/>
      </c>
      <c r="AI31" s="13" t="str">
        <f t="shared" si="4"/>
        <v/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43828</v>
      </c>
      <c r="D32" s="643"/>
      <c r="E32" s="637" t="str">
        <f t="shared" si="5"/>
        <v/>
      </c>
      <c r="F32" s="638" t="str">
        <f t="shared" si="6"/>
        <v/>
      </c>
      <c r="G32" s="628"/>
      <c r="H32" s="128" t="str">
        <f t="shared" si="0"/>
        <v/>
      </c>
      <c r="I32" s="127" t="str">
        <f t="shared" si="7"/>
        <v/>
      </c>
      <c r="J32" s="299"/>
      <c r="K32" s="86"/>
      <c r="L32" s="11"/>
      <c r="M32" s="11"/>
      <c r="N32" s="369"/>
      <c r="O32" s="371">
        <f t="shared" si="8"/>
        <v>0</v>
      </c>
      <c r="P32" s="73">
        <f t="shared" si="9"/>
        <v>0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 t="str">
        <f t="shared" si="13"/>
        <v/>
      </c>
      <c r="V32" s="372" t="e">
        <f t="shared" si="14"/>
        <v>#VALUE!</v>
      </c>
      <c r="W32" s="114" t="str">
        <f t="shared" si="15"/>
        <v/>
      </c>
      <c r="X32" s="161" t="str">
        <f>+IF(D32="cp",(I32*'Récapitulatif '!$AJ$3),"")</f>
        <v/>
      </c>
      <c r="Y32" s="163" t="str">
        <f t="shared" si="1"/>
        <v/>
      </c>
      <c r="Z32" s="154" t="str">
        <f t="shared" si="16"/>
        <v/>
      </c>
      <c r="AA32" s="154" t="str">
        <f t="shared" si="2"/>
        <v/>
      </c>
      <c r="AB32" s="479">
        <f t="shared" si="21"/>
        <v>0</v>
      </c>
      <c r="AC32" s="475" t="str">
        <f t="shared" si="17"/>
        <v/>
      </c>
      <c r="AD32" s="118" t="str">
        <f t="shared" si="18"/>
        <v/>
      </c>
      <c r="AE32" s="261" t="str">
        <f t="shared" si="19"/>
        <v/>
      </c>
      <c r="AF32" s="475" t="str">
        <f>+IF(AND(WEEKDAY(C32)=1,$C$4:$C$34=$C$72),"",IF(AND($C$4:$C$34=$C$72,D32=""),'Récapitulatif '!$AJ$3,IF(AND(D32="N",AG32&lt;&gt;""),('Récapitulatif '!$AJ$3-AG32),"")))</f>
        <v/>
      </c>
      <c r="AG32" s="119" t="str">
        <f>+IF(AND($C$4:$C$43=($C$72-1),$D$4:$D$43="N"),(L32-T32),IF(AND($C$4:$C$43=($C$72),$D$4:$D$43="N"),(24-K32),IF(AND($C$4:$C$43=(Janvier!$C$62-1),$D$4:$D$43="N"),(L32-T32),IF(AND($C$4:$C$43=(Janvier!$C$62),$D$4:$D$43="N"),(24-K32),IF(OR($C$4:$C$43=($C$72),$C$4:$C$43=Janvier!$C$62),$W32,"")))))</f>
        <v/>
      </c>
      <c r="AH32" s="218" t="str">
        <f t="shared" si="3"/>
        <v/>
      </c>
      <c r="AI32" s="13" t="str">
        <f t="shared" si="4"/>
        <v/>
      </c>
    </row>
    <row r="33" spans="1:39">
      <c r="A33" s="482">
        <f>IF(WEEKDAY(C33,2)=1,INT((C33-SUM(MOD(DATE(YEAR(C33-MOD(C33-2,7)+3),1,2),{1E+99;7})*{1;-1})+5)/7),"")</f>
        <v>1</v>
      </c>
      <c r="B33" s="482" t="str">
        <f>IF(A33&lt;&gt;"",VLOOKUP(A33,juin!$L$49:$M$101,2,FALSE),"")</f>
        <v>Nuit</v>
      </c>
      <c r="C33" s="112">
        <f>+IF(MONTH(C$31+2)=MONTH(C$31)+1,"",C$31+2)</f>
        <v>43829</v>
      </c>
      <c r="D33" s="646" t="s">
        <v>203</v>
      </c>
      <c r="E33" s="637" t="str">
        <f t="shared" si="5"/>
        <v/>
      </c>
      <c r="F33" s="638" t="str">
        <f t="shared" si="6"/>
        <v/>
      </c>
      <c r="G33" s="628" t="s">
        <v>184</v>
      </c>
      <c r="H33" s="128">
        <f t="shared" si="0"/>
        <v>1</v>
      </c>
      <c r="I33" s="127" t="str">
        <f t="shared" si="7"/>
        <v/>
      </c>
      <c r="J33" s="299"/>
      <c r="K33" s="86">
        <v>20.55</v>
      </c>
      <c r="L33" s="11">
        <v>5</v>
      </c>
      <c r="M33" s="11"/>
      <c r="N33" s="369"/>
      <c r="O33" s="371">
        <f t="shared" si="8"/>
        <v>20.916666666666668</v>
      </c>
      <c r="P33" s="73">
        <f t="shared" si="9"/>
        <v>5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>
        <f t="shared" si="13"/>
        <v>7.7499999999999991</v>
      </c>
      <c r="V33" s="372">
        <f t="shared" si="14"/>
        <v>8</v>
      </c>
      <c r="W33" s="114">
        <f t="shared" si="15"/>
        <v>7.7499999999999991</v>
      </c>
      <c r="X33" s="161" t="str">
        <f>+IF(D33="cp",(I33*'Récapitulatif '!$AJ$3),"")</f>
        <v/>
      </c>
      <c r="Y33" s="163">
        <f t="shared" si="1"/>
        <v>7.666666666666667</v>
      </c>
      <c r="Z33" s="154" t="str">
        <f t="shared" si="16"/>
        <v/>
      </c>
      <c r="AA33" s="154">
        <f t="shared" si="2"/>
        <v>1</v>
      </c>
      <c r="AB33" s="479" t="str">
        <f t="shared" si="21"/>
        <v/>
      </c>
      <c r="AC33" s="475" t="str">
        <f t="shared" si="17"/>
        <v/>
      </c>
      <c r="AD33" s="118" t="str">
        <f t="shared" si="18"/>
        <v/>
      </c>
      <c r="AE33" s="261" t="str">
        <f t="shared" si="19"/>
        <v/>
      </c>
      <c r="AF33" s="475" t="str">
        <f>+IF(AND(WEEKDAY(C33)=1,$C$4:$C$34=$C$72),"",IF(AND($C$4:$C$34=$C$72,D33=""),'Récapitulatif '!$AJ$3,IF(AND(D33="N",AG33&lt;&gt;""),('Récapitulatif '!$AJ$3-AG33),"")))</f>
        <v/>
      </c>
      <c r="AG33" s="119" t="str">
        <f>+IF(AND($C$4:$C$43=($C$72-1),$D$4:$D$43="N"),(L33-T33),IF(AND($C$4:$C$43=($C$72),$D$4:$D$43="N"),(24-K33),IF(AND($C$4:$C$43=(Janvier!$C$62-1),$D$4:$D$43="N"),(L33-T33),IF(AND($C$4:$C$43=(Janvier!$C$62),$D$4:$D$43="N"),(24-K33),IF(OR($C$4:$C$43=($C$72),$C$4:$C$43=Janvier!$C$62),$W33,"")))))</f>
        <v/>
      </c>
      <c r="AH33" s="218" t="str">
        <f t="shared" si="3"/>
        <v/>
      </c>
      <c r="AI33" s="13">
        <f t="shared" si="4"/>
        <v>1</v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>
        <f>+IF(MONTH(C$31+3)=MONTH(C$31)+1,"",C$31+3)</f>
        <v>43830</v>
      </c>
      <c r="D34" s="649"/>
      <c r="E34" s="639" t="str">
        <f t="shared" si="5"/>
        <v/>
      </c>
      <c r="F34" s="640" t="str">
        <f t="shared" si="6"/>
        <v/>
      </c>
      <c r="G34" s="629"/>
      <c r="H34" s="128" t="str">
        <f t="shared" si="0"/>
        <v/>
      </c>
      <c r="I34" s="127" t="str">
        <f t="shared" si="7"/>
        <v/>
      </c>
      <c r="J34" s="300"/>
      <c r="K34" s="87"/>
      <c r="L34" s="14"/>
      <c r="M34" s="14"/>
      <c r="N34" s="370"/>
      <c r="O34" s="373">
        <f t="shared" si="8"/>
        <v>0</v>
      </c>
      <c r="P34" s="202">
        <f t="shared" si="9"/>
        <v>0</v>
      </c>
      <c r="Q34" s="202">
        <f t="shared" si="10"/>
        <v>0</v>
      </c>
      <c r="R34" s="202">
        <f t="shared" si="11"/>
        <v>0</v>
      </c>
      <c r="S34" s="202">
        <v>0.2</v>
      </c>
      <c r="T34" s="202">
        <f t="shared" si="12"/>
        <v>0.33333333333333337</v>
      </c>
      <c r="U34" s="203" t="str">
        <f t="shared" si="13"/>
        <v/>
      </c>
      <c r="V34" s="374" t="e">
        <f t="shared" si="14"/>
        <v>#VALUE!</v>
      </c>
      <c r="W34" s="115" t="str">
        <f t="shared" si="15"/>
        <v/>
      </c>
      <c r="X34" s="204" t="str">
        <f>+IF(D34="cp",(I34*'Récapitulatif '!$AJ$3),"")</f>
        <v/>
      </c>
      <c r="Y34" s="164" t="str">
        <f t="shared" si="1"/>
        <v/>
      </c>
      <c r="Z34" s="154" t="str">
        <f t="shared" si="16"/>
        <v/>
      </c>
      <c r="AA34" s="154" t="str">
        <f t="shared" si="2"/>
        <v/>
      </c>
      <c r="AB34" s="480" t="str">
        <f t="shared" si="21"/>
        <v/>
      </c>
      <c r="AC34" s="476" t="str">
        <f t="shared" si="17"/>
        <v/>
      </c>
      <c r="AD34" s="120" t="str">
        <f t="shared" si="18"/>
        <v/>
      </c>
      <c r="AE34" s="262" t="str">
        <f t="shared" si="19"/>
        <v/>
      </c>
      <c r="AF34" s="476" t="str">
        <f>+IF(AND(WEEKDAY(C34)=1,$C$4:$C$34=$C$72),"",IF(AND($C$4:$C$34=$C$72,D34=""),'Récapitulatif '!$AJ$3,IF(AND(D34="N",AG34&lt;&gt;""),('Récapitulatif '!$AJ$3-AG34),"")))</f>
        <v/>
      </c>
      <c r="AG34" s="131" t="str">
        <f>+IF(AND($C$4:$C$43=($C$72-1),$D$4:$D$43="N"),(L34-T34),IF(AND($C$4:$C$43=($C$72),$D$4:$D$43="N"),(24-K34),IF(AND($C$4:$C$43=(Janvier!$C$62-1),$D$4:$D$43="N"),(L34-T34),IF(AND($C$4:$C$43=(Janvier!$C$62),$D$4:$D$43="N"),(24-K34),IF(OR($C$4:$C$43=($C$72),$C$4:$C$43=Janvier!$C$62),$W34,"")))))</f>
        <v/>
      </c>
      <c r="AH34" s="219" t="str">
        <f t="shared" si="3"/>
        <v/>
      </c>
      <c r="AI34" s="15" t="str">
        <f t="shared" si="4"/>
        <v/>
      </c>
    </row>
    <row r="35" spans="1:39" ht="13.5" hidden="1" thickBot="1">
      <c r="A35" s="482" t="e">
        <f>INT((C35-SUM(MOD(DATE(YEAR(C35-MOD(C35-2,7)+3),1,2),{1E+99;7})*{1;-1})+5)/7)</f>
        <v>#NUM!</v>
      </c>
      <c r="B35" s="482" t="e">
        <f>IF(A35&lt;&gt;"",VLOOKUP(A35,juin!$L$49:$M$101,2,FALSE),"")</f>
        <v>#NUM!</v>
      </c>
      <c r="C35" s="191"/>
      <c r="D35" s="192"/>
      <c r="E35" s="192"/>
      <c r="F35" s="557" t="str">
        <f t="shared" si="6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7.7499999999999991</v>
      </c>
      <c r="AC35" s="199"/>
      <c r="AD35" s="199"/>
      <c r="AE35" s="174" t="e">
        <f>+IF(OR($C$4:$C$34=C99),W35,"")</f>
        <v>#VALUE!</v>
      </c>
      <c r="AF35" s="292" t="str">
        <f>+IF(AND(WEEKDAY(C35)=7,$C$4:$C$43=$C$72),"",IF(AND(WEEKDAY(C35)=1,$C$4:$C$43=$C$72),"",IF($C$4:$C$43=$C$72,'Récapitulatif '!$AJ$3,"")))</f>
        <v/>
      </c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0</v>
      </c>
      <c r="E37" s="609"/>
      <c r="F37" s="609"/>
      <c r="G37" s="836" t="s">
        <v>206</v>
      </c>
      <c r="H37" s="837"/>
      <c r="I37" s="837"/>
      <c r="J37" s="837"/>
      <c r="K37" s="616">
        <f>SUM(E4:E34)</f>
        <v>1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53.583333333333336</v>
      </c>
      <c r="X37" s="151">
        <f>SUM(X4:X34)</f>
        <v>0</v>
      </c>
      <c r="Y37" s="117">
        <f t="shared" ref="Y37:AI37" si="23">SUM(Y4:Y34)</f>
        <v>47</v>
      </c>
      <c r="Z37" s="155">
        <f>SUM(Z4:Z34)</f>
        <v>0</v>
      </c>
      <c r="AA37" s="155">
        <f>SUM(AA4:AA34)-Z37</f>
        <v>6</v>
      </c>
      <c r="AC37" s="121">
        <f t="shared" si="23"/>
        <v>0</v>
      </c>
      <c r="AD37" s="122">
        <f t="shared" si="23"/>
        <v>10.166666666666668</v>
      </c>
      <c r="AE37" s="123">
        <f t="shared" si="23"/>
        <v>0</v>
      </c>
      <c r="AF37" s="121">
        <f>SUM(AF4:AF34)</f>
        <v>6.9</v>
      </c>
      <c r="AG37" s="123">
        <f>SUM(AG4:AG34)</f>
        <v>0</v>
      </c>
      <c r="AH37" s="314">
        <f t="shared" si="23"/>
        <v>1</v>
      </c>
      <c r="AI37" s="23">
        <f t="shared" si="23"/>
        <v>6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7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53.583333333333336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1</v>
      </c>
      <c r="Z41" s="81"/>
      <c r="AA41" s="81"/>
      <c r="AB41" s="80" t="s">
        <v>55</v>
      </c>
      <c r="AC41" s="84">
        <v>0</v>
      </c>
      <c r="AD41" s="80" t="s">
        <v>56</v>
      </c>
      <c r="AE41" s="82">
        <f>+(Novembre!AE41+Y41)-AC41</f>
        <v>52.896666666666668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7.1666666666666687</v>
      </c>
      <c r="M43" s="505">
        <f>COUNTIF($D$4:$D$34,"M")</f>
        <v>1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0</v>
      </c>
      <c r="M44" s="504">
        <f>COUNTIF($D$4:$D$34,"aM")</f>
        <v>0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46.416666666666664</v>
      </c>
      <c r="M45" s="506">
        <f>COUNTIF($D$4:$D$34,"n")</f>
        <v>6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59" spans="3:14" ht="12" customHeight="1"/>
    <row r="60" spans="3:14" hidden="1">
      <c r="C60" s="813" t="s">
        <v>108</v>
      </c>
      <c r="D60" s="814"/>
      <c r="E60" s="814"/>
      <c r="F60" s="814"/>
      <c r="G60" s="815"/>
    </row>
    <row r="61" spans="3:14" ht="13.5" hidden="1" thickBot="1">
      <c r="C61" s="816">
        <f>+juin!C52</f>
        <v>2019</v>
      </c>
      <c r="D61" s="817"/>
      <c r="E61" s="817"/>
      <c r="F61" s="817"/>
      <c r="G61" s="818"/>
    </row>
    <row r="62" spans="3:14" ht="15" hidden="1">
      <c r="C62" s="666">
        <f>+DATE(C61,1,1)</f>
        <v>43466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AE55-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43577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43586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43593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43615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43626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43660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43692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43770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43780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43824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>
      <c r="D77" s="26"/>
      <c r="E77" s="26"/>
      <c r="F77" s="26"/>
      <c r="G77" s="26"/>
    </row>
  </sheetData>
  <sheetProtection password="8377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48" priority="9" stopIfTrue="1">
      <formula>OR(WEEKDAY($C4)=1)</formula>
    </cfRule>
  </conditionalFormatting>
  <conditionalFormatting sqref="AB4:AB34">
    <cfRule type="expression" dxfId="47" priority="10" stopIfTrue="1">
      <formula>OR(WEEKDAY($C4)=1)</formula>
    </cfRule>
  </conditionalFormatting>
  <conditionalFormatting sqref="A35:B35">
    <cfRule type="expression" dxfId="46" priority="7" stopIfTrue="1">
      <formula>OR(WEEKDAY($C35)=1)</formula>
    </cfRule>
  </conditionalFormatting>
  <conditionalFormatting sqref="A4:B34 B5:B35">
    <cfRule type="expression" dxfId="45" priority="6" stopIfTrue="1">
      <formula>OR(WEEKDAY($C4)=1)</formula>
    </cfRule>
  </conditionalFormatting>
  <conditionalFormatting sqref="A4:B34 B5:B35">
    <cfRule type="expression" dxfId="44" priority="5" stopIfTrue="1">
      <formula>OR(WEEKDAY($C4)=1)</formula>
    </cfRule>
  </conditionalFormatting>
  <conditionalFormatting sqref="E5:E34 F5:F35 D4:F10">
    <cfRule type="expression" dxfId="43" priority="4" stopIfTrue="1">
      <formula>OR(WEEKDAY($C4)=1)</formula>
    </cfRule>
  </conditionalFormatting>
  <conditionalFormatting sqref="D30:F33">
    <cfRule type="expression" dxfId="42" priority="3" stopIfTrue="1">
      <formula>OR(WEEKDAY($C30)=1)</formula>
    </cfRule>
  </conditionalFormatting>
  <conditionalFormatting sqref="D20:F24">
    <cfRule type="expression" dxfId="41" priority="2" stopIfTrue="1">
      <formula>OR(WEEKDAY($C20)=1)</formula>
    </cfRule>
  </conditionalFormatting>
  <conditionalFormatting sqref="C4:C34">
    <cfRule type="cellIs" dxfId="40" priority="1" operator="equal">
      <formula>$C$72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3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AM77"/>
  <sheetViews>
    <sheetView showGridLines="0" view="pageBreakPreview" zoomScaleNormal="75" zoomScaleSheetLayoutView="100" workbookViewId="0">
      <selection activeCell="W30" sqref="W30:W33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+Décembre!C34+1</f>
        <v>43831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129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 ht="13.5" thickBot="1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43831</v>
      </c>
      <c r="D4" s="641" t="s">
        <v>203</v>
      </c>
      <c r="E4" s="633" t="str">
        <f>+IF(AND(WEEKDAY(C4)=1,D4="M"),1,"")</f>
        <v/>
      </c>
      <c r="F4" s="634" t="str">
        <f>+IF(AND(WEEKDAY(C4)=1,D4="N"),1,"")</f>
        <v/>
      </c>
      <c r="G4" s="625" t="s">
        <v>184</v>
      </c>
      <c r="H4" s="496">
        <f t="shared" ref="H4:H34" si="0">+IF(OR(D4="",D4="CP"),"",1)</f>
        <v>1</v>
      </c>
      <c r="I4" s="497" t="str">
        <f>+IF(D4="CP",1,"")</f>
        <v/>
      </c>
      <c r="J4" s="563"/>
      <c r="K4" s="85">
        <v>21</v>
      </c>
      <c r="L4" s="8">
        <v>5</v>
      </c>
      <c r="M4" s="8"/>
      <c r="N4" s="375"/>
      <c r="O4" s="124">
        <f>+((K4-INT(K4))/60*100)+INT(K4)</f>
        <v>21</v>
      </c>
      <c r="P4" s="73">
        <f>+((L4-INT(L4))/60*100)+INT(L4)</f>
        <v>5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>
        <f>+IF(D4="","",IF(D4="CP","",IF(D4="J2",((N4-M4)+(L4-K4)),IF(O4&lt;P4,P4-O4,P4+24-O4)-T4)))</f>
        <v>7.666666666666667</v>
      </c>
      <c r="V4" s="372">
        <f>IF(O4&lt;P4,IF(K4="","",IF(O4&gt;$D$75,24-O4,IF(O4&lt;$D$76,$D$76-O4,0)))+IF(P4&lt;$D$76,P4,IF(P4&gt;$D$75,P4-$D$75,0)),IF(K4="","",IF(O4&gt;$D$75,24-O4,IF(O4&lt;$D$76,$D$76-O4,3)))+IF(P4&lt;$D$76,P4,IF(P4&gt;$D$75,24-P4,P4)))</f>
        <v>8</v>
      </c>
      <c r="W4" s="113">
        <f>+IF(U4&gt;=6,U4,IF(D4="J2",((N4-M4)+(L4-K4)),IF(O4&lt;P4,P4-O4,P4+24-O4)))</f>
        <v>7.666666666666667</v>
      </c>
      <c r="X4" s="249" t="str">
        <f>+IF(D4="cp",(I4*'Récapitulatif '!$AJ$3),"")</f>
        <v/>
      </c>
      <c r="Y4" s="162">
        <f t="shared" ref="Y4:Y34" si="1">+IF(OR(D4="CP",D4=""),"",(IF(V4&gt;6,V4-T4,V4)))</f>
        <v>7.666666666666667</v>
      </c>
      <c r="Z4" s="154" t="str">
        <f>+IF(D4="CP",1,"")</f>
        <v/>
      </c>
      <c r="AA4" s="154">
        <f t="shared" ref="AA4:AA34" si="2">+IF(AND(Y4&gt;=3,D4&lt;&gt;""),1,"")</f>
        <v>1</v>
      </c>
      <c r="AB4" s="478" t="str">
        <f>+IF(WEEKDAY(C4)=1,(SUM(W$4:X4)+(Décembre!$AB$35)),"")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>
        <f>+AG4</f>
        <v>3</v>
      </c>
      <c r="AF4" s="474">
        <f>+IF(AND(WEEKDAY(C4)=1,$C$4:$C$34=$C$62),"",IF(AND($C$4:$C$34=$C$62,D4=""),'Récapitulatif '!$AJ$3,IF(AND(D4="N",AG4&lt;&gt;""),('Récapitulatif '!$AJ$3-AG4),"")))</f>
        <v>3.9000000000000004</v>
      </c>
      <c r="AG4" s="294">
        <f>+IF(AND($C$4:$C$43=($C$62-1),$D$4:$D$43="N"),(L4-T4),IF(AND($C$4:$C$43=($C$62),$D$4:$D$43="N"),(24-K4),IF($C$4:$C$43=$C$62,$W4,"")))</f>
        <v>3</v>
      </c>
      <c r="AH4" s="380" t="str">
        <f t="shared" ref="AH4:AH34" si="3">IF(K4="","",IF(D4="J2","",IF(AI4=1,"",IF(U4&gt;=6,1,""))))</f>
        <v/>
      </c>
      <c r="AI4" s="9">
        <f t="shared" ref="AI4:AI34" si="4">+IF(K4="","",IF(Y4&gt;=4,1,""))</f>
        <v>1</v>
      </c>
      <c r="AJ4" s="10"/>
      <c r="AL4" s="92" t="s">
        <v>64</v>
      </c>
    </row>
    <row r="5" spans="1:38" ht="13.5" thickBot="1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112">
        <f>+C4+1</f>
        <v>43832</v>
      </c>
      <c r="D5" s="643" t="s">
        <v>203</v>
      </c>
      <c r="E5" s="633" t="str">
        <f t="shared" ref="E5:E34" si="5">+IF(AND(WEEKDAY(C5)=1,D5="M"),1,"")</f>
        <v/>
      </c>
      <c r="F5" s="634" t="str">
        <f t="shared" ref="F5:F35" si="6">+IF(AND(WEEKDAY(C5)=1,D5="N"),1,"")</f>
        <v/>
      </c>
      <c r="G5" s="626" t="s">
        <v>184</v>
      </c>
      <c r="H5" s="496">
        <f t="shared" si="0"/>
        <v>1</v>
      </c>
      <c r="I5" s="497" t="str">
        <f t="shared" ref="I5:I34" si="7">+IF(D5="CP",1,"")</f>
        <v/>
      </c>
      <c r="J5" s="564"/>
      <c r="K5" s="86">
        <v>20.55</v>
      </c>
      <c r="L5" s="11">
        <v>5</v>
      </c>
      <c r="M5" s="11"/>
      <c r="N5" s="125"/>
      <c r="O5" s="124">
        <f t="shared" ref="O5:O34" si="8">+((K5-INT(K5))/60*100)+INT(K5)</f>
        <v>20.916666666666668</v>
      </c>
      <c r="P5" s="73">
        <f t="shared" ref="P5:P34" si="9">+((L5-INT(L5))/60*100)+INT(L5)</f>
        <v>5</v>
      </c>
      <c r="Q5" s="73">
        <f t="shared" ref="Q5:Q34" si="10">+((M5-INT(M5))/60*100)+INT(M5)</f>
        <v>0</v>
      </c>
      <c r="R5" s="73">
        <f t="shared" ref="R5:R34" si="11">+((N5-INT(N5))/60*100)+INT(N5)</f>
        <v>0</v>
      </c>
      <c r="S5" s="73">
        <v>0.2</v>
      </c>
      <c r="T5" s="73">
        <f t="shared" ref="T5:T34" si="12">+(S5/60*100)</f>
        <v>0.33333333333333337</v>
      </c>
      <c r="U5" s="12">
        <f t="shared" ref="U5:U34" si="13">+IF(D5="","",IF(D5="CP","",IF(D5="J2",((N5-M5)+(L5-K5)),IF(O5&lt;P5,P5-O5,P5+24-O5)-T5)))</f>
        <v>7.7499999999999991</v>
      </c>
      <c r="V5" s="372">
        <f t="shared" ref="V5:V34" si="14">IF(O5&lt;P5,IF(K5="","",IF(O5&gt;$D$75,24-O5,IF(O5&lt;$D$76,$D$76-O5,0)))+IF(P5&lt;$D$76,P5,IF(P5&gt;$D$75,P5-$D$75,0)),IF(K5="","",IF(O5&gt;$D$75,24-O5,IF(O5&lt;$D$76,$D$76-O5,3)))+IF(P5&lt;$D$76,P5,IF(P5&gt;$D$75,24-P5,P5)))</f>
        <v>8</v>
      </c>
      <c r="W5" s="114">
        <f t="shared" ref="W5:W34" si="15">+IF(U5&gt;=6,U5,IF(D5="J2",((N5-M5)+(L5-K5)),IF(O5&lt;P5,P5-O5,P5+24-O5)))</f>
        <v>7.7499999999999991</v>
      </c>
      <c r="X5" s="161" t="str">
        <f>+IF(D5="cp",(I5*'Récapitulatif '!$AJ$3),"")</f>
        <v/>
      </c>
      <c r="Y5" s="163">
        <f t="shared" si="1"/>
        <v>7.666666666666667</v>
      </c>
      <c r="Z5" s="154" t="str">
        <f t="shared" ref="Z5:Z34" si="16">+IF(D5="CP",1,"")</f>
        <v/>
      </c>
      <c r="AA5" s="154">
        <f t="shared" si="2"/>
        <v>1</v>
      </c>
      <c r="AB5" s="479" t="str">
        <f>+IF(WEEKDAY(C5)=1,(SUM(W$4:X5)+(Décembre!$AB$35)),"")</f>
        <v/>
      </c>
      <c r="AC5" s="475" t="str">
        <f t="shared" ref="AC5:AC34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 t="str">
        <f t="shared" ref="AE5:AE34" si="19">+AG5</f>
        <v/>
      </c>
      <c r="AF5" s="475" t="str">
        <f>+IF(AND(WEEKDAY(C5)=1,$C$4:$C$34=$C$62),"",IF(AND($C$4:$C$34=$C$62,D5=""),'Récapitulatif '!$AJ$3,IF(AND(D5="N",AG5&lt;&gt;""),('Récapitulatif '!$AJ$3-AG5),"")))</f>
        <v/>
      </c>
      <c r="AG5" s="119" t="str">
        <f t="shared" ref="AG5:AG34" si="20">+IF(AND($C$4:$C$43=($C$62-1),$D$4:$D$43="N"),(L5-T5),IF(AND($C$4:$C$43=($C$62),$D$4:$D$43="N"),(24-K5),IF($C$4:$C$43=$C$62,$W5,"")))</f>
        <v/>
      </c>
      <c r="AH5" s="218" t="str">
        <f t="shared" si="3"/>
        <v/>
      </c>
      <c r="AI5" s="13">
        <f t="shared" si="4"/>
        <v>1</v>
      </c>
      <c r="AJ5" s="10"/>
      <c r="AL5" s="92" t="s">
        <v>66</v>
      </c>
    </row>
    <row r="6" spans="1:38" ht="13.5" thickBot="1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1">+C5+1</f>
        <v>43833</v>
      </c>
      <c r="D6" s="643" t="s">
        <v>203</v>
      </c>
      <c r="E6" s="633" t="str">
        <f t="shared" si="5"/>
        <v/>
      </c>
      <c r="F6" s="634" t="str">
        <f t="shared" si="6"/>
        <v/>
      </c>
      <c r="G6" s="628" t="s">
        <v>184</v>
      </c>
      <c r="H6" s="496">
        <f t="shared" si="0"/>
        <v>1</v>
      </c>
      <c r="I6" s="497" t="str">
        <f t="shared" si="7"/>
        <v/>
      </c>
      <c r="J6" s="564"/>
      <c r="K6" s="86">
        <v>19.3</v>
      </c>
      <c r="L6" s="11">
        <v>2.1</v>
      </c>
      <c r="M6" s="11"/>
      <c r="N6" s="125"/>
      <c r="O6" s="124">
        <f t="shared" si="8"/>
        <v>19.5</v>
      </c>
      <c r="P6" s="73">
        <f t="shared" si="9"/>
        <v>2.166666666666667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>
        <f t="shared" si="13"/>
        <v>6.3333333333333348</v>
      </c>
      <c r="V6" s="372">
        <f t="shared" si="14"/>
        <v>5.166666666666667</v>
      </c>
      <c r="W6" s="114">
        <f t="shared" si="15"/>
        <v>6.3333333333333348</v>
      </c>
      <c r="X6" s="161" t="str">
        <f>+IF(D6="cp",(I6*'Récapitulatif '!$AJ$3),"")</f>
        <v/>
      </c>
      <c r="Y6" s="163">
        <f t="shared" si="1"/>
        <v>5.166666666666667</v>
      </c>
      <c r="Z6" s="154" t="str">
        <f t="shared" si="16"/>
        <v/>
      </c>
      <c r="AA6" s="154">
        <f t="shared" si="2"/>
        <v>1</v>
      </c>
      <c r="AB6" s="479" t="str">
        <f>+IF(WEEKDAY(C6)=1,(SUM(W$4:X6)+(Décembre!$AB$35)),"")</f>
        <v/>
      </c>
      <c r="AC6" s="475">
        <f t="shared" si="17"/>
        <v>1.77</v>
      </c>
      <c r="AD6" s="118" t="str">
        <f t="shared" si="18"/>
        <v/>
      </c>
      <c r="AE6" s="261" t="str">
        <f t="shared" si="19"/>
        <v/>
      </c>
      <c r="AF6" s="475" t="str">
        <f>+IF(AND(WEEKDAY(C6)=1,$C$4:$C$34=$C$62),"",IF(AND($C$4:$C$34=$C$62,D6=""),'Récapitulatif '!$AJ$3,IF(AND(D6="N",AG6&lt;&gt;""),('Récapitulatif '!$AJ$3-AG6),"")))</f>
        <v/>
      </c>
      <c r="AG6" s="119" t="str">
        <f t="shared" si="20"/>
        <v/>
      </c>
      <c r="AH6" s="218" t="str">
        <f t="shared" si="3"/>
        <v/>
      </c>
      <c r="AI6" s="13">
        <f t="shared" si="4"/>
        <v>1</v>
      </c>
      <c r="AJ6" s="10"/>
      <c r="AL6" s="1" t="s">
        <v>82</v>
      </c>
    </row>
    <row r="7" spans="1:38" ht="13.5" thickBot="1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21"/>
        <v>43834</v>
      </c>
      <c r="D7" s="643"/>
      <c r="E7" s="633" t="str">
        <f t="shared" si="5"/>
        <v/>
      </c>
      <c r="F7" s="634" t="str">
        <f t="shared" si="6"/>
        <v/>
      </c>
      <c r="G7" s="628"/>
      <c r="H7" s="496" t="str">
        <f t="shared" si="0"/>
        <v/>
      </c>
      <c r="I7" s="497" t="str">
        <f t="shared" si="7"/>
        <v/>
      </c>
      <c r="J7" s="564"/>
      <c r="K7" s="86"/>
      <c r="L7" s="11"/>
      <c r="M7" s="11"/>
      <c r="N7" s="125"/>
      <c r="O7" s="124">
        <f t="shared" si="8"/>
        <v>0</v>
      </c>
      <c r="P7" s="73">
        <f t="shared" si="9"/>
        <v>0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 t="str">
        <f t="shared" si="13"/>
        <v/>
      </c>
      <c r="V7" s="372" t="e">
        <f t="shared" si="14"/>
        <v>#VALUE!</v>
      </c>
      <c r="W7" s="114" t="str">
        <f t="shared" si="15"/>
        <v/>
      </c>
      <c r="X7" s="161" t="str">
        <f>+IF(D7="cp",(I7*'Récapitulatif '!$AJ$3),"")</f>
        <v/>
      </c>
      <c r="Y7" s="163" t="str">
        <f t="shared" si="1"/>
        <v/>
      </c>
      <c r="Z7" s="154" t="str">
        <f t="shared" si="16"/>
        <v/>
      </c>
      <c r="AA7" s="154" t="str">
        <f t="shared" si="2"/>
        <v/>
      </c>
      <c r="AB7" s="479" t="str">
        <f>+IF(WEEKDAY(C7)=1,(SUM(W$4:X7)+(Décembre!$AB$35)),"")</f>
        <v/>
      </c>
      <c r="AC7" s="475" t="str">
        <f t="shared" si="17"/>
        <v/>
      </c>
      <c r="AD7" s="118" t="str">
        <f t="shared" si="18"/>
        <v/>
      </c>
      <c r="AE7" s="261" t="str">
        <f t="shared" si="19"/>
        <v/>
      </c>
      <c r="AF7" s="475" t="str">
        <f>+IF(AND(WEEKDAY(C7)=1,$C$4:$C$34=$C$62),"",IF(AND($C$4:$C$34=$C$62,D7=""),'Récapitulatif '!$AJ$3,IF(AND(D7="N",AG7&lt;&gt;""),('Récapitulatif '!$AJ$3-AG7),"")))</f>
        <v/>
      </c>
      <c r="AG7" s="119" t="str">
        <f t="shared" si="20"/>
        <v/>
      </c>
      <c r="AH7" s="218" t="str">
        <f t="shared" si="3"/>
        <v/>
      </c>
      <c r="AI7" s="13" t="str">
        <f t="shared" si="4"/>
        <v/>
      </c>
      <c r="AJ7" s="10"/>
      <c r="AL7" s="92" t="s">
        <v>84</v>
      </c>
    </row>
    <row r="8" spans="1:38" ht="13.5" thickBot="1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21"/>
        <v>43835</v>
      </c>
      <c r="D8" s="642"/>
      <c r="E8" s="633" t="str">
        <f t="shared" si="5"/>
        <v/>
      </c>
      <c r="F8" s="634" t="str">
        <f t="shared" si="6"/>
        <v/>
      </c>
      <c r="G8" s="626"/>
      <c r="H8" s="496" t="str">
        <f t="shared" si="0"/>
        <v/>
      </c>
      <c r="I8" s="497" t="str">
        <f t="shared" si="7"/>
        <v/>
      </c>
      <c r="J8" s="564"/>
      <c r="K8" s="86"/>
      <c r="L8" s="11"/>
      <c r="M8" s="11"/>
      <c r="N8" s="125"/>
      <c r="O8" s="124">
        <f t="shared" si="8"/>
        <v>0</v>
      </c>
      <c r="P8" s="73">
        <f t="shared" si="9"/>
        <v>0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 t="str">
        <f t="shared" si="13"/>
        <v/>
      </c>
      <c r="V8" s="372" t="e">
        <f t="shared" si="14"/>
        <v>#VALUE!</v>
      </c>
      <c r="W8" s="114" t="str">
        <f t="shared" si="15"/>
        <v/>
      </c>
      <c r="X8" s="161" t="str">
        <f>+IF(D8="cp",(I8*'Récapitulatif '!$AJ$3),"")</f>
        <v/>
      </c>
      <c r="Y8" s="163" t="str">
        <f t="shared" si="1"/>
        <v/>
      </c>
      <c r="Z8" s="154" t="str">
        <f t="shared" si="16"/>
        <v/>
      </c>
      <c r="AA8" s="154" t="str">
        <f t="shared" si="2"/>
        <v/>
      </c>
      <c r="AB8" s="479">
        <f>+IF(WEEKDAY(C8)=1,(SUM(W$4:X8)+(Décembre!$AB$35)),"")</f>
        <v>29.5</v>
      </c>
      <c r="AC8" s="475" t="str">
        <f t="shared" si="17"/>
        <v/>
      </c>
      <c r="AD8" s="118" t="str">
        <f t="shared" si="18"/>
        <v/>
      </c>
      <c r="AE8" s="261" t="str">
        <f t="shared" si="19"/>
        <v/>
      </c>
      <c r="AF8" s="475" t="str">
        <f>+IF(AND(WEEKDAY(C8)=1,$C$4:$C$34=$C$62),"",IF(AND($C$4:$C$34=$C$62,D8=""),'Récapitulatif '!$AJ$3,IF(AND(D8="N",AG8&lt;&gt;""),('Récapitulatif '!$AJ$3-AG8),"")))</f>
        <v/>
      </c>
      <c r="AG8" s="119" t="str">
        <f t="shared" si="20"/>
        <v/>
      </c>
      <c r="AH8" s="218" t="str">
        <f t="shared" si="3"/>
        <v/>
      </c>
      <c r="AI8" s="13" t="str">
        <f t="shared" si="4"/>
        <v/>
      </c>
      <c r="AJ8" s="10"/>
      <c r="AL8" s="92" t="s">
        <v>75</v>
      </c>
    </row>
    <row r="9" spans="1:38" ht="13.5" thickBot="1">
      <c r="A9" s="482">
        <f>IF(WEEKDAY(C9,2)=1,INT((C9-SUM(MOD(DATE(YEAR(C9-MOD(C9-2,7)+3),1,2),{1E+99;7})*{1;-1})+5)/7),"")</f>
        <v>2</v>
      </c>
      <c r="B9" s="482" t="str">
        <f>IF(A9&lt;&gt;"",VLOOKUP(A9,juin!$L$49:$M$101,2,FALSE),"")</f>
        <v>A - Midi</v>
      </c>
      <c r="C9" s="112">
        <f t="shared" si="21"/>
        <v>43836</v>
      </c>
      <c r="D9" s="643" t="s">
        <v>202</v>
      </c>
      <c r="E9" s="633" t="str">
        <f t="shared" si="5"/>
        <v/>
      </c>
      <c r="F9" s="634" t="str">
        <f t="shared" si="6"/>
        <v/>
      </c>
      <c r="G9" s="628" t="s">
        <v>184</v>
      </c>
      <c r="H9" s="496">
        <f t="shared" si="0"/>
        <v>1</v>
      </c>
      <c r="I9" s="497" t="str">
        <f t="shared" si="7"/>
        <v/>
      </c>
      <c r="J9" s="564"/>
      <c r="K9" s="86">
        <v>12.55</v>
      </c>
      <c r="L9" s="11">
        <v>21</v>
      </c>
      <c r="M9" s="11"/>
      <c r="N9" s="125"/>
      <c r="O9" s="124">
        <f t="shared" si="8"/>
        <v>12.916666666666668</v>
      </c>
      <c r="P9" s="73">
        <f t="shared" si="9"/>
        <v>21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>
        <f t="shared" si="13"/>
        <v>7.7499999999999991</v>
      </c>
      <c r="V9" s="372">
        <f t="shared" si="14"/>
        <v>0</v>
      </c>
      <c r="W9" s="114">
        <f t="shared" si="15"/>
        <v>7.7499999999999991</v>
      </c>
      <c r="X9" s="161" t="str">
        <f>+IF(D9="cp",(I9*'Récapitulatif '!$AJ$3),"")</f>
        <v/>
      </c>
      <c r="Y9" s="163">
        <f t="shared" si="1"/>
        <v>0</v>
      </c>
      <c r="Z9" s="154" t="str">
        <f t="shared" si="16"/>
        <v/>
      </c>
      <c r="AA9" s="154" t="str">
        <f t="shared" si="2"/>
        <v/>
      </c>
      <c r="AB9" s="479" t="str">
        <f>+IF(WEEKDAY(C9)=1,(SUM(W$4:X9)+(Décembre!$AB$35)),"")</f>
        <v/>
      </c>
      <c r="AC9" s="475" t="str">
        <f t="shared" si="17"/>
        <v/>
      </c>
      <c r="AD9" s="118" t="str">
        <f t="shared" si="18"/>
        <v/>
      </c>
      <c r="AE9" s="261" t="str">
        <f t="shared" si="19"/>
        <v/>
      </c>
      <c r="AF9" s="475" t="str">
        <f>+IF(AND(WEEKDAY(C9)=1,$C$4:$C$34=$C$62),"",IF(AND($C$4:$C$34=$C$62,D9=""),'Récapitulatif '!$AJ$3,IF(AND(D9="N",AG9&lt;&gt;""),('Récapitulatif '!$AJ$3-AG9),"")))</f>
        <v/>
      </c>
      <c r="AG9" s="119" t="str">
        <f t="shared" si="20"/>
        <v/>
      </c>
      <c r="AH9" s="218">
        <f t="shared" si="3"/>
        <v>1</v>
      </c>
      <c r="AI9" s="13" t="str">
        <f t="shared" si="4"/>
        <v/>
      </c>
      <c r="AL9" s="1" t="s">
        <v>59</v>
      </c>
    </row>
    <row r="10" spans="1:38" ht="13.5" thickBot="1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21"/>
        <v>43837</v>
      </c>
      <c r="D10" s="643" t="s">
        <v>202</v>
      </c>
      <c r="E10" s="633" t="str">
        <f t="shared" si="5"/>
        <v/>
      </c>
      <c r="F10" s="634" t="str">
        <f t="shared" si="6"/>
        <v/>
      </c>
      <c r="G10" s="628" t="s">
        <v>184</v>
      </c>
      <c r="H10" s="496">
        <f t="shared" si="0"/>
        <v>1</v>
      </c>
      <c r="I10" s="497" t="str">
        <f t="shared" si="7"/>
        <v/>
      </c>
      <c r="J10" s="564"/>
      <c r="K10" s="86">
        <v>12.55</v>
      </c>
      <c r="L10" s="11">
        <v>21</v>
      </c>
      <c r="M10" s="11"/>
      <c r="N10" s="125"/>
      <c r="O10" s="124">
        <f t="shared" si="8"/>
        <v>12.916666666666668</v>
      </c>
      <c r="P10" s="73">
        <f t="shared" si="9"/>
        <v>21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>
        <f t="shared" si="13"/>
        <v>7.7499999999999991</v>
      </c>
      <c r="V10" s="372">
        <f t="shared" si="14"/>
        <v>0</v>
      </c>
      <c r="W10" s="114">
        <f t="shared" si="15"/>
        <v>7.7499999999999991</v>
      </c>
      <c r="X10" s="161" t="str">
        <f>+IF(D10="cp",(I10*'Récapitulatif '!$AJ$3),"")</f>
        <v/>
      </c>
      <c r="Y10" s="163">
        <f t="shared" si="1"/>
        <v>0</v>
      </c>
      <c r="Z10" s="154" t="str">
        <f t="shared" si="16"/>
        <v/>
      </c>
      <c r="AA10" s="154" t="str">
        <f t="shared" si="2"/>
        <v/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 t="str">
        <f t="shared" si="19"/>
        <v/>
      </c>
      <c r="AF10" s="475" t="str">
        <f>+IF(AND(WEEKDAY(C10)=1,$C$4:$C$34=$C$62),"",IF(AND($C$4:$C$34=$C$62,D10=""),'Récapitulatif '!$AJ$3,IF(AND(D10="N",AG10&lt;&gt;""),('Récapitulatif '!$AJ$3-AG10),"")))</f>
        <v/>
      </c>
      <c r="AG10" s="119" t="str">
        <f t="shared" si="20"/>
        <v/>
      </c>
      <c r="AH10" s="218">
        <f t="shared" si="3"/>
        <v>1</v>
      </c>
      <c r="AI10" s="13" t="str">
        <f t="shared" si="4"/>
        <v/>
      </c>
      <c r="AJ10" s="10"/>
      <c r="AL10" s="92" t="s">
        <v>158</v>
      </c>
    </row>
    <row r="11" spans="1:38" ht="13.5" thickBot="1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1"/>
        <v>43838</v>
      </c>
      <c r="D11" s="643"/>
      <c r="E11" s="633" t="str">
        <f t="shared" si="5"/>
        <v/>
      </c>
      <c r="F11" s="634" t="str">
        <f t="shared" si="6"/>
        <v/>
      </c>
      <c r="G11" s="628"/>
      <c r="H11" s="496" t="str">
        <f t="shared" si="0"/>
        <v/>
      </c>
      <c r="I11" s="497" t="str">
        <f t="shared" si="7"/>
        <v/>
      </c>
      <c r="J11" s="564"/>
      <c r="K11" s="86"/>
      <c r="L11" s="11"/>
      <c r="M11" s="11"/>
      <c r="N11" s="125"/>
      <c r="O11" s="124">
        <f t="shared" si="8"/>
        <v>0</v>
      </c>
      <c r="P11" s="73">
        <f t="shared" si="9"/>
        <v>0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 t="str">
        <f t="shared" si="13"/>
        <v/>
      </c>
      <c r="V11" s="372" t="e">
        <f t="shared" si="14"/>
        <v>#VALUE!</v>
      </c>
      <c r="W11" s="114" t="str">
        <f t="shared" si="15"/>
        <v/>
      </c>
      <c r="X11" s="161" t="str">
        <f>+IF(D11="cp",(I11*'Récapitulatif '!$AJ$3),"")</f>
        <v/>
      </c>
      <c r="Y11" s="163" t="str">
        <f t="shared" si="1"/>
        <v/>
      </c>
      <c r="Z11" s="154" t="str">
        <f t="shared" si="16"/>
        <v/>
      </c>
      <c r="AA11" s="154" t="str">
        <f t="shared" si="2"/>
        <v/>
      </c>
      <c r="AB11" s="479" t="str">
        <f t="shared" ref="AB11:AB34" si="22">+IF(WEEKDAY(C11)=1,SUM(W5:X11),"")</f>
        <v/>
      </c>
      <c r="AC11" s="475" t="str">
        <f t="shared" si="17"/>
        <v/>
      </c>
      <c r="AD11" s="118" t="str">
        <f t="shared" si="18"/>
        <v/>
      </c>
      <c r="AE11" s="261" t="str">
        <f t="shared" si="19"/>
        <v/>
      </c>
      <c r="AF11" s="475" t="str">
        <f>+IF(AND(WEEKDAY(C11)=1,$C$4:$C$34=$C$62),"",IF(AND($C$4:$C$34=$C$62,D11=""),'Récapitulatif '!$AJ$3,IF(AND(D11="N",AG11&lt;&gt;""),('Récapitulatif '!$AJ$3-AG11),"")))</f>
        <v/>
      </c>
      <c r="AG11" s="119" t="str">
        <f t="shared" si="20"/>
        <v/>
      </c>
      <c r="AH11" s="218" t="str">
        <f t="shared" si="3"/>
        <v/>
      </c>
      <c r="AI11" s="13" t="str">
        <f t="shared" si="4"/>
        <v/>
      </c>
      <c r="AJ11" s="10"/>
      <c r="AL11" s="1" t="s">
        <v>60</v>
      </c>
    </row>
    <row r="12" spans="1:38" ht="13.5" thickBot="1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112">
        <f t="shared" si="21"/>
        <v>43839</v>
      </c>
      <c r="D12" s="643"/>
      <c r="E12" s="633" t="str">
        <f t="shared" si="5"/>
        <v/>
      </c>
      <c r="F12" s="634" t="str">
        <f t="shared" si="6"/>
        <v/>
      </c>
      <c r="G12" s="628"/>
      <c r="H12" s="496" t="str">
        <f t="shared" si="0"/>
        <v/>
      </c>
      <c r="I12" s="497" t="str">
        <f t="shared" si="7"/>
        <v/>
      </c>
      <c r="J12" s="564"/>
      <c r="K12" s="86"/>
      <c r="L12" s="11"/>
      <c r="M12" s="11"/>
      <c r="N12" s="125"/>
      <c r="O12" s="124">
        <f t="shared" si="8"/>
        <v>0</v>
      </c>
      <c r="P12" s="73">
        <f t="shared" si="9"/>
        <v>0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 t="str">
        <f t="shared" si="13"/>
        <v/>
      </c>
      <c r="V12" s="372" t="e">
        <f t="shared" si="14"/>
        <v>#VALUE!</v>
      </c>
      <c r="W12" s="114" t="str">
        <f t="shared" si="15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6"/>
        <v/>
      </c>
      <c r="AA12" s="154" t="str">
        <f t="shared" si="2"/>
        <v/>
      </c>
      <c r="AB12" s="479" t="str">
        <f t="shared" si="22"/>
        <v/>
      </c>
      <c r="AC12" s="475" t="str">
        <f t="shared" si="17"/>
        <v/>
      </c>
      <c r="AD12" s="118" t="str">
        <f t="shared" si="18"/>
        <v/>
      </c>
      <c r="AE12" s="261" t="str">
        <f t="shared" si="19"/>
        <v/>
      </c>
      <c r="AF12" s="475" t="str">
        <f>+IF(AND(WEEKDAY(C12)=1,$C$4:$C$34=$C$62),"",IF(AND($C$4:$C$34=$C$62,D12=""),'Récapitulatif '!$AJ$3,IF(AND(D12="N",AG12&lt;&gt;""),('Récapitulatif '!$AJ$3-AG12),"")))</f>
        <v/>
      </c>
      <c r="AG12" s="119" t="str">
        <f t="shared" si="20"/>
        <v/>
      </c>
      <c r="AH12" s="218" t="str">
        <f t="shared" si="3"/>
        <v/>
      </c>
      <c r="AI12" s="13" t="str">
        <f t="shared" si="4"/>
        <v/>
      </c>
      <c r="AL12" s="92" t="s">
        <v>68</v>
      </c>
    </row>
    <row r="13" spans="1:38" ht="13.5" thickBot="1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1"/>
        <v>43840</v>
      </c>
      <c r="D13" s="643" t="s">
        <v>202</v>
      </c>
      <c r="E13" s="633" t="str">
        <f t="shared" si="5"/>
        <v/>
      </c>
      <c r="F13" s="634" t="str">
        <f t="shared" si="6"/>
        <v/>
      </c>
      <c r="G13" s="628" t="s">
        <v>184</v>
      </c>
      <c r="H13" s="496">
        <f t="shared" si="0"/>
        <v>1</v>
      </c>
      <c r="I13" s="497" t="str">
        <f t="shared" si="7"/>
        <v/>
      </c>
      <c r="J13" s="564"/>
      <c r="K13" s="86">
        <v>12.55</v>
      </c>
      <c r="L13" s="11">
        <v>18</v>
      </c>
      <c r="M13" s="11"/>
      <c r="N13" s="125"/>
      <c r="O13" s="124">
        <f t="shared" si="8"/>
        <v>12.916666666666668</v>
      </c>
      <c r="P13" s="73">
        <f t="shared" si="9"/>
        <v>18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>
        <f t="shared" si="13"/>
        <v>4.7499999999999991</v>
      </c>
      <c r="V13" s="372">
        <f t="shared" si="14"/>
        <v>0</v>
      </c>
      <c r="W13" s="114">
        <f t="shared" si="15"/>
        <v>5.0833333333333321</v>
      </c>
      <c r="X13" s="161" t="str">
        <f>+IF(D13="cp",(I13*'Récapitulatif '!$AJ$3),"")</f>
        <v/>
      </c>
      <c r="Y13" s="163">
        <f t="shared" si="1"/>
        <v>0</v>
      </c>
      <c r="Z13" s="154" t="str">
        <f t="shared" si="16"/>
        <v/>
      </c>
      <c r="AA13" s="154" t="str">
        <f t="shared" si="2"/>
        <v/>
      </c>
      <c r="AB13" s="479" t="str">
        <f t="shared" si="22"/>
        <v/>
      </c>
      <c r="AC13" s="475" t="str">
        <f t="shared" si="17"/>
        <v/>
      </c>
      <c r="AD13" s="118" t="str">
        <f t="shared" si="18"/>
        <v/>
      </c>
      <c r="AE13" s="261" t="str">
        <f t="shared" si="19"/>
        <v/>
      </c>
      <c r="AF13" s="475" t="str">
        <f>+IF(AND(WEEKDAY(C13)=1,$C$4:$C$34=$C$62),"",IF(AND($C$4:$C$34=$C$62,D13=""),'Récapitulatif '!$AJ$3,IF(AND(D13="N",AG13&lt;&gt;""),('Récapitulatif '!$AJ$3-AG13),"")))</f>
        <v/>
      </c>
      <c r="AG13" s="119" t="str">
        <f t="shared" si="20"/>
        <v/>
      </c>
      <c r="AH13" s="218" t="str">
        <f t="shared" si="3"/>
        <v/>
      </c>
      <c r="AI13" s="13" t="str">
        <f t="shared" si="4"/>
        <v/>
      </c>
      <c r="AL13" s="91" t="s">
        <v>61</v>
      </c>
    </row>
    <row r="14" spans="1:38" ht="13.5" thickBot="1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21"/>
        <v>43841</v>
      </c>
      <c r="D14" s="642"/>
      <c r="E14" s="633" t="str">
        <f t="shared" si="5"/>
        <v/>
      </c>
      <c r="F14" s="634" t="str">
        <f t="shared" si="6"/>
        <v/>
      </c>
      <c r="G14" s="626"/>
      <c r="H14" s="496" t="str">
        <f t="shared" si="0"/>
        <v/>
      </c>
      <c r="I14" s="497" t="str">
        <f t="shared" si="7"/>
        <v/>
      </c>
      <c r="J14" s="564"/>
      <c r="K14" s="86"/>
      <c r="L14" s="11"/>
      <c r="M14" s="11"/>
      <c r="N14" s="125"/>
      <c r="O14" s="124">
        <f t="shared" si="8"/>
        <v>0</v>
      </c>
      <c r="P14" s="73">
        <f t="shared" si="9"/>
        <v>0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 t="str">
        <f>+IF(D14="","",IF(D14="CP","",IF(D14="J2",((N14-M14)+(L14-K14)),IF(O14&lt;P14,P14-O14,P14+24-O14)-T14)))</f>
        <v/>
      </c>
      <c r="V14" s="372" t="e">
        <f t="shared" si="14"/>
        <v>#VALUE!</v>
      </c>
      <c r="W14" s="114" t="str">
        <f>+IF(U14&gt;=6,U14,IF(D14="J2",((N14-M14)+(L14-K14)),IF(O14&lt;P14,P14-O14,P14+24-O14)))</f>
        <v/>
      </c>
      <c r="X14" s="161" t="str">
        <f>+IF(D14="cp",(I14*'Récapitulatif '!$AJ$3),"")</f>
        <v/>
      </c>
      <c r="Y14" s="163" t="str">
        <f>+IF(OR(D14="CP",D14=""),"",(IF(V14&gt;6,V14-T14,V14)))</f>
        <v/>
      </c>
      <c r="Z14" s="154" t="str">
        <f>+IF(D14="CP",1,"")</f>
        <v/>
      </c>
      <c r="AA14" s="154" t="str">
        <f>+IF(AND(Y14&gt;=3,D14&lt;&gt;""),1,"")</f>
        <v/>
      </c>
      <c r="AB14" s="479" t="str">
        <f t="shared" si="22"/>
        <v/>
      </c>
      <c r="AC14" s="475" t="str">
        <f>+IF(AND(WEEKDAY(C14)=7,D14="N"),(24-O14),IF(WEEKDAY(C14)=7,W14,IF(AND(WEEKDAY(C14)=6,D14="N"),(L14-0.33),IF(WEEKDAY(C14)=7,W14,""))))</f>
        <v/>
      </c>
      <c r="AD14" s="118" t="str">
        <f>+IF(AND(WEEKDAY(C14)=1,D14="N"),(24-O14),IF(WEEKDAY(C14)=1,W14,IF(AND(WEEKDAY(C14)=7,D14="N"),(L14-0.33),IF(WEEKDAY(C14)=1,W14,""))))</f>
        <v/>
      </c>
      <c r="AE14" s="261" t="str">
        <f t="shared" si="19"/>
        <v/>
      </c>
      <c r="AF14" s="475" t="str">
        <f>+IF(AND(WEEKDAY(C14)=1,$C$4:$C$34=$C$62),"",IF(AND($C$4:$C$34=$C$62,D14=""),'Récapitulatif '!$AJ$3,IF(AND(D14="N",AG14&lt;&gt;""),('Récapitulatif '!$AJ$3-AG14),"")))</f>
        <v/>
      </c>
      <c r="AG14" s="119" t="str">
        <f t="shared" si="20"/>
        <v/>
      </c>
      <c r="AH14" s="218" t="str">
        <f>IF(K14="","",IF(D14="J2","",IF(AI14=1,"",IF(U14&gt;=6,1,""))))</f>
        <v/>
      </c>
      <c r="AI14" s="13" t="str">
        <f t="shared" si="4"/>
        <v/>
      </c>
    </row>
    <row r="15" spans="1:38" ht="13.5" thickBot="1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21"/>
        <v>43842</v>
      </c>
      <c r="D15" s="642"/>
      <c r="E15" s="633" t="str">
        <f t="shared" si="5"/>
        <v/>
      </c>
      <c r="F15" s="634" t="str">
        <f t="shared" si="6"/>
        <v/>
      </c>
      <c r="G15" s="626"/>
      <c r="H15" s="496" t="str">
        <f t="shared" si="0"/>
        <v/>
      </c>
      <c r="I15" s="497" t="str">
        <f t="shared" si="7"/>
        <v/>
      </c>
      <c r="J15" s="564"/>
      <c r="K15" s="86"/>
      <c r="L15" s="11"/>
      <c r="M15" s="11"/>
      <c r="N15" s="125"/>
      <c r="O15" s="124">
        <f t="shared" si="8"/>
        <v>0</v>
      </c>
      <c r="P15" s="73">
        <f t="shared" si="9"/>
        <v>0</v>
      </c>
      <c r="Q15" s="73">
        <f t="shared" si="10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 t="str">
        <f>+IF(D15="","",IF(D15="CP","",IF(D15="J2",((N15-M15)+(L15-K15)),IF(O15&lt;P15,P15-O15,P15+24-O15)-T15)))</f>
        <v/>
      </c>
      <c r="V15" s="372" t="e">
        <f t="shared" si="14"/>
        <v>#VALUE!</v>
      </c>
      <c r="W15" s="114" t="str">
        <f>+IF(U15&gt;=6,U15,IF(D15="J2",((N15-M15)+(L15-K15)),IF(O15&lt;P15,P15-O15,P15+24-O15)))</f>
        <v/>
      </c>
      <c r="X15" s="161" t="str">
        <f>+IF(D15="cp",(I15*'Récapitulatif '!$AJ$3),"")</f>
        <v/>
      </c>
      <c r="Y15" s="163" t="str">
        <f>+IF(OR(D15="CP",D15=""),"",(IF(V15&gt;6,V15-T15,V15)))</f>
        <v/>
      </c>
      <c r="Z15" s="154" t="str">
        <f>+IF(D15="CP",1,"")</f>
        <v/>
      </c>
      <c r="AA15" s="154" t="str">
        <f>+IF(AND(Y15&gt;=3,D15&lt;&gt;""),1,"")</f>
        <v/>
      </c>
      <c r="AB15" s="479">
        <f t="shared" si="22"/>
        <v>20.583333333333329</v>
      </c>
      <c r="AC15" s="475" t="str">
        <f>+IF(AND(WEEKDAY(C15)=7,D15="N"),(24-O15),IF(WEEKDAY(C15)=7,W15,IF(AND(WEEKDAY(C15)=6,D15="N"),(L15-0.33),IF(WEEKDAY(C15)=7,W15,""))))</f>
        <v/>
      </c>
      <c r="AD15" s="118" t="str">
        <f>+IF(AND(WEEKDAY(C15)=1,D15="N"),(24-O15),IF(WEEKDAY(C15)=1,W15,IF(AND(WEEKDAY(C15)=7,D15="N"),(L15-0.33),IF(WEEKDAY(C15)=1,W15,""))))</f>
        <v/>
      </c>
      <c r="AE15" s="261" t="str">
        <f t="shared" si="19"/>
        <v/>
      </c>
      <c r="AF15" s="475" t="str">
        <f>+IF(AND(WEEKDAY(C15)=1,$C$4:$C$34=$C$62),"",IF(AND($C$4:$C$34=$C$62,D15=""),'Récapitulatif '!$AJ$3,IF(AND(D15="N",AG15&lt;&gt;""),('Récapitulatif '!$AJ$3-AG15),"")))</f>
        <v/>
      </c>
      <c r="AG15" s="119" t="str">
        <f t="shared" si="20"/>
        <v/>
      </c>
      <c r="AH15" s="218" t="str">
        <f>IF(K15="","",IF(D15="J2","",IF(AI15=1,"",IF(U15&gt;=6,1,""))))</f>
        <v/>
      </c>
      <c r="AI15" s="13" t="str">
        <f t="shared" si="4"/>
        <v/>
      </c>
      <c r="AL15" s="92"/>
    </row>
    <row r="16" spans="1:38" ht="13.5" thickBot="1">
      <c r="A16" s="482">
        <f>IF(WEEKDAY(C16,2)=1,INT((C16-SUM(MOD(DATE(YEAR(C16-MOD(C16-2,7)+3),1,2),{1E+99;7})*{1;-1})+5)/7),"")</f>
        <v>3</v>
      </c>
      <c r="B16" s="482" t="str">
        <f>IF(A16&lt;&gt;"",VLOOKUP(A16,juin!$L$49:$M$101,2,FALSE),"")</f>
        <v>Matin</v>
      </c>
      <c r="C16" s="112">
        <f t="shared" si="21"/>
        <v>43843</v>
      </c>
      <c r="D16" s="642"/>
      <c r="E16" s="633" t="str">
        <f t="shared" si="5"/>
        <v/>
      </c>
      <c r="F16" s="634" t="str">
        <f t="shared" si="6"/>
        <v/>
      </c>
      <c r="G16" s="626"/>
      <c r="H16" s="496" t="str">
        <f t="shared" si="0"/>
        <v/>
      </c>
      <c r="I16" s="497" t="str">
        <f t="shared" si="7"/>
        <v/>
      </c>
      <c r="J16" s="564"/>
      <c r="K16" s="86"/>
      <c r="L16" s="11"/>
      <c r="M16" s="11"/>
      <c r="N16" s="125"/>
      <c r="O16" s="124">
        <f t="shared" si="8"/>
        <v>0</v>
      </c>
      <c r="P16" s="73">
        <f t="shared" si="9"/>
        <v>0</v>
      </c>
      <c r="Q16" s="73">
        <f t="shared" si="10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 t="str">
        <f>+IF(D16="","",IF(D16="CP","",IF(D16="J2",((N16-M16)+(L16-K16)),IF(O16&lt;P16,P16-O16,P16+24-O16)-T16)))</f>
        <v/>
      </c>
      <c r="V16" s="372" t="e">
        <f t="shared" si="14"/>
        <v>#VALUE!</v>
      </c>
      <c r="W16" s="114" t="str">
        <f>+IF(U16&gt;=6,U16,IF(D16="J2",((N16-M16)+(L16-K16)),IF(O16&lt;P16,P16-O16,P16+24-O16)))</f>
        <v/>
      </c>
      <c r="X16" s="161" t="str">
        <f>+IF(D16="cp",(I16*'Récapitulatif '!$AJ$3),"")</f>
        <v/>
      </c>
      <c r="Y16" s="163" t="str">
        <f>+IF(OR(D16="CP",D16=""),"",(IF(V16&gt;6,V16-T16,V16)))</f>
        <v/>
      </c>
      <c r="Z16" s="154" t="str">
        <f>+IF(D16="CP",1,"")</f>
        <v/>
      </c>
      <c r="AA16" s="154" t="str">
        <f>+IF(AND(Y16&gt;=3,D16&lt;&gt;""),1,"")</f>
        <v/>
      </c>
      <c r="AB16" s="479" t="str">
        <f t="shared" si="22"/>
        <v/>
      </c>
      <c r="AC16" s="475" t="str">
        <f>+IF(AND(WEEKDAY(C16)=7,D16="N"),(24-O16),IF(WEEKDAY(C16)=7,W16,IF(AND(WEEKDAY(C16)=6,D16="N"),(L16-0.33),IF(WEEKDAY(C16)=7,W16,""))))</f>
        <v/>
      </c>
      <c r="AD16" s="118" t="str">
        <f>+IF(AND(WEEKDAY(C16)=1,D16="N"),(24-O16),IF(WEEKDAY(C16)=1,W16,IF(AND(WEEKDAY(C16)=7,D16="N"),(L16-0.33),IF(WEEKDAY(C16)=1,W16,""))))</f>
        <v/>
      </c>
      <c r="AE16" s="261" t="str">
        <f t="shared" si="19"/>
        <v/>
      </c>
      <c r="AF16" s="475" t="str">
        <f>+IF(AND(WEEKDAY(C16)=1,$C$4:$C$34=$C$62),"",IF(AND($C$4:$C$34=$C$62,D16=""),'Récapitulatif '!$AJ$3,IF(AND(D16="N",AG16&lt;&gt;""),('Récapitulatif '!$AJ$3-AG16),"")))</f>
        <v/>
      </c>
      <c r="AG16" s="119" t="str">
        <f t="shared" si="20"/>
        <v/>
      </c>
      <c r="AH16" s="218" t="str">
        <f>IF(K16="","",IF(D16="J2","",IF(AI16=1,"",IF(U16&gt;=6,1,""))))</f>
        <v/>
      </c>
      <c r="AI16" s="13" t="str">
        <f t="shared" si="4"/>
        <v/>
      </c>
    </row>
    <row r="17" spans="1:38" ht="13.5" thickBot="1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21"/>
        <v>43844</v>
      </c>
      <c r="D17" s="643"/>
      <c r="E17" s="633" t="str">
        <f t="shared" si="5"/>
        <v/>
      </c>
      <c r="F17" s="634" t="str">
        <f t="shared" si="6"/>
        <v/>
      </c>
      <c r="G17" s="626"/>
      <c r="H17" s="496" t="str">
        <f t="shared" si="0"/>
        <v/>
      </c>
      <c r="I17" s="497" t="str">
        <f t="shared" si="7"/>
        <v/>
      </c>
      <c r="J17" s="564"/>
      <c r="K17" s="86"/>
      <c r="L17" s="11"/>
      <c r="M17" s="11"/>
      <c r="N17" s="125"/>
      <c r="O17" s="124">
        <f t="shared" si="8"/>
        <v>0</v>
      </c>
      <c r="P17" s="73">
        <f t="shared" si="9"/>
        <v>0</v>
      </c>
      <c r="Q17" s="73">
        <f t="shared" si="10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 t="str">
        <f>+IF(D17="","",IF(D17="CP","",IF(D17="J2",((N17-M17)+(L17-K17)),IF(O17&lt;P17,P17-O17,P17+24-O17)-T17)))</f>
        <v/>
      </c>
      <c r="V17" s="372" t="e">
        <f t="shared" si="14"/>
        <v>#VALUE!</v>
      </c>
      <c r="W17" s="114" t="str">
        <f>+IF(U17&gt;=6,U17,IF(D17="J2",((N17-M17)+(L17-K17)),IF(O17&lt;P17,P17-O17,P17+24-O17)))</f>
        <v/>
      </c>
      <c r="X17" s="161" t="str">
        <f>+IF(D17="cp",(I17*'Récapitulatif '!$AJ$3),"")</f>
        <v/>
      </c>
      <c r="Y17" s="163" t="str">
        <f>+IF(OR(D17="CP",D17=""),"",(IF(V17&gt;6,V17-T17,V17)))</f>
        <v/>
      </c>
      <c r="Z17" s="154" t="str">
        <f>+IF(D17="CP",1,"")</f>
        <v/>
      </c>
      <c r="AA17" s="154" t="str">
        <f>+IF(AND(Y17&gt;=3,D17&lt;&gt;""),1,"")</f>
        <v/>
      </c>
      <c r="AB17" s="479" t="str">
        <f t="shared" si="22"/>
        <v/>
      </c>
      <c r="AC17" s="475" t="str">
        <f>+IF(AND(WEEKDAY(C17)=7,D17="N"),(24-O17),IF(WEEKDAY(C17)=7,W17,IF(AND(WEEKDAY(C17)=6,D17="N"),(L17-0.33),IF(WEEKDAY(C17)=7,W17,""))))</f>
        <v/>
      </c>
      <c r="AD17" s="118" t="str">
        <f>+IF(AND(WEEKDAY(C17)=1,D17="N"),(24-O17),IF(WEEKDAY(C17)=1,W17,IF(AND(WEEKDAY(C17)=7,D17="N"),(L17-0.33),IF(WEEKDAY(C17)=1,W17,""))))</f>
        <v/>
      </c>
      <c r="AE17" s="261" t="str">
        <f t="shared" si="19"/>
        <v/>
      </c>
      <c r="AF17" s="475" t="str">
        <f>+IF(AND(WEEKDAY(C17)=1,$C$4:$C$34=$C$62),"",IF(AND($C$4:$C$34=$C$62,D17=""),'Récapitulatif '!$AJ$3,IF(AND(D17="N",AG17&lt;&gt;""),('Récapitulatif '!$AJ$3-AG17),"")))</f>
        <v/>
      </c>
      <c r="AG17" s="119" t="str">
        <f t="shared" si="20"/>
        <v/>
      </c>
      <c r="AH17" s="218" t="str">
        <f>IF(K17="","",IF(D17="J2","",IF(AI17=1,"",IF(U17&gt;=6,1,""))))</f>
        <v/>
      </c>
      <c r="AI17" s="13" t="str">
        <f t="shared" si="4"/>
        <v/>
      </c>
      <c r="AL17" s="1" t="s">
        <v>70</v>
      </c>
    </row>
    <row r="18" spans="1:38" ht="13.5" thickBot="1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1"/>
        <v>43845</v>
      </c>
      <c r="D18" s="643"/>
      <c r="E18" s="633" t="str">
        <f t="shared" si="5"/>
        <v/>
      </c>
      <c r="F18" s="634" t="str">
        <f t="shared" si="6"/>
        <v/>
      </c>
      <c r="G18" s="628"/>
      <c r="H18" s="496" t="str">
        <f t="shared" si="0"/>
        <v/>
      </c>
      <c r="I18" s="497" t="str">
        <f t="shared" si="7"/>
        <v/>
      </c>
      <c r="J18" s="564"/>
      <c r="K18" s="86"/>
      <c r="L18" s="11"/>
      <c r="M18" s="11"/>
      <c r="N18" s="125"/>
      <c r="O18" s="124">
        <f t="shared" si="8"/>
        <v>0</v>
      </c>
      <c r="P18" s="73">
        <f t="shared" si="9"/>
        <v>0</v>
      </c>
      <c r="Q18" s="73">
        <f t="shared" si="10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 t="str">
        <f>+IF(D18="","",IF(D18="CP","",IF(D18="J2",((N18-M18)+(L18-K18)),IF(O18&lt;P18,P18-O18,P18+24-O18)-T18)))</f>
        <v/>
      </c>
      <c r="V18" s="372" t="e">
        <f t="shared" si="14"/>
        <v>#VALUE!</v>
      </c>
      <c r="W18" s="114" t="str">
        <f>+IF(U18&gt;=6,U18,IF(D18="J2",((N18-M18)+(L18-K18)),IF(O18&lt;P18,P18-O18,P18+24-O18)))</f>
        <v/>
      </c>
      <c r="X18" s="161" t="str">
        <f>+IF(D18="cp",(I18*'Récapitulatif '!$AJ$3),"")</f>
        <v/>
      </c>
      <c r="Y18" s="163" t="str">
        <f>+IF(OR(D18="CP",D18=""),"",(IF(V18&gt;6,V18-T18,V18)))</f>
        <v/>
      </c>
      <c r="Z18" s="154" t="str">
        <f>+IF(D18="CP",1,"")</f>
        <v/>
      </c>
      <c r="AA18" s="154" t="str">
        <f>+IF(AND(Y18&gt;=3,D18&lt;&gt;""),1,"")</f>
        <v/>
      </c>
      <c r="AB18" s="479" t="str">
        <f t="shared" si="22"/>
        <v/>
      </c>
      <c r="AC18" s="475" t="str">
        <f>+IF(AND(WEEKDAY(C18)=7,D18="N"),(24-O18),IF(WEEKDAY(C18)=7,W18,IF(AND(WEEKDAY(C18)=6,D18="N"),(L18-0.33),IF(WEEKDAY(C18)=7,W18,""))))</f>
        <v/>
      </c>
      <c r="AD18" s="118" t="str">
        <f>+IF(AND(WEEKDAY(C18)=1,D18="N"),(24-O18),IF(WEEKDAY(C18)=1,W18,IF(AND(WEEKDAY(C18)=7,D18="N"),(L18-0.33),IF(WEEKDAY(C18)=1,W18,""))))</f>
        <v/>
      </c>
      <c r="AE18" s="261" t="str">
        <f t="shared" si="19"/>
        <v/>
      </c>
      <c r="AF18" s="475" t="str">
        <f>+IF(AND(WEEKDAY(C18)=1,$C$4:$C$34=$C$62),"",IF(AND($C$4:$C$34=$C$62,D18=""),'Récapitulatif '!$AJ$3,IF(AND(D18="N",AG18&lt;&gt;""),('Récapitulatif '!$AJ$3-AG18),"")))</f>
        <v/>
      </c>
      <c r="AG18" s="119" t="str">
        <f t="shared" si="20"/>
        <v/>
      </c>
      <c r="AH18" s="218" t="str">
        <f>IF(K18="","",IF(D18="J2","",IF(AI18=1,"",IF(U18&gt;=6,1,""))))</f>
        <v/>
      </c>
      <c r="AI18" s="13" t="str">
        <f t="shared" si="4"/>
        <v/>
      </c>
      <c r="AL18" s="1" t="s">
        <v>71</v>
      </c>
    </row>
    <row r="19" spans="1:38" ht="13.5" thickBot="1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112">
        <f t="shared" si="21"/>
        <v>43846</v>
      </c>
      <c r="D19" s="643" t="s">
        <v>205</v>
      </c>
      <c r="E19" s="633" t="str">
        <f t="shared" si="5"/>
        <v/>
      </c>
      <c r="F19" s="634" t="str">
        <f t="shared" si="6"/>
        <v/>
      </c>
      <c r="G19" s="628" t="s">
        <v>184</v>
      </c>
      <c r="H19" s="496">
        <f t="shared" si="0"/>
        <v>1</v>
      </c>
      <c r="I19" s="497" t="str">
        <f t="shared" si="7"/>
        <v/>
      </c>
      <c r="J19" s="564"/>
      <c r="K19" s="86">
        <v>4.55</v>
      </c>
      <c r="L19" s="11">
        <v>13</v>
      </c>
      <c r="M19" s="11"/>
      <c r="N19" s="125"/>
      <c r="O19" s="124">
        <f t="shared" si="8"/>
        <v>4.9166666666666661</v>
      </c>
      <c r="P19" s="73">
        <f t="shared" si="9"/>
        <v>13</v>
      </c>
      <c r="Q19" s="73">
        <f t="shared" si="10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>
        <f t="shared" si="13"/>
        <v>7.7500000000000009</v>
      </c>
      <c r="V19" s="372">
        <f t="shared" si="14"/>
        <v>1.0833333333333339</v>
      </c>
      <c r="W19" s="114">
        <f t="shared" si="15"/>
        <v>7.7500000000000009</v>
      </c>
      <c r="X19" s="161" t="str">
        <f>+IF(D19="cp",(I19*'Récapitulatif '!$AJ$3),"")</f>
        <v/>
      </c>
      <c r="Y19" s="163">
        <f t="shared" si="1"/>
        <v>1.0833333333333339</v>
      </c>
      <c r="Z19" s="154" t="str">
        <f t="shared" si="16"/>
        <v/>
      </c>
      <c r="AA19" s="154" t="str">
        <f t="shared" si="2"/>
        <v/>
      </c>
      <c r="AB19" s="479" t="str">
        <f t="shared" si="22"/>
        <v/>
      </c>
      <c r="AC19" s="475" t="str">
        <f t="shared" si="17"/>
        <v/>
      </c>
      <c r="AD19" s="118" t="str">
        <f t="shared" si="18"/>
        <v/>
      </c>
      <c r="AE19" s="261" t="str">
        <f t="shared" si="19"/>
        <v/>
      </c>
      <c r="AF19" s="475" t="str">
        <f>+IF(AND(WEEKDAY(C19)=1,$C$4:$C$34=$C$62),"",IF(AND($C$4:$C$34=$C$62,D19=""),'Récapitulatif '!$AJ$3,IF(AND(D19="N",AG19&lt;&gt;""),('Récapitulatif '!$AJ$3-AG19),"")))</f>
        <v/>
      </c>
      <c r="AG19" s="119" t="str">
        <f t="shared" si="20"/>
        <v/>
      </c>
      <c r="AH19" s="218">
        <f t="shared" si="3"/>
        <v>1</v>
      </c>
      <c r="AI19" s="13" t="str">
        <f t="shared" si="4"/>
        <v/>
      </c>
      <c r="AL19" s="92"/>
    </row>
    <row r="20" spans="1:38" ht="13.5" thickBot="1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1"/>
        <v>43847</v>
      </c>
      <c r="D20" s="643" t="s">
        <v>205</v>
      </c>
      <c r="E20" s="633" t="str">
        <f t="shared" si="5"/>
        <v/>
      </c>
      <c r="F20" s="634" t="str">
        <f t="shared" si="6"/>
        <v/>
      </c>
      <c r="G20" s="628" t="s">
        <v>184</v>
      </c>
      <c r="H20" s="496">
        <f t="shared" si="0"/>
        <v>1</v>
      </c>
      <c r="I20" s="497" t="str">
        <f t="shared" si="7"/>
        <v/>
      </c>
      <c r="J20" s="564"/>
      <c r="K20" s="86">
        <v>4.55</v>
      </c>
      <c r="L20" s="11">
        <v>10.3</v>
      </c>
      <c r="M20" s="11"/>
      <c r="N20" s="125"/>
      <c r="O20" s="124">
        <f t="shared" si="8"/>
        <v>4.9166666666666661</v>
      </c>
      <c r="P20" s="73">
        <f t="shared" si="9"/>
        <v>10.500000000000002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>
        <f t="shared" si="13"/>
        <v>5.2500000000000027</v>
      </c>
      <c r="V20" s="372">
        <f t="shared" si="14"/>
        <v>1.0833333333333339</v>
      </c>
      <c r="W20" s="114">
        <f t="shared" si="15"/>
        <v>5.5833333333333357</v>
      </c>
      <c r="X20" s="161" t="str">
        <f>+IF(D20="cp",(I20*'Récapitulatif '!$AJ$3),"")</f>
        <v/>
      </c>
      <c r="Y20" s="163">
        <f t="shared" si="1"/>
        <v>1.0833333333333339</v>
      </c>
      <c r="Z20" s="154" t="str">
        <f t="shared" si="16"/>
        <v/>
      </c>
      <c r="AA20" s="154" t="str">
        <f t="shared" si="2"/>
        <v/>
      </c>
      <c r="AB20" s="479" t="str">
        <f t="shared" si="22"/>
        <v/>
      </c>
      <c r="AC20" s="475" t="str">
        <f t="shared" si="17"/>
        <v/>
      </c>
      <c r="AD20" s="118" t="str">
        <f t="shared" si="18"/>
        <v/>
      </c>
      <c r="AE20" s="261" t="str">
        <f t="shared" si="19"/>
        <v/>
      </c>
      <c r="AF20" s="475" t="str">
        <f>+IF(AND(WEEKDAY(C20)=1,$C$4:$C$34=$C$62),"",IF(AND($C$4:$C$34=$C$62,D20=""),'Récapitulatif '!$AJ$3,IF(AND(D20="N",AG20&lt;&gt;""),('Récapitulatif '!$AJ$3-AG20),"")))</f>
        <v/>
      </c>
      <c r="AG20" s="119" t="str">
        <f t="shared" si="20"/>
        <v/>
      </c>
      <c r="AH20" s="218" t="str">
        <f t="shared" si="3"/>
        <v/>
      </c>
      <c r="AI20" s="13" t="str">
        <f t="shared" si="4"/>
        <v/>
      </c>
    </row>
    <row r="21" spans="1:38" ht="13.5" thickBot="1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21"/>
        <v>43848</v>
      </c>
      <c r="D21" s="643"/>
      <c r="E21" s="633" t="str">
        <f t="shared" si="5"/>
        <v/>
      </c>
      <c r="F21" s="634" t="str">
        <f t="shared" si="6"/>
        <v/>
      </c>
      <c r="G21" s="626"/>
      <c r="H21" s="496" t="str">
        <f t="shared" si="0"/>
        <v/>
      </c>
      <c r="I21" s="497" t="str">
        <f t="shared" si="7"/>
        <v/>
      </c>
      <c r="J21" s="564"/>
      <c r="K21" s="86"/>
      <c r="L21" s="11"/>
      <c r="M21" s="11"/>
      <c r="N21" s="125"/>
      <c r="O21" s="124">
        <f t="shared" si="8"/>
        <v>0</v>
      </c>
      <c r="P21" s="73">
        <f t="shared" si="9"/>
        <v>0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 t="str">
        <f t="shared" ref="U21:U26" si="23">+IF(D21="","",IF(D21="CP","",IF(D21="J2",((N21-M21)+(L21-K21)),IF(O21&lt;P21,P21-O21,P21+24-O21)-T21)))</f>
        <v/>
      </c>
      <c r="V21" s="372" t="e">
        <f t="shared" si="14"/>
        <v>#VALUE!</v>
      </c>
      <c r="W21" s="114" t="str">
        <f t="shared" ref="W21:W26" si="24">+IF(U21&gt;=6,U21,IF(D21="J2",((N21-M21)+(L21-K21)),IF(O21&lt;P21,P21-O21,P21+24-O21)))</f>
        <v/>
      </c>
      <c r="X21" s="161" t="str">
        <f>+IF(D21="cp",(I21*'Récapitulatif '!$AJ$3),"")</f>
        <v/>
      </c>
      <c r="Y21" s="163" t="str">
        <f t="shared" ref="Y21:Y26" si="25">+IF(OR(D21="CP",D21=""),"",(IF(V21&gt;6,V21-T21,V21)))</f>
        <v/>
      </c>
      <c r="Z21" s="154" t="str">
        <f t="shared" ref="Z21:Z26" si="26">+IF(D21="CP",1,"")</f>
        <v/>
      </c>
      <c r="AA21" s="154" t="str">
        <f t="shared" ref="AA21:AA26" si="27">+IF(AND(Y21&gt;=3,D21&lt;&gt;""),1,"")</f>
        <v/>
      </c>
      <c r="AB21" s="479" t="str">
        <f t="shared" si="22"/>
        <v/>
      </c>
      <c r="AC21" s="475" t="str">
        <f t="shared" ref="AC21:AC26" si="28">+IF(AND(WEEKDAY(C21)=7,D21="N"),(24-O21),IF(WEEKDAY(C21)=7,W21,IF(AND(WEEKDAY(C21)=6,D21="N"),(L21-0.33),IF(WEEKDAY(C21)=7,W21,""))))</f>
        <v/>
      </c>
      <c r="AD21" s="118" t="str">
        <f t="shared" ref="AD21:AD26" si="29">+IF(AND(WEEKDAY(C21)=1,D21="N"),(24-O21),IF(WEEKDAY(C21)=1,W21,IF(AND(WEEKDAY(C21)=7,D21="N"),(L21-0.33),IF(WEEKDAY(C21)=1,W21,""))))</f>
        <v/>
      </c>
      <c r="AE21" s="261" t="str">
        <f t="shared" si="19"/>
        <v/>
      </c>
      <c r="AF21" s="475" t="str">
        <f>+IF(AND(WEEKDAY(C21)=1,$C$4:$C$34=$C$62),"",IF(AND($C$4:$C$34=$C$62,D21=""),'Récapitulatif '!$AJ$3,IF(AND(D21="N",AG21&lt;&gt;""),('Récapitulatif '!$AJ$3-AG21),"")))</f>
        <v/>
      </c>
      <c r="AG21" s="119" t="str">
        <f t="shared" si="20"/>
        <v/>
      </c>
      <c r="AH21" s="218" t="str">
        <f t="shared" ref="AH21:AH26" si="30">IF(K21="","",IF(D21="J2","",IF(AI21=1,"",IF(U21&gt;=6,1,""))))</f>
        <v/>
      </c>
      <c r="AI21" s="13" t="str">
        <f t="shared" si="4"/>
        <v/>
      </c>
    </row>
    <row r="22" spans="1:38" ht="13.5" thickBot="1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21"/>
        <v>43849</v>
      </c>
      <c r="D22" s="646" t="s">
        <v>205</v>
      </c>
      <c r="E22" s="633">
        <f t="shared" si="5"/>
        <v>1</v>
      </c>
      <c r="F22" s="634" t="str">
        <f t="shared" si="6"/>
        <v/>
      </c>
      <c r="G22" s="628" t="s">
        <v>184</v>
      </c>
      <c r="H22" s="496">
        <f t="shared" si="0"/>
        <v>1</v>
      </c>
      <c r="I22" s="497" t="str">
        <f t="shared" si="7"/>
        <v/>
      </c>
      <c r="J22" s="564"/>
      <c r="K22" s="86">
        <v>4.55</v>
      </c>
      <c r="L22" s="11">
        <v>12.3</v>
      </c>
      <c r="M22" s="11"/>
      <c r="N22" s="125"/>
      <c r="O22" s="124">
        <f t="shared" si="8"/>
        <v>4.9166666666666661</v>
      </c>
      <c r="P22" s="73">
        <f t="shared" si="9"/>
        <v>12.500000000000002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>
        <f t="shared" si="23"/>
        <v>7.2500000000000027</v>
      </c>
      <c r="V22" s="372">
        <f t="shared" si="14"/>
        <v>1.0833333333333339</v>
      </c>
      <c r="W22" s="114">
        <f t="shared" si="24"/>
        <v>7.2500000000000027</v>
      </c>
      <c r="X22" s="161" t="str">
        <f>+IF(D22="cp",(I22*'Récapitulatif '!$AJ$3),"")</f>
        <v/>
      </c>
      <c r="Y22" s="163">
        <f t="shared" si="25"/>
        <v>1.0833333333333339</v>
      </c>
      <c r="Z22" s="154" t="str">
        <f t="shared" si="26"/>
        <v/>
      </c>
      <c r="AA22" s="154" t="str">
        <f t="shared" si="27"/>
        <v/>
      </c>
      <c r="AB22" s="479">
        <f t="shared" si="22"/>
        <v>20.583333333333339</v>
      </c>
      <c r="AC22" s="475" t="str">
        <f t="shared" si="28"/>
        <v/>
      </c>
      <c r="AD22" s="118">
        <f t="shared" si="29"/>
        <v>7.2500000000000027</v>
      </c>
      <c r="AE22" s="261" t="str">
        <f t="shared" si="19"/>
        <v/>
      </c>
      <c r="AF22" s="475" t="str">
        <f>+IF(AND(WEEKDAY(C22)=1,$C$4:$C$34=$C$62),"",IF(AND($C$4:$C$34=$C$62,D22=""),'Récapitulatif '!$AJ$3,IF(AND(D22="N",AG22&lt;&gt;""),('Récapitulatif '!$AJ$3-AG22),"")))</f>
        <v/>
      </c>
      <c r="AG22" s="119" t="str">
        <f t="shared" si="20"/>
        <v/>
      </c>
      <c r="AH22" s="218">
        <f t="shared" si="30"/>
        <v>1</v>
      </c>
      <c r="AI22" s="13" t="str">
        <f t="shared" si="4"/>
        <v/>
      </c>
    </row>
    <row r="23" spans="1:38" ht="13.5" thickBot="1">
      <c r="A23" s="482">
        <f>IF(WEEKDAY(C23,2)=1,INT((C23-SUM(MOD(DATE(YEAR(C23-MOD(C23-2,7)+3),1,2),{1E+99;7})*{1;-1})+5)/7),"")</f>
        <v>4</v>
      </c>
      <c r="B23" s="482" t="str">
        <f>IF(A23&lt;&gt;"",VLOOKUP(A23,juin!$L$49:$M$101,2,FALSE),"")</f>
        <v>Mystère</v>
      </c>
      <c r="C23" s="112">
        <f t="shared" si="21"/>
        <v>43850</v>
      </c>
      <c r="D23" s="647"/>
      <c r="E23" s="633" t="str">
        <f t="shared" si="5"/>
        <v/>
      </c>
      <c r="F23" s="634" t="str">
        <f t="shared" si="6"/>
        <v/>
      </c>
      <c r="G23" s="626"/>
      <c r="H23" s="496" t="str">
        <f t="shared" si="0"/>
        <v/>
      </c>
      <c r="I23" s="497" t="str">
        <f t="shared" si="7"/>
        <v/>
      </c>
      <c r="J23" s="564"/>
      <c r="K23" s="86"/>
      <c r="L23" s="11"/>
      <c r="M23" s="11"/>
      <c r="N23" s="125"/>
      <c r="O23" s="124">
        <f t="shared" si="8"/>
        <v>0</v>
      </c>
      <c r="P23" s="73">
        <f t="shared" si="9"/>
        <v>0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 t="str">
        <f t="shared" si="23"/>
        <v/>
      </c>
      <c r="V23" s="372" t="e">
        <f t="shared" si="14"/>
        <v>#VALUE!</v>
      </c>
      <c r="W23" s="114" t="str">
        <f t="shared" si="24"/>
        <v/>
      </c>
      <c r="X23" s="161" t="str">
        <f>+IF(D23="cp",(I23*'Récapitulatif '!$AJ$3),"")</f>
        <v/>
      </c>
      <c r="Y23" s="163" t="str">
        <f t="shared" si="25"/>
        <v/>
      </c>
      <c r="Z23" s="154" t="str">
        <f t="shared" si="26"/>
        <v/>
      </c>
      <c r="AA23" s="154" t="str">
        <f t="shared" si="27"/>
        <v/>
      </c>
      <c r="AB23" s="479" t="str">
        <f t="shared" si="22"/>
        <v/>
      </c>
      <c r="AC23" s="475" t="str">
        <f t="shared" si="28"/>
        <v/>
      </c>
      <c r="AD23" s="118" t="str">
        <f t="shared" si="29"/>
        <v/>
      </c>
      <c r="AE23" s="261" t="str">
        <f t="shared" si="19"/>
        <v/>
      </c>
      <c r="AF23" s="475" t="str">
        <f>+IF(AND(WEEKDAY(C23)=1,$C$4:$C$34=$C$62),"",IF(AND($C$4:$C$34=$C$62,D23=""),'Récapitulatif '!$AJ$3,IF(AND(D23="N",AG23&lt;&gt;""),('Récapitulatif '!$AJ$3-AG23),"")))</f>
        <v/>
      </c>
      <c r="AG23" s="119" t="str">
        <f t="shared" si="20"/>
        <v/>
      </c>
      <c r="AH23" s="218" t="str">
        <f t="shared" si="30"/>
        <v/>
      </c>
      <c r="AI23" s="13" t="str">
        <f t="shared" si="4"/>
        <v/>
      </c>
    </row>
    <row r="24" spans="1:38" ht="13.5" thickBot="1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21"/>
        <v>43851</v>
      </c>
      <c r="D24" s="646" t="s">
        <v>205</v>
      </c>
      <c r="E24" s="633" t="str">
        <f t="shared" si="5"/>
        <v/>
      </c>
      <c r="F24" s="634" t="str">
        <f t="shared" si="6"/>
        <v/>
      </c>
      <c r="G24" s="628" t="s">
        <v>184</v>
      </c>
      <c r="H24" s="496">
        <f t="shared" si="0"/>
        <v>1</v>
      </c>
      <c r="I24" s="497" t="str">
        <f t="shared" si="7"/>
        <v/>
      </c>
      <c r="J24" s="564"/>
      <c r="K24" s="86">
        <v>4.55</v>
      </c>
      <c r="L24" s="11">
        <v>13</v>
      </c>
      <c r="M24" s="11"/>
      <c r="N24" s="125"/>
      <c r="O24" s="124">
        <f t="shared" si="8"/>
        <v>4.9166666666666661</v>
      </c>
      <c r="P24" s="73">
        <f t="shared" si="9"/>
        <v>13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>
        <f t="shared" si="23"/>
        <v>7.7500000000000009</v>
      </c>
      <c r="V24" s="372">
        <f t="shared" si="14"/>
        <v>1.0833333333333339</v>
      </c>
      <c r="W24" s="114">
        <f t="shared" si="24"/>
        <v>7.7500000000000009</v>
      </c>
      <c r="X24" s="161" t="str">
        <f>+IF(D24="cp",(I24*'Récapitulatif '!$AJ$3),"")</f>
        <v/>
      </c>
      <c r="Y24" s="163">
        <f t="shared" si="25"/>
        <v>1.0833333333333339</v>
      </c>
      <c r="Z24" s="154" t="str">
        <f t="shared" si="26"/>
        <v/>
      </c>
      <c r="AA24" s="154" t="str">
        <f t="shared" si="27"/>
        <v/>
      </c>
      <c r="AB24" s="479" t="str">
        <f t="shared" si="22"/>
        <v/>
      </c>
      <c r="AC24" s="475" t="str">
        <f t="shared" si="28"/>
        <v/>
      </c>
      <c r="AD24" s="118" t="str">
        <f t="shared" si="29"/>
        <v/>
      </c>
      <c r="AE24" s="261" t="str">
        <f t="shared" si="19"/>
        <v/>
      </c>
      <c r="AF24" s="475" t="str">
        <f>+IF(AND(WEEKDAY(C24)=1,$C$4:$C$34=$C$62),"",IF(AND($C$4:$C$34=$C$62,D24=""),'Récapitulatif '!$AJ$3,IF(AND(D24="N",AG24&lt;&gt;""),('Récapitulatif '!$AJ$3-AG24),"")))</f>
        <v/>
      </c>
      <c r="AG24" s="119" t="str">
        <f t="shared" si="20"/>
        <v/>
      </c>
      <c r="AH24" s="218">
        <f t="shared" si="30"/>
        <v>1</v>
      </c>
      <c r="AI24" s="13" t="str">
        <f t="shared" si="4"/>
        <v/>
      </c>
    </row>
    <row r="25" spans="1:38" ht="13.5" thickBot="1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1"/>
        <v>43852</v>
      </c>
      <c r="D25" s="646" t="s">
        <v>205</v>
      </c>
      <c r="E25" s="633" t="str">
        <f t="shared" si="5"/>
        <v/>
      </c>
      <c r="F25" s="634" t="str">
        <f t="shared" si="6"/>
        <v/>
      </c>
      <c r="G25" s="628" t="s">
        <v>184</v>
      </c>
      <c r="H25" s="496">
        <f t="shared" si="0"/>
        <v>1</v>
      </c>
      <c r="I25" s="497" t="str">
        <f t="shared" si="7"/>
        <v/>
      </c>
      <c r="J25" s="564"/>
      <c r="K25" s="86">
        <v>4.55</v>
      </c>
      <c r="L25" s="11">
        <v>13</v>
      </c>
      <c r="M25" s="11"/>
      <c r="N25" s="125"/>
      <c r="O25" s="124">
        <f t="shared" si="8"/>
        <v>4.9166666666666661</v>
      </c>
      <c r="P25" s="73">
        <f t="shared" si="9"/>
        <v>13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>
        <f t="shared" si="23"/>
        <v>7.7500000000000009</v>
      </c>
      <c r="V25" s="372">
        <f t="shared" si="14"/>
        <v>1.0833333333333339</v>
      </c>
      <c r="W25" s="114">
        <f t="shared" si="24"/>
        <v>7.7500000000000009</v>
      </c>
      <c r="X25" s="161" t="str">
        <f>+IF(D25="cp",(I25*'Récapitulatif '!$AJ$3),"")</f>
        <v/>
      </c>
      <c r="Y25" s="163">
        <f t="shared" si="25"/>
        <v>1.0833333333333339</v>
      </c>
      <c r="Z25" s="154" t="str">
        <f t="shared" si="26"/>
        <v/>
      </c>
      <c r="AA25" s="154" t="str">
        <f t="shared" si="27"/>
        <v/>
      </c>
      <c r="AB25" s="479" t="str">
        <f t="shared" si="22"/>
        <v/>
      </c>
      <c r="AC25" s="475" t="str">
        <f t="shared" si="28"/>
        <v/>
      </c>
      <c r="AD25" s="118" t="str">
        <f t="shared" si="29"/>
        <v/>
      </c>
      <c r="AE25" s="261" t="str">
        <f t="shared" si="19"/>
        <v/>
      </c>
      <c r="AF25" s="475" t="str">
        <f>+IF(AND(WEEKDAY(C25)=1,$C$4:$C$34=$C$62),"",IF(AND($C$4:$C$34=$C$62,D25=""),'Récapitulatif '!$AJ$3,IF(AND(D25="N",AG25&lt;&gt;""),('Récapitulatif '!$AJ$3-AG25),"")))</f>
        <v/>
      </c>
      <c r="AG25" s="119" t="str">
        <f t="shared" si="20"/>
        <v/>
      </c>
      <c r="AH25" s="218">
        <f t="shared" si="30"/>
        <v>1</v>
      </c>
      <c r="AI25" s="13" t="str">
        <f t="shared" si="4"/>
        <v/>
      </c>
    </row>
    <row r="26" spans="1:38" ht="13.5" thickBot="1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112">
        <f t="shared" si="21"/>
        <v>43853</v>
      </c>
      <c r="D26" s="646" t="s">
        <v>18</v>
      </c>
      <c r="E26" s="633" t="str">
        <f t="shared" si="5"/>
        <v/>
      </c>
      <c r="F26" s="634" t="str">
        <f t="shared" si="6"/>
        <v/>
      </c>
      <c r="G26" s="626"/>
      <c r="H26" s="496" t="str">
        <f t="shared" si="0"/>
        <v/>
      </c>
      <c r="I26" s="497">
        <f t="shared" si="7"/>
        <v>1</v>
      </c>
      <c r="J26" s="564"/>
      <c r="K26" s="86"/>
      <c r="L26" s="11"/>
      <c r="M26" s="11"/>
      <c r="N26" s="125"/>
      <c r="O26" s="124">
        <f t="shared" si="8"/>
        <v>0</v>
      </c>
      <c r="P26" s="73">
        <f t="shared" si="9"/>
        <v>0</v>
      </c>
      <c r="Q26" s="73">
        <f t="shared" si="10"/>
        <v>0</v>
      </c>
      <c r="R26" s="73">
        <f t="shared" si="11"/>
        <v>0</v>
      </c>
      <c r="S26" s="73">
        <v>0.2</v>
      </c>
      <c r="T26" s="73">
        <f t="shared" si="12"/>
        <v>0.33333333333333337</v>
      </c>
      <c r="U26" s="12" t="str">
        <f t="shared" si="23"/>
        <v/>
      </c>
      <c r="V26" s="372" t="e">
        <f t="shared" si="14"/>
        <v>#VALUE!</v>
      </c>
      <c r="W26" s="114" t="str">
        <f t="shared" si="24"/>
        <v/>
      </c>
      <c r="X26" s="161">
        <f>+IF(D26="cp",(I26*'Récapitulatif '!$AJ$3),"")</f>
        <v>6.9</v>
      </c>
      <c r="Y26" s="163" t="str">
        <f t="shared" si="25"/>
        <v/>
      </c>
      <c r="Z26" s="154">
        <f t="shared" si="26"/>
        <v>1</v>
      </c>
      <c r="AA26" s="154">
        <f t="shared" si="27"/>
        <v>1</v>
      </c>
      <c r="AB26" s="479" t="str">
        <f t="shared" si="22"/>
        <v/>
      </c>
      <c r="AC26" s="475" t="str">
        <f t="shared" si="28"/>
        <v/>
      </c>
      <c r="AD26" s="118" t="str">
        <f t="shared" si="29"/>
        <v/>
      </c>
      <c r="AE26" s="261" t="str">
        <f t="shared" si="19"/>
        <v/>
      </c>
      <c r="AF26" s="475" t="str">
        <f>+IF(AND(WEEKDAY(C26)=1,$C$4:$C$34=$C$62),"",IF(AND($C$4:$C$34=$C$62,D26=""),'Récapitulatif '!$AJ$3,IF(AND(D26="N",AG26&lt;&gt;""),('Récapitulatif '!$AJ$3-AG26),"")))</f>
        <v/>
      </c>
      <c r="AG26" s="119" t="str">
        <f t="shared" si="20"/>
        <v/>
      </c>
      <c r="AH26" s="218" t="str">
        <f t="shared" si="30"/>
        <v/>
      </c>
      <c r="AI26" s="13" t="str">
        <f t="shared" si="4"/>
        <v/>
      </c>
    </row>
    <row r="27" spans="1:38" ht="13.5" thickBot="1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1"/>
        <v>43854</v>
      </c>
      <c r="D27" s="646" t="s">
        <v>18</v>
      </c>
      <c r="E27" s="633" t="str">
        <f t="shared" si="5"/>
        <v/>
      </c>
      <c r="F27" s="634" t="str">
        <f t="shared" si="6"/>
        <v/>
      </c>
      <c r="G27" s="626"/>
      <c r="H27" s="496" t="str">
        <f t="shared" si="0"/>
        <v/>
      </c>
      <c r="I27" s="497">
        <f t="shared" si="7"/>
        <v>1</v>
      </c>
      <c r="J27" s="564"/>
      <c r="K27" s="86"/>
      <c r="L27" s="11"/>
      <c r="M27" s="11"/>
      <c r="N27" s="125"/>
      <c r="O27" s="124">
        <f t="shared" si="8"/>
        <v>0</v>
      </c>
      <c r="P27" s="73">
        <f t="shared" si="9"/>
        <v>0</v>
      </c>
      <c r="Q27" s="73">
        <f t="shared" si="10"/>
        <v>0</v>
      </c>
      <c r="R27" s="73">
        <f t="shared" si="11"/>
        <v>0</v>
      </c>
      <c r="S27" s="73">
        <v>0.2</v>
      </c>
      <c r="T27" s="73">
        <f t="shared" si="12"/>
        <v>0.33333333333333337</v>
      </c>
      <c r="U27" s="12" t="str">
        <f t="shared" si="13"/>
        <v/>
      </c>
      <c r="V27" s="372" t="e">
        <f t="shared" si="14"/>
        <v>#VALUE!</v>
      </c>
      <c r="W27" s="114" t="str">
        <f t="shared" si="15"/>
        <v/>
      </c>
      <c r="X27" s="161">
        <f>+IF(D27="cp",(I27*'Récapitulatif '!$AJ$3),"")</f>
        <v>6.9</v>
      </c>
      <c r="Y27" s="163" t="str">
        <f t="shared" si="1"/>
        <v/>
      </c>
      <c r="Z27" s="154">
        <f t="shared" si="16"/>
        <v>1</v>
      </c>
      <c r="AA27" s="154">
        <f t="shared" si="2"/>
        <v>1</v>
      </c>
      <c r="AB27" s="479" t="str">
        <f t="shared" si="22"/>
        <v/>
      </c>
      <c r="AC27" s="475" t="str">
        <f t="shared" si="17"/>
        <v/>
      </c>
      <c r="AD27" s="118" t="str">
        <f t="shared" si="18"/>
        <v/>
      </c>
      <c r="AE27" s="261" t="str">
        <f t="shared" si="19"/>
        <v/>
      </c>
      <c r="AF27" s="475" t="str">
        <f>+IF(AND(WEEKDAY(C27)=1,$C$4:$C$34=$C$62),"",IF(AND($C$4:$C$34=$C$62,D27=""),'Récapitulatif '!$AJ$3,IF(AND(D27="N",AG27&lt;&gt;""),('Récapitulatif '!$AJ$3-AG27),"")))</f>
        <v/>
      </c>
      <c r="AG27" s="119" t="str">
        <f t="shared" si="20"/>
        <v/>
      </c>
      <c r="AH27" s="218" t="str">
        <f t="shared" si="3"/>
        <v/>
      </c>
      <c r="AI27" s="13" t="str">
        <f t="shared" si="4"/>
        <v/>
      </c>
    </row>
    <row r="28" spans="1:38" ht="13.5" thickBot="1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21"/>
        <v>43855</v>
      </c>
      <c r="D28" s="647"/>
      <c r="E28" s="633" t="str">
        <f t="shared" si="5"/>
        <v/>
      </c>
      <c r="F28" s="634" t="str">
        <f t="shared" si="6"/>
        <v/>
      </c>
      <c r="G28" s="626"/>
      <c r="H28" s="496" t="str">
        <f t="shared" si="0"/>
        <v/>
      </c>
      <c r="I28" s="497" t="str">
        <f t="shared" si="7"/>
        <v/>
      </c>
      <c r="J28" s="564"/>
      <c r="K28" s="86"/>
      <c r="L28" s="11"/>
      <c r="M28" s="11"/>
      <c r="N28" s="125"/>
      <c r="O28" s="124">
        <f t="shared" si="8"/>
        <v>0</v>
      </c>
      <c r="P28" s="73">
        <f t="shared" si="9"/>
        <v>0</v>
      </c>
      <c r="Q28" s="73">
        <f t="shared" si="10"/>
        <v>0</v>
      </c>
      <c r="R28" s="73">
        <f t="shared" si="11"/>
        <v>0</v>
      </c>
      <c r="S28" s="73">
        <v>0.2</v>
      </c>
      <c r="T28" s="73">
        <f t="shared" si="12"/>
        <v>0.33333333333333337</v>
      </c>
      <c r="U28" s="12" t="str">
        <f t="shared" si="13"/>
        <v/>
      </c>
      <c r="V28" s="372" t="e">
        <f t="shared" si="14"/>
        <v>#VALUE!</v>
      </c>
      <c r="W28" s="114" t="str">
        <f t="shared" si="15"/>
        <v/>
      </c>
      <c r="X28" s="161" t="str">
        <f>+IF(D28="cp",(I28*'Récapitulatif '!$AJ$3),"")</f>
        <v/>
      </c>
      <c r="Y28" s="163" t="str">
        <f t="shared" si="1"/>
        <v/>
      </c>
      <c r="Z28" s="154" t="str">
        <f t="shared" si="16"/>
        <v/>
      </c>
      <c r="AA28" s="154" t="str">
        <f t="shared" si="2"/>
        <v/>
      </c>
      <c r="AB28" s="479" t="str">
        <f t="shared" si="22"/>
        <v/>
      </c>
      <c r="AC28" s="475" t="str">
        <f t="shared" si="17"/>
        <v/>
      </c>
      <c r="AD28" s="118" t="str">
        <f t="shared" si="18"/>
        <v/>
      </c>
      <c r="AE28" s="261" t="str">
        <f t="shared" si="19"/>
        <v/>
      </c>
      <c r="AF28" s="475" t="str">
        <f>+IF(AND(WEEKDAY(C28)=1,$C$4:$C$34=$C$62),"",IF(AND($C$4:$C$34=$C$62,D28=""),'Récapitulatif '!$AJ$3,IF(AND(D28="N",AG28&lt;&gt;""),('Récapitulatif '!$AJ$3-AG28),"")))</f>
        <v/>
      </c>
      <c r="AG28" s="119" t="str">
        <f t="shared" si="20"/>
        <v/>
      </c>
      <c r="AH28" s="218" t="str">
        <f t="shared" si="3"/>
        <v/>
      </c>
      <c r="AI28" s="13" t="str">
        <f t="shared" si="4"/>
        <v/>
      </c>
    </row>
    <row r="29" spans="1:38" ht="13.5" thickBot="1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21"/>
        <v>43856</v>
      </c>
      <c r="D29" s="646" t="s">
        <v>203</v>
      </c>
      <c r="E29" s="633" t="str">
        <f t="shared" si="5"/>
        <v/>
      </c>
      <c r="F29" s="634">
        <f t="shared" si="6"/>
        <v>1</v>
      </c>
      <c r="G29" s="628" t="s">
        <v>184</v>
      </c>
      <c r="H29" s="496">
        <f t="shared" si="0"/>
        <v>1</v>
      </c>
      <c r="I29" s="497" t="str">
        <f t="shared" si="7"/>
        <v/>
      </c>
      <c r="J29" s="564"/>
      <c r="K29" s="86">
        <v>21</v>
      </c>
      <c r="L29" s="11">
        <v>5</v>
      </c>
      <c r="M29" s="11"/>
      <c r="N29" s="125"/>
      <c r="O29" s="124">
        <f t="shared" si="8"/>
        <v>21</v>
      </c>
      <c r="P29" s="73">
        <f t="shared" si="9"/>
        <v>5</v>
      </c>
      <c r="Q29" s="73">
        <f t="shared" si="10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>
        <f t="shared" si="13"/>
        <v>7.666666666666667</v>
      </c>
      <c r="V29" s="372">
        <f t="shared" si="14"/>
        <v>8</v>
      </c>
      <c r="W29" s="114">
        <f t="shared" si="15"/>
        <v>7.666666666666667</v>
      </c>
      <c r="X29" s="161" t="str">
        <f>+IF(D29="cp",(I29*'Récapitulatif '!$AJ$3),"")</f>
        <v/>
      </c>
      <c r="Y29" s="163">
        <f t="shared" si="1"/>
        <v>7.666666666666667</v>
      </c>
      <c r="Z29" s="154" t="str">
        <f t="shared" si="16"/>
        <v/>
      </c>
      <c r="AA29" s="154">
        <f t="shared" si="2"/>
        <v>1</v>
      </c>
      <c r="AB29" s="479">
        <f t="shared" si="22"/>
        <v>36.966666666666669</v>
      </c>
      <c r="AC29" s="475" t="str">
        <f t="shared" si="17"/>
        <v/>
      </c>
      <c r="AD29" s="118">
        <f t="shared" si="18"/>
        <v>3</v>
      </c>
      <c r="AE29" s="261" t="str">
        <f t="shared" si="19"/>
        <v/>
      </c>
      <c r="AF29" s="475" t="str">
        <f>+IF(AND(WEEKDAY(C29)=1,$C$4:$C$34=$C$62),"",IF(AND($C$4:$C$34=$C$62,D29=""),'Récapitulatif '!$AJ$3,IF(AND(D29="N",AG29&lt;&gt;""),('Récapitulatif '!$AJ$3-AG29),"")))</f>
        <v/>
      </c>
      <c r="AG29" s="119" t="str">
        <f t="shared" si="20"/>
        <v/>
      </c>
      <c r="AH29" s="218" t="str">
        <f t="shared" si="3"/>
        <v/>
      </c>
      <c r="AI29" s="13">
        <f t="shared" si="4"/>
        <v>1</v>
      </c>
    </row>
    <row r="30" spans="1:38" ht="13.5" thickBot="1">
      <c r="A30" s="482">
        <f>IF(WEEKDAY(C30,2)=1,INT((C30-SUM(MOD(DATE(YEAR(C30-MOD(C30-2,7)+3),1,2),{1E+99;7})*{1;-1})+5)/7),"")</f>
        <v>5</v>
      </c>
      <c r="B30" s="482" t="str">
        <f>IF(A30&lt;&gt;"",VLOOKUP(A30,juin!$L$49:$M$101,2,FALSE),"")</f>
        <v>Nuit</v>
      </c>
      <c r="C30" s="112">
        <f t="shared" si="21"/>
        <v>43857</v>
      </c>
      <c r="D30" s="646" t="s">
        <v>203</v>
      </c>
      <c r="E30" s="633" t="str">
        <f t="shared" si="5"/>
        <v/>
      </c>
      <c r="F30" s="634" t="str">
        <f t="shared" si="6"/>
        <v/>
      </c>
      <c r="G30" s="628" t="s">
        <v>184</v>
      </c>
      <c r="H30" s="496">
        <f t="shared" si="0"/>
        <v>1</v>
      </c>
      <c r="I30" s="497" t="str">
        <f t="shared" si="7"/>
        <v/>
      </c>
      <c r="J30" s="564"/>
      <c r="K30" s="86">
        <v>20.55</v>
      </c>
      <c r="L30" s="11">
        <v>5</v>
      </c>
      <c r="M30" s="11"/>
      <c r="N30" s="125"/>
      <c r="O30" s="124">
        <f t="shared" si="8"/>
        <v>20.916666666666668</v>
      </c>
      <c r="P30" s="73">
        <f t="shared" si="9"/>
        <v>5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>
        <f t="shared" si="13"/>
        <v>7.7499999999999991</v>
      </c>
      <c r="V30" s="372">
        <f t="shared" si="14"/>
        <v>8</v>
      </c>
      <c r="W30" s="114">
        <f t="shared" si="15"/>
        <v>7.7499999999999991</v>
      </c>
      <c r="X30" s="161" t="str">
        <f>+IF(D30="cp",(I30*'Récapitulatif '!$AJ$3),"")</f>
        <v/>
      </c>
      <c r="Y30" s="163">
        <f t="shared" si="1"/>
        <v>7.666666666666667</v>
      </c>
      <c r="Z30" s="154" t="str">
        <f t="shared" si="16"/>
        <v/>
      </c>
      <c r="AA30" s="154">
        <f t="shared" si="2"/>
        <v>1</v>
      </c>
      <c r="AB30" s="479" t="str">
        <f t="shared" si="22"/>
        <v/>
      </c>
      <c r="AC30" s="475" t="str">
        <f t="shared" si="17"/>
        <v/>
      </c>
      <c r="AD30" s="118" t="str">
        <f t="shared" si="18"/>
        <v/>
      </c>
      <c r="AE30" s="261" t="str">
        <f t="shared" si="19"/>
        <v/>
      </c>
      <c r="AF30" s="475" t="str">
        <f>+IF(AND(WEEKDAY(C30)=1,$C$4:$C$34=$C$62),"",IF(AND($C$4:$C$34=$C$62,D30=""),'Récapitulatif '!$AJ$3,IF(AND(D30="N",AG30&lt;&gt;""),('Récapitulatif '!$AJ$3-AG30),"")))</f>
        <v/>
      </c>
      <c r="AG30" s="119" t="str">
        <f t="shared" si="20"/>
        <v/>
      </c>
      <c r="AH30" s="218" t="str">
        <f t="shared" si="3"/>
        <v/>
      </c>
      <c r="AI30" s="13">
        <f t="shared" si="4"/>
        <v>1</v>
      </c>
    </row>
    <row r="31" spans="1:38" ht="13.5" thickBot="1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21"/>
        <v>43858</v>
      </c>
      <c r="D31" s="646" t="s">
        <v>203</v>
      </c>
      <c r="E31" s="633" t="str">
        <f t="shared" si="5"/>
        <v/>
      </c>
      <c r="F31" s="634" t="str">
        <f t="shared" si="6"/>
        <v/>
      </c>
      <c r="G31" s="628" t="s">
        <v>184</v>
      </c>
      <c r="H31" s="496">
        <f t="shared" si="0"/>
        <v>1</v>
      </c>
      <c r="I31" s="497" t="str">
        <f t="shared" si="7"/>
        <v/>
      </c>
      <c r="J31" s="564"/>
      <c r="K31" s="86">
        <v>20.55</v>
      </c>
      <c r="L31" s="11">
        <v>5</v>
      </c>
      <c r="M31" s="11"/>
      <c r="N31" s="125"/>
      <c r="O31" s="124">
        <f t="shared" si="8"/>
        <v>20.916666666666668</v>
      </c>
      <c r="P31" s="73">
        <f t="shared" si="9"/>
        <v>5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>
        <f t="shared" si="13"/>
        <v>7.7499999999999991</v>
      </c>
      <c r="V31" s="372">
        <f t="shared" si="14"/>
        <v>8</v>
      </c>
      <c r="W31" s="114">
        <f t="shared" si="15"/>
        <v>7.7499999999999991</v>
      </c>
      <c r="X31" s="161" t="str">
        <f>+IF(D31="cp",(I31*'Récapitulatif '!$AJ$3),"")</f>
        <v/>
      </c>
      <c r="Y31" s="163">
        <f t="shared" si="1"/>
        <v>7.666666666666667</v>
      </c>
      <c r="Z31" s="154" t="str">
        <f t="shared" si="16"/>
        <v/>
      </c>
      <c r="AA31" s="154">
        <f t="shared" si="2"/>
        <v>1</v>
      </c>
      <c r="AB31" s="479" t="str">
        <f t="shared" si="22"/>
        <v/>
      </c>
      <c r="AC31" s="475" t="str">
        <f t="shared" si="17"/>
        <v/>
      </c>
      <c r="AD31" s="118" t="str">
        <f t="shared" si="18"/>
        <v/>
      </c>
      <c r="AE31" s="261" t="str">
        <f t="shared" si="19"/>
        <v/>
      </c>
      <c r="AF31" s="475" t="str">
        <f>+IF(AND(WEEKDAY(C31)=1,$C$4:$C$34=$C$62),"",IF(AND($C$4:$C$34=$C$62,D31=""),'Récapitulatif '!$AJ$3,IF(AND(D31="N",AG31&lt;&gt;""),('Récapitulatif '!$AJ$3-AG31),"")))</f>
        <v/>
      </c>
      <c r="AG31" s="119" t="str">
        <f t="shared" si="20"/>
        <v/>
      </c>
      <c r="AH31" s="218" t="str">
        <f t="shared" si="3"/>
        <v/>
      </c>
      <c r="AI31" s="13">
        <f t="shared" si="4"/>
        <v>1</v>
      </c>
    </row>
    <row r="32" spans="1:38" ht="13.5" thickBot="1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43859</v>
      </c>
      <c r="D32" s="646" t="s">
        <v>203</v>
      </c>
      <c r="E32" s="633" t="str">
        <f t="shared" si="5"/>
        <v/>
      </c>
      <c r="F32" s="634" t="str">
        <f t="shared" si="6"/>
        <v/>
      </c>
      <c r="G32" s="628" t="s">
        <v>184</v>
      </c>
      <c r="H32" s="496">
        <f t="shared" si="0"/>
        <v>1</v>
      </c>
      <c r="I32" s="497" t="str">
        <f t="shared" si="7"/>
        <v/>
      </c>
      <c r="J32" s="564"/>
      <c r="K32" s="86">
        <v>20.55</v>
      </c>
      <c r="L32" s="11">
        <v>5</v>
      </c>
      <c r="M32" s="11"/>
      <c r="N32" s="125"/>
      <c r="O32" s="124">
        <f t="shared" si="8"/>
        <v>20.916666666666668</v>
      </c>
      <c r="P32" s="73">
        <f t="shared" si="9"/>
        <v>5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>
        <f t="shared" si="13"/>
        <v>7.7499999999999991</v>
      </c>
      <c r="V32" s="372">
        <f t="shared" si="14"/>
        <v>8</v>
      </c>
      <c r="W32" s="114">
        <f t="shared" si="15"/>
        <v>7.7499999999999991</v>
      </c>
      <c r="X32" s="161" t="str">
        <f>+IF(D32="cp",(I32*'Récapitulatif '!$AJ$3),"")</f>
        <v/>
      </c>
      <c r="Y32" s="163">
        <f t="shared" si="1"/>
        <v>7.666666666666667</v>
      </c>
      <c r="Z32" s="154" t="str">
        <f t="shared" si="16"/>
        <v/>
      </c>
      <c r="AA32" s="154">
        <f t="shared" si="2"/>
        <v>1</v>
      </c>
      <c r="AB32" s="479" t="str">
        <f t="shared" si="22"/>
        <v/>
      </c>
      <c r="AC32" s="475" t="str">
        <f t="shared" si="17"/>
        <v/>
      </c>
      <c r="AD32" s="118" t="str">
        <f t="shared" si="18"/>
        <v/>
      </c>
      <c r="AE32" s="261" t="str">
        <f t="shared" si="19"/>
        <v/>
      </c>
      <c r="AF32" s="475" t="str">
        <f>+IF(AND(WEEKDAY(C32)=1,$C$4:$C$34=$C$62),"",IF(AND($C$4:$C$34=$C$62,D32=""),'Récapitulatif '!$AJ$3,IF(AND(D32="N",AG32&lt;&gt;""),('Récapitulatif '!$AJ$3-AG32),"")))</f>
        <v/>
      </c>
      <c r="AG32" s="119" t="str">
        <f t="shared" si="20"/>
        <v/>
      </c>
      <c r="AH32" s="218" t="str">
        <f t="shared" si="3"/>
        <v/>
      </c>
      <c r="AI32" s="13">
        <f t="shared" si="4"/>
        <v>1</v>
      </c>
    </row>
    <row r="33" spans="1:39" ht="13.5" thickBot="1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112">
        <f>+IF(MONTH(C$31+2)=MONTH(C$31)+1,"",C$31+2)</f>
        <v>43860</v>
      </c>
      <c r="D33" s="646" t="s">
        <v>203</v>
      </c>
      <c r="E33" s="633" t="str">
        <f t="shared" si="5"/>
        <v/>
      </c>
      <c r="F33" s="634" t="str">
        <f t="shared" si="6"/>
        <v/>
      </c>
      <c r="G33" s="628" t="s">
        <v>184</v>
      </c>
      <c r="H33" s="496">
        <f t="shared" si="0"/>
        <v>1</v>
      </c>
      <c r="I33" s="497" t="str">
        <f t="shared" si="7"/>
        <v/>
      </c>
      <c r="J33" s="564"/>
      <c r="K33" s="86">
        <v>20.55</v>
      </c>
      <c r="L33" s="11">
        <v>5</v>
      </c>
      <c r="M33" s="11"/>
      <c r="N33" s="125"/>
      <c r="O33" s="124">
        <f t="shared" si="8"/>
        <v>20.916666666666668</v>
      </c>
      <c r="P33" s="73">
        <f t="shared" si="9"/>
        <v>5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>
        <f t="shared" si="13"/>
        <v>7.7499999999999991</v>
      </c>
      <c r="V33" s="372">
        <f t="shared" si="14"/>
        <v>8</v>
      </c>
      <c r="W33" s="114">
        <f t="shared" si="15"/>
        <v>7.7499999999999991</v>
      </c>
      <c r="X33" s="161" t="str">
        <f>+IF(D33="cp",(I33*'Récapitulatif '!$AJ$3),"")</f>
        <v/>
      </c>
      <c r="Y33" s="163">
        <f t="shared" si="1"/>
        <v>7.666666666666667</v>
      </c>
      <c r="Z33" s="154" t="str">
        <f t="shared" si="16"/>
        <v/>
      </c>
      <c r="AA33" s="154">
        <f t="shared" si="2"/>
        <v>1</v>
      </c>
      <c r="AB33" s="479" t="str">
        <f t="shared" si="22"/>
        <v/>
      </c>
      <c r="AC33" s="475" t="str">
        <f t="shared" si="17"/>
        <v/>
      </c>
      <c r="AD33" s="118" t="str">
        <f t="shared" si="18"/>
        <v/>
      </c>
      <c r="AE33" s="261" t="str">
        <f t="shared" si="19"/>
        <v/>
      </c>
      <c r="AF33" s="475" t="str">
        <f>+IF(AND(WEEKDAY(C33)=1,$C$4:$C$34=$C$62),"",IF(AND($C$4:$C$34=$C$62,D33=""),'Récapitulatif '!$AJ$3,IF(AND(D33="N",AG33&lt;&gt;""),('Récapitulatif '!$AJ$3-AG33),"")))</f>
        <v/>
      </c>
      <c r="AG33" s="119" t="str">
        <f t="shared" si="20"/>
        <v/>
      </c>
      <c r="AH33" s="218" t="str">
        <f t="shared" si="3"/>
        <v/>
      </c>
      <c r="AI33" s="13">
        <f t="shared" si="4"/>
        <v>1</v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>
        <f>+IF(MONTH(C$31+3)=MONTH(C$31)+1,"",C$31+3)</f>
        <v>43861</v>
      </c>
      <c r="D34" s="649"/>
      <c r="E34" s="635" t="str">
        <f t="shared" si="5"/>
        <v/>
      </c>
      <c r="F34" s="636" t="str">
        <f t="shared" si="6"/>
        <v/>
      </c>
      <c r="G34" s="627"/>
      <c r="H34" s="496" t="str">
        <f t="shared" si="0"/>
        <v/>
      </c>
      <c r="I34" s="497" t="str">
        <f t="shared" si="7"/>
        <v/>
      </c>
      <c r="J34" s="565"/>
      <c r="K34" s="87"/>
      <c r="L34" s="14"/>
      <c r="M34" s="14"/>
      <c r="N34" s="126"/>
      <c r="O34" s="201">
        <f t="shared" si="8"/>
        <v>0</v>
      </c>
      <c r="P34" s="202">
        <f t="shared" si="9"/>
        <v>0</v>
      </c>
      <c r="Q34" s="202">
        <f t="shared" si="10"/>
        <v>0</v>
      </c>
      <c r="R34" s="202">
        <f t="shared" si="11"/>
        <v>0</v>
      </c>
      <c r="S34" s="202">
        <v>0.2</v>
      </c>
      <c r="T34" s="202">
        <f t="shared" si="12"/>
        <v>0.33333333333333337</v>
      </c>
      <c r="U34" s="203" t="str">
        <f t="shared" si="13"/>
        <v/>
      </c>
      <c r="V34" s="374" t="e">
        <f t="shared" si="14"/>
        <v>#VALUE!</v>
      </c>
      <c r="W34" s="115" t="str">
        <f t="shared" si="15"/>
        <v/>
      </c>
      <c r="X34" s="204" t="str">
        <f>+IF(D34="cp",(I34*'Récapitulatif '!$AJ$3),"")</f>
        <v/>
      </c>
      <c r="Y34" s="164" t="str">
        <f t="shared" si="1"/>
        <v/>
      </c>
      <c r="Z34" s="154" t="str">
        <f t="shared" si="16"/>
        <v/>
      </c>
      <c r="AA34" s="154" t="str">
        <f t="shared" si="2"/>
        <v/>
      </c>
      <c r="AB34" s="480" t="str">
        <f t="shared" si="22"/>
        <v/>
      </c>
      <c r="AC34" s="476" t="str">
        <f t="shared" si="17"/>
        <v/>
      </c>
      <c r="AD34" s="120" t="str">
        <f t="shared" si="18"/>
        <v/>
      </c>
      <c r="AE34" s="262" t="str">
        <f t="shared" si="19"/>
        <v/>
      </c>
      <c r="AF34" s="476" t="str">
        <f>+IF(AND(WEEKDAY(C34)=1,$C$4:$C$34=$C$62),"",IF(AND($C$4:$C$34=$C$62,D34=""),'Récapitulatif '!$AJ$3,IF(AND(D34="N",AG34&lt;&gt;""),('Récapitulatif '!$AJ$3-AG34),"")))</f>
        <v/>
      </c>
      <c r="AG34" s="131" t="str">
        <f t="shared" si="20"/>
        <v/>
      </c>
      <c r="AH34" s="219" t="str">
        <f t="shared" si="3"/>
        <v/>
      </c>
      <c r="AI34" s="15" t="str">
        <f t="shared" si="4"/>
        <v/>
      </c>
    </row>
    <row r="35" spans="1:39" ht="13.5" hidden="1" thickBot="1">
      <c r="A35" t="str">
        <f>IF(WEEKDAY(C35,2)=1,INT((C35-SUM(MOD(DATE(YEAR(C35-MOD(C35-2,7)+3),1,2),{1E+99;7})*{1;-1})+5)/7),"")</f>
        <v/>
      </c>
      <c r="B35" s="482" t="str">
        <f>IF(A35&lt;&gt;"",VLOOKUP(A35,juin!$L$49:$M$101,2,FALSE),"")</f>
        <v/>
      </c>
      <c r="C35" s="191"/>
      <c r="D35" s="192"/>
      <c r="E35" s="192"/>
      <c r="F35" s="622" t="str">
        <f t="shared" si="6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30.999999999999996</v>
      </c>
      <c r="AC35" s="199"/>
      <c r="AD35" s="199"/>
      <c r="AE35" s="174" t="e">
        <f>+IF(OR($C$4:$C$34=C99),W35,"")</f>
        <v>#VALUE!</v>
      </c>
      <c r="AF35" s="292" t="str">
        <f>+IF(AND(WEEKDAY(C35)=7,$C$4:$C$43=$C$62),"",IF(AND(WEEKDAY(C35)=1,$C$4:$C$43=$C$62),"",IF($C$4:$C$43=$C$62,'Récapitulatif '!$AJ$3,"")))</f>
        <v/>
      </c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2</v>
      </c>
      <c r="E37" s="609"/>
      <c r="F37" s="609"/>
      <c r="G37" s="836" t="s">
        <v>206</v>
      </c>
      <c r="H37" s="837"/>
      <c r="I37" s="837"/>
      <c r="J37" s="837"/>
      <c r="K37" s="616">
        <f>SUM(E4:E34)</f>
        <v>1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116.41666666666667</v>
      </c>
      <c r="X37" s="151">
        <f>SUM(X4:X34)</f>
        <v>13.8</v>
      </c>
      <c r="Y37" s="117">
        <f t="shared" ref="Y37:AI37" si="31">SUM(Y4:Y34)</f>
        <v>64.25</v>
      </c>
      <c r="Z37" s="155">
        <f>SUM(Z4:Z34)</f>
        <v>2</v>
      </c>
      <c r="AA37" s="155">
        <f>SUM(AA4:AA34)-Z37</f>
        <v>8</v>
      </c>
      <c r="AC37" s="121">
        <f t="shared" si="31"/>
        <v>1.77</v>
      </c>
      <c r="AD37" s="122">
        <f t="shared" si="31"/>
        <v>10.250000000000004</v>
      </c>
      <c r="AE37" s="123">
        <f t="shared" si="31"/>
        <v>3</v>
      </c>
      <c r="AF37" s="121">
        <f>SUM(AF4:AF34)</f>
        <v>3.9000000000000004</v>
      </c>
      <c r="AG37" s="123">
        <f>SUM(AG4:AG34)</f>
        <v>3</v>
      </c>
      <c r="AH37" s="314">
        <f t="shared" si="31"/>
        <v>6</v>
      </c>
      <c r="AI37" s="23">
        <f t="shared" si="31"/>
        <v>8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16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117.08333333333334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1.3333333333333333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+Décembre!AE41+Y41-AC41</f>
        <v>54.230000000000004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36.083333333333343</v>
      </c>
      <c r="M43" s="505">
        <f>COUNTIF($D$4:$D$34,"M")</f>
        <v>5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20.583333333333329</v>
      </c>
      <c r="M44" s="504">
        <f>COUNTIF($D$4:$D$34,"aM")</f>
        <v>3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60.416666666666664</v>
      </c>
      <c r="M45" s="506">
        <f>COUNTIF($D$4:$D$34,"n")</f>
        <v>8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59" spans="3:14" ht="13.5" thickBot="1"/>
    <row r="60" spans="3:14">
      <c r="C60" s="813" t="s">
        <v>108</v>
      </c>
      <c r="D60" s="814"/>
      <c r="E60" s="814"/>
      <c r="F60" s="814"/>
      <c r="G60" s="815"/>
    </row>
    <row r="61" spans="3:14" ht="13.5" thickBot="1">
      <c r="C61" s="816">
        <f>1+juin!C52</f>
        <v>2020</v>
      </c>
      <c r="D61" s="817"/>
      <c r="E61" s="817"/>
      <c r="F61" s="817"/>
      <c r="G61" s="818"/>
    </row>
    <row r="62" spans="3:14" ht="15">
      <c r="C62" s="666">
        <f>+DATE(C61,1,1)</f>
        <v>43831</v>
      </c>
      <c r="D62" s="675" t="s">
        <v>109</v>
      </c>
      <c r="E62" s="667"/>
      <c r="F62" s="667"/>
      <c r="G62" s="668"/>
    </row>
    <row r="63" spans="3:14" ht="15">
      <c r="C63" s="669">
        <f>DATE(C61,IF((25-MOD((11*MOD(C61-1900,19)+4-INT((7*MOD(C61-1900,19)+1)/19)),29)-MOD(C61-1900+INT((C61-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43934</v>
      </c>
      <c r="D63" s="676" t="s">
        <v>110</v>
      </c>
      <c r="E63" s="670"/>
      <c r="F63" s="670"/>
      <c r="G63" s="671"/>
    </row>
    <row r="64" spans="3:14" ht="15">
      <c r="C64" s="669">
        <f>DATE(C61,5,1)</f>
        <v>43952</v>
      </c>
      <c r="D64" s="676" t="s">
        <v>111</v>
      </c>
      <c r="E64" s="670"/>
      <c r="F64" s="670"/>
      <c r="G64" s="671"/>
    </row>
    <row r="65" spans="3:7" ht="15">
      <c r="C65" s="669">
        <f>DATE(C61,5,8)</f>
        <v>43959</v>
      </c>
      <c r="D65" s="676" t="s">
        <v>112</v>
      </c>
      <c r="E65" s="670"/>
      <c r="F65" s="670"/>
      <c r="G65" s="671"/>
    </row>
    <row r="66" spans="3:7" ht="15">
      <c r="C66" s="669">
        <f>+C63+38</f>
        <v>43972</v>
      </c>
      <c r="D66" s="676" t="s">
        <v>113</v>
      </c>
      <c r="E66" s="670"/>
      <c r="F66" s="670"/>
      <c r="G66" s="671"/>
    </row>
    <row r="67" spans="3:7" ht="15">
      <c r="C67" s="669">
        <f>+C66+11</f>
        <v>43983</v>
      </c>
      <c r="D67" s="676" t="s">
        <v>114</v>
      </c>
      <c r="E67" s="670"/>
      <c r="F67" s="670"/>
      <c r="G67" s="671"/>
    </row>
    <row r="68" spans="3:7" ht="15">
      <c r="C68" s="679">
        <f>DATE(C61,7,14)</f>
        <v>44026</v>
      </c>
      <c r="D68" s="680" t="s">
        <v>115</v>
      </c>
      <c r="E68" s="681"/>
      <c r="F68" s="681"/>
      <c r="G68" s="682"/>
    </row>
    <row r="69" spans="3:7" ht="15">
      <c r="C69" s="679">
        <f>DATE(C61,8,15)</f>
        <v>44058</v>
      </c>
      <c r="D69" s="680" t="s">
        <v>116</v>
      </c>
      <c r="E69" s="681"/>
      <c r="F69" s="681"/>
      <c r="G69" s="682"/>
    </row>
    <row r="70" spans="3:7" ht="15">
      <c r="C70" s="679">
        <f>DATE(C61,11,1)</f>
        <v>44136</v>
      </c>
      <c r="D70" s="680" t="s">
        <v>117</v>
      </c>
      <c r="E70" s="681"/>
      <c r="F70" s="681"/>
      <c r="G70" s="682"/>
    </row>
    <row r="71" spans="3:7" ht="15">
      <c r="C71" s="679">
        <f>DATE(C61,11,11)</f>
        <v>44146</v>
      </c>
      <c r="D71" s="680" t="s">
        <v>118</v>
      </c>
      <c r="E71" s="681"/>
      <c r="F71" s="681"/>
      <c r="G71" s="682"/>
    </row>
    <row r="72" spans="3:7" ht="15.75" thickBot="1">
      <c r="C72" s="683">
        <f>DATE(C61,12,25)</f>
        <v>44190</v>
      </c>
      <c r="D72" s="684" t="s">
        <v>119</v>
      </c>
      <c r="E72" s="685"/>
      <c r="F72" s="685"/>
      <c r="G72" s="686"/>
    </row>
    <row r="74" spans="3:7" ht="13.5" thickBot="1"/>
    <row r="75" spans="3:7" ht="13.5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thickBot="1">
      <c r="D76" s="366">
        <f>+juin!D67</f>
        <v>6</v>
      </c>
      <c r="E76" s="440"/>
      <c r="F76" s="440"/>
      <c r="G76" s="440"/>
    </row>
    <row r="77" spans="3:7">
      <c r="D77" s="26"/>
      <c r="E77" s="26"/>
      <c r="F77" s="26"/>
      <c r="G77" s="26"/>
    </row>
  </sheetData>
  <sheetProtection password="E66C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39" priority="4" stopIfTrue="1">
      <formula>OR(WEEKDAY($C4)=1)</formula>
    </cfRule>
  </conditionalFormatting>
  <conditionalFormatting sqref="AB4:AB34">
    <cfRule type="expression" dxfId="38" priority="5" stopIfTrue="1">
      <formula>OR(WEEKDAY($C4)=1)</formula>
    </cfRule>
  </conditionalFormatting>
  <conditionalFormatting sqref="A4:B34 B5:B35">
    <cfRule type="expression" dxfId="37" priority="2" stopIfTrue="1">
      <formula>OR(WEEKDAY($C4)=1)</formula>
    </cfRule>
  </conditionalFormatting>
  <conditionalFormatting sqref="C4:C34">
    <cfRule type="cellIs" dxfId="36" priority="1" operator="equal">
      <formula>$C$62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83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AM77"/>
  <sheetViews>
    <sheetView showGridLines="0" view="pageBreakPreview" zoomScaleNormal="75" zoomScaleSheetLayoutView="100" workbookViewId="0">
      <selection activeCell="A35" sqref="A35:XFD35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+Janvier!C34+1</f>
        <v>43862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43862</v>
      </c>
      <c r="D4" s="641"/>
      <c r="E4" s="633" t="str">
        <f>+IF(AND(WEEKDAY(C4)=1,D4="M"),1,"")</f>
        <v/>
      </c>
      <c r="F4" s="634" t="str">
        <f>+IF(AND(WEEKDAY(C4)=1,D4="N"),1,"")</f>
        <v/>
      </c>
      <c r="G4" s="625"/>
      <c r="H4" s="128" t="str">
        <f t="shared" ref="H4:H34" si="0">+IF(OR(D4="",D4="CP"),"",1)</f>
        <v/>
      </c>
      <c r="I4" s="127" t="str">
        <f>+IF(D4="CP",1,"")</f>
        <v/>
      </c>
      <c r="J4" s="298"/>
      <c r="K4" s="85"/>
      <c r="L4" s="8"/>
      <c r="M4" s="8"/>
      <c r="N4" s="368"/>
      <c r="O4" s="371">
        <f>+((K4-INT(K4))/60*100)+INT(K4)</f>
        <v>0</v>
      </c>
      <c r="P4" s="73">
        <f>+((L4-INT(L4))/60*100)+INT(L4)</f>
        <v>0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 t="str">
        <f>+IF(D4="","",IF(D4="CP","",IF(D4="J2",((N4-M4)+(L4-K4)),IF(O4&lt;P4,P4-O4,P4+24-O4)-T4)))</f>
        <v/>
      </c>
      <c r="V4" s="372" t="e">
        <f>IF(O4&lt;P4,IF(K4="","",IF(O4&gt;$D$75,24-O4,IF(O4&lt;$D$76,$D$76-O4,0)))+IF(P4&lt;$D$76,P4,IF(P4&gt;$D$75,P4-$D$75,0)),IF(K4="","",IF(O4&gt;$D$75,24-O4,IF(O4&lt;$D$76,$D$76-O4,3)))+IF(P4&lt;$D$76,P4,IF(P4&gt;$D$75,24-P4,P4)))</f>
        <v>#VALUE!</v>
      </c>
      <c r="W4" s="113" t="str">
        <f>+IF(U4&gt;=6,U4,IF(D4="J2",((N4-M4)+(L4-K4)),IF(O4&lt;P4,P4-O4,P4+24-O4)))</f>
        <v/>
      </c>
      <c r="X4" s="249" t="str">
        <f>+IF(D4="cp",(I4*'Récapitulatif '!$AJ$3),"")</f>
        <v/>
      </c>
      <c r="Y4" s="162" t="str">
        <f t="shared" ref="Y4:Y33" si="1">+IF(OR(D4="CP",D4=""),"",(IF(V4&gt;6,V4-T4,V4)))</f>
        <v/>
      </c>
      <c r="Z4" s="154" t="str">
        <f>+IF(D4="CP",1,"")</f>
        <v/>
      </c>
      <c r="AA4" s="154" t="str">
        <f t="shared" ref="AA4:AA34" si="2">+IF(AND(Y4&gt;=3,D4&lt;&gt;""),1,"")</f>
        <v/>
      </c>
      <c r="AB4" s="478" t="str">
        <f>+IF(WEEKDAY(C4)=1,(SUM(W$4:X4)+(Janvier!$AB$35)),"")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/>
      <c r="AF4" s="323"/>
      <c r="AG4" s="294"/>
      <c r="AH4" s="327" t="str">
        <f t="shared" ref="AH4:AH33" si="3">IF(K4="","",IF(D4="J2","",IF(AI4=1,"",IF(U4&gt;=6,1,""))))</f>
        <v/>
      </c>
      <c r="AI4" s="9" t="str">
        <f t="shared" ref="AI4:AI33" si="4">+IF(K4="","",IF(Y4&gt;=4,1,""))</f>
        <v/>
      </c>
      <c r="AJ4" s="10"/>
      <c r="AL4" s="92" t="s">
        <v>64</v>
      </c>
    </row>
    <row r="5" spans="1:38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112">
        <f>+C4+1</f>
        <v>43863</v>
      </c>
      <c r="D5" s="642"/>
      <c r="E5" s="633" t="str">
        <f t="shared" ref="E5:E34" si="5">+IF(AND(WEEKDAY(C5)=1,D5="M"),1,"")</f>
        <v/>
      </c>
      <c r="F5" s="634" t="str">
        <f t="shared" ref="F5:F35" si="6">+IF(AND(WEEKDAY(C5)=1,D5="N"),1,"")</f>
        <v/>
      </c>
      <c r="G5" s="626"/>
      <c r="H5" s="128" t="str">
        <f t="shared" si="0"/>
        <v/>
      </c>
      <c r="I5" s="127" t="str">
        <f t="shared" ref="I5:I34" si="7">+IF(D5="CP",1,"")</f>
        <v/>
      </c>
      <c r="J5" s="299"/>
      <c r="K5" s="86"/>
      <c r="L5" s="11"/>
      <c r="M5" s="11"/>
      <c r="N5" s="369"/>
      <c r="O5" s="371">
        <f t="shared" ref="O5:O33" si="8">+((K5-INT(K5))/60*100)+INT(K5)</f>
        <v>0</v>
      </c>
      <c r="P5" s="73">
        <f t="shared" ref="P5:P33" si="9">+((L5-INT(L5))/60*100)+INT(L5)</f>
        <v>0</v>
      </c>
      <c r="Q5" s="73">
        <f t="shared" ref="Q5:Q33" si="10">+((M5-INT(M5))/60*100)+INT(M5)</f>
        <v>0</v>
      </c>
      <c r="R5" s="73">
        <f t="shared" ref="R5:R33" si="11">+((N5-INT(N5))/60*100)+INT(N5)</f>
        <v>0</v>
      </c>
      <c r="S5" s="73">
        <v>0.2</v>
      </c>
      <c r="T5" s="73">
        <f t="shared" ref="T5:T33" si="12">+(S5/60*100)</f>
        <v>0.33333333333333337</v>
      </c>
      <c r="U5" s="12" t="str">
        <f t="shared" ref="U5:U33" si="13">+IF(D5="","",IF(D5="CP","",IF(D5="J2",((N5-M5)+(L5-K5)),IF(O5&lt;P5,P5-O5,P5+24-O5)-T5)))</f>
        <v/>
      </c>
      <c r="V5" s="372" t="e">
        <f t="shared" ref="V5:V33" si="14">IF(O5&lt;P5,IF(K5="","",IF(O5&gt;$D$75,24-O5,IF(O5&lt;$D$76,$D$76-O5,0)))+IF(P5&lt;$D$76,P5,IF(P5&gt;$D$75,P5-$D$75,0)),IF(K5="","",IF(O5&gt;$D$75,24-O5,IF(O5&lt;$D$76,$D$76-O5,3)))+IF(P5&lt;$D$76,P5,IF(P5&gt;$D$75,24-P5,P5)))</f>
        <v>#VALUE!</v>
      </c>
      <c r="W5" s="114" t="str">
        <f t="shared" ref="W5:W33" si="15">+IF(U5&gt;=6,U5,IF(D5="J2",((N5-M5)+(L5-K5)),IF(O5&lt;P5,P5-O5,P5+24-O5)))</f>
        <v/>
      </c>
      <c r="X5" s="161" t="str">
        <f>+IF(D5="cp",(I5*'Récapitulatif '!$AJ$3),"")</f>
        <v/>
      </c>
      <c r="Y5" s="163" t="str">
        <f t="shared" si="1"/>
        <v/>
      </c>
      <c r="Z5" s="154" t="str">
        <f t="shared" ref="Z5:Z34" si="16">+IF(D5="CP",1,"")</f>
        <v/>
      </c>
      <c r="AA5" s="154" t="str">
        <f t="shared" si="2"/>
        <v/>
      </c>
      <c r="AB5" s="479">
        <f>+IF(WEEKDAY(C5)=1,(SUM(W$4:X5)+(Janvier!$AB$35)),"")</f>
        <v>30.999999999999996</v>
      </c>
      <c r="AC5" s="475" t="str">
        <f t="shared" ref="AC5:AC31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/>
      <c r="AF5" s="325"/>
      <c r="AG5" s="119"/>
      <c r="AH5" s="328" t="str">
        <f t="shared" si="3"/>
        <v/>
      </c>
      <c r="AI5" s="13" t="str">
        <f t="shared" si="4"/>
        <v/>
      </c>
      <c r="AJ5" s="10"/>
      <c r="AL5" s="92" t="s">
        <v>66</v>
      </c>
    </row>
    <row r="6" spans="1:38">
      <c r="A6" s="482">
        <f>IF(WEEKDAY(C6,2)=1,INT((C6-SUM(MOD(DATE(YEAR(C6-MOD(C6-2,7)+3),1,2),{1E+99;7})*{1;-1})+5)/7),"")</f>
        <v>6</v>
      </c>
      <c r="B6" s="482" t="str">
        <f>IF(A6&lt;&gt;"",VLOOKUP(A6,juin!$L$49:$M$101,2,FALSE),"")</f>
        <v>A - Midi</v>
      </c>
      <c r="C6" s="112">
        <f t="shared" ref="C6:C31" si="19">+C5+1</f>
        <v>43864</v>
      </c>
      <c r="D6" s="643" t="s">
        <v>202</v>
      </c>
      <c r="E6" s="633" t="str">
        <f t="shared" si="5"/>
        <v/>
      </c>
      <c r="F6" s="634" t="str">
        <f t="shared" si="6"/>
        <v/>
      </c>
      <c r="G6" s="626" t="s">
        <v>184</v>
      </c>
      <c r="H6" s="128">
        <f t="shared" si="0"/>
        <v>1</v>
      </c>
      <c r="I6" s="127" t="str">
        <f t="shared" si="7"/>
        <v/>
      </c>
      <c r="J6" s="299"/>
      <c r="K6" s="86">
        <v>12.55</v>
      </c>
      <c r="L6" s="11">
        <v>21</v>
      </c>
      <c r="M6" s="11"/>
      <c r="N6" s="369"/>
      <c r="O6" s="371">
        <f t="shared" si="8"/>
        <v>12.916666666666668</v>
      </c>
      <c r="P6" s="73">
        <f t="shared" si="9"/>
        <v>21</v>
      </c>
      <c r="Q6" s="73">
        <f t="shared" si="10"/>
        <v>0</v>
      </c>
      <c r="R6" s="73">
        <f t="shared" si="11"/>
        <v>0</v>
      </c>
      <c r="S6" s="73">
        <v>0.2</v>
      </c>
      <c r="T6" s="73">
        <f t="shared" si="12"/>
        <v>0.33333333333333337</v>
      </c>
      <c r="U6" s="12">
        <f t="shared" si="13"/>
        <v>7.7499999999999991</v>
      </c>
      <c r="V6" s="372">
        <f t="shared" si="14"/>
        <v>0</v>
      </c>
      <c r="W6" s="114">
        <f t="shared" si="15"/>
        <v>7.7499999999999991</v>
      </c>
      <c r="X6" s="161" t="str">
        <f>+IF(D6="cp",(I6*'Récapitulatif '!$AJ$3),"")</f>
        <v/>
      </c>
      <c r="Y6" s="163">
        <f t="shared" si="1"/>
        <v>0</v>
      </c>
      <c r="Z6" s="154" t="str">
        <f t="shared" si="16"/>
        <v/>
      </c>
      <c r="AA6" s="154" t="str">
        <f t="shared" si="2"/>
        <v/>
      </c>
      <c r="AB6" s="479" t="str">
        <f>+IF(WEEKDAY(C6)=1,(SUM(W$4:X6)+(Janvier!$AB$35)),"")</f>
        <v/>
      </c>
      <c r="AC6" s="475" t="str">
        <f t="shared" si="17"/>
        <v/>
      </c>
      <c r="AD6" s="118" t="str">
        <f t="shared" si="18"/>
        <v/>
      </c>
      <c r="AE6" s="261"/>
      <c r="AF6" s="325"/>
      <c r="AG6" s="119"/>
      <c r="AH6" s="328">
        <f t="shared" si="3"/>
        <v>1</v>
      </c>
      <c r="AI6" s="13" t="str">
        <f t="shared" si="4"/>
        <v/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19"/>
        <v>43865</v>
      </c>
      <c r="D7" s="643" t="s">
        <v>202</v>
      </c>
      <c r="E7" s="633" t="s">
        <v>224</v>
      </c>
      <c r="F7" s="634" t="s">
        <v>224</v>
      </c>
      <c r="G7" s="626" t="s">
        <v>184</v>
      </c>
      <c r="H7" s="128">
        <f t="shared" si="0"/>
        <v>1</v>
      </c>
      <c r="I7" s="127" t="str">
        <f t="shared" si="7"/>
        <v/>
      </c>
      <c r="J7" s="299"/>
      <c r="K7" s="86">
        <v>12.55</v>
      </c>
      <c r="L7" s="11">
        <v>21</v>
      </c>
      <c r="M7" s="11"/>
      <c r="N7" s="369"/>
      <c r="O7" s="371">
        <f t="shared" si="8"/>
        <v>12.916666666666668</v>
      </c>
      <c r="P7" s="73">
        <f t="shared" si="9"/>
        <v>21</v>
      </c>
      <c r="Q7" s="73">
        <f t="shared" si="10"/>
        <v>0</v>
      </c>
      <c r="R7" s="73">
        <f t="shared" si="11"/>
        <v>0</v>
      </c>
      <c r="S7" s="73">
        <v>0.2</v>
      </c>
      <c r="T7" s="73">
        <f t="shared" si="12"/>
        <v>0.33333333333333337</v>
      </c>
      <c r="U7" s="12">
        <f t="shared" si="13"/>
        <v>7.7499999999999991</v>
      </c>
      <c r="V7" s="372">
        <f t="shared" si="14"/>
        <v>0</v>
      </c>
      <c r="W7" s="114">
        <f t="shared" si="15"/>
        <v>7.7499999999999991</v>
      </c>
      <c r="X7" s="161" t="str">
        <f>+IF(D7="cp",(I7*'Récapitulatif '!$AJ$3),"")</f>
        <v/>
      </c>
      <c r="Y7" s="163">
        <f t="shared" si="1"/>
        <v>0</v>
      </c>
      <c r="Z7" s="154" t="str">
        <f t="shared" si="16"/>
        <v/>
      </c>
      <c r="AA7" s="154" t="str">
        <f t="shared" si="2"/>
        <v/>
      </c>
      <c r="AB7" s="479" t="str">
        <f>+IF(WEEKDAY(C7)=1,(SUM(W$4:X7)+(Janvier!$AB$35)),"")</f>
        <v/>
      </c>
      <c r="AC7" s="475" t="str">
        <f t="shared" si="17"/>
        <v/>
      </c>
      <c r="AD7" s="118" t="str">
        <f t="shared" si="18"/>
        <v/>
      </c>
      <c r="AE7" s="261"/>
      <c r="AF7" s="325"/>
      <c r="AG7" s="119"/>
      <c r="AH7" s="328">
        <f t="shared" si="3"/>
        <v>1</v>
      </c>
      <c r="AI7" s="13" t="str">
        <f t="shared" si="4"/>
        <v/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19"/>
        <v>43866</v>
      </c>
      <c r="D8" s="643" t="s">
        <v>202</v>
      </c>
      <c r="E8" s="633" t="s">
        <v>224</v>
      </c>
      <c r="F8" s="634" t="s">
        <v>224</v>
      </c>
      <c r="G8" s="626" t="s">
        <v>184</v>
      </c>
      <c r="H8" s="128">
        <f t="shared" si="0"/>
        <v>1</v>
      </c>
      <c r="I8" s="127" t="str">
        <f t="shared" si="7"/>
        <v/>
      </c>
      <c r="J8" s="299"/>
      <c r="K8" s="86">
        <v>12.55</v>
      </c>
      <c r="L8" s="11">
        <v>21</v>
      </c>
      <c r="M8" s="11"/>
      <c r="N8" s="369"/>
      <c r="O8" s="371">
        <f>+((K8-INT(K8))/60*100)+INT(K8)</f>
        <v>12.916666666666668</v>
      </c>
      <c r="P8" s="73">
        <f>+((L8-INT(L8))/60*100)+INT(L8)</f>
        <v>21</v>
      </c>
      <c r="Q8" s="73">
        <f t="shared" si="10"/>
        <v>0</v>
      </c>
      <c r="R8" s="73">
        <f t="shared" si="11"/>
        <v>0</v>
      </c>
      <c r="S8" s="73">
        <v>0.2</v>
      </c>
      <c r="T8" s="73">
        <f t="shared" si="12"/>
        <v>0.33333333333333337</v>
      </c>
      <c r="U8" s="12">
        <f>+IF(D8="","",IF(D8="CP","",IF(D8="J2",((N8-M8)+(L8-K8)),IF(O8&lt;P8,P8-O8,P8+24-O8)-T8)))</f>
        <v>7.7499999999999991</v>
      </c>
      <c r="V8" s="372">
        <f>IF(O8&lt;P8,IF(K8="","",IF(O8&gt;$D$75,24-O8,IF(O8&lt;$D$76,$D$76-O8,0)))+IF(P8&lt;$D$76,P8,IF(P8&gt;$D$75,P8-$D$75,0)),IF(K8="","",IF(O8&gt;$D$75,24-O8,IF(O8&lt;$D$76,$D$76-O8,3)))+IF(P8&lt;$D$76,P8,IF(P8&gt;$D$75,24-P8,P8)))</f>
        <v>0</v>
      </c>
      <c r="W8" s="114">
        <f>+IF(U8&gt;=6,U8,IF(D8="J2",((N8-M8)+(L8-K8)),IF(O8&lt;P8,P8-O8,P8+24-O8)))</f>
        <v>7.7499999999999991</v>
      </c>
      <c r="X8" s="161" t="str">
        <f>+IF(D8="cp",(I8*'Récapitulatif '!$AJ$3),"")</f>
        <v/>
      </c>
      <c r="Y8" s="163">
        <f t="shared" si="1"/>
        <v>0</v>
      </c>
      <c r="Z8" s="154" t="str">
        <f t="shared" si="16"/>
        <v/>
      </c>
      <c r="AA8" s="154" t="str">
        <f t="shared" si="2"/>
        <v/>
      </c>
      <c r="AB8" s="479" t="str">
        <f>+IF(WEEKDAY(C8)=1,(SUM(W$4:X8)+(Janvier!$AB$35)),"")</f>
        <v/>
      </c>
      <c r="AC8" s="475" t="str">
        <f>+IF(AND(WEEKDAY(C8)=7,D8="N"),(24-O8),IF(WEEKDAY(C8)=7,W8,IF(AND(WEEKDAY(C8)=6,D8="N"),(L8-0.33),IF(WEEKDAY(C8)=7,W8,""))))</f>
        <v/>
      </c>
      <c r="AD8" s="118" t="str">
        <f>+IF(AND(WEEKDAY(C8)=1,D8="N"),(24-O8),IF(WEEKDAY(C8)=1,W8,IF(AND(WEEKDAY(C8)=7,D8="N"),(L8-0.33),IF(WEEKDAY(C8)=1,W8,""))))</f>
        <v/>
      </c>
      <c r="AE8" s="261"/>
      <c r="AF8" s="325"/>
      <c r="AG8" s="119"/>
      <c r="AH8" s="328">
        <f>IF(K8="","",IF(D8="J2","",IF(AI8=1,"",IF(U8&gt;=6,1,""))))</f>
        <v>1</v>
      </c>
      <c r="AI8" s="13" t="str">
        <f>+IF(K8="","",IF(Y8&gt;=4,1,""))</f>
        <v/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19"/>
        <v>43867</v>
      </c>
      <c r="D9" s="643" t="s">
        <v>202</v>
      </c>
      <c r="E9" s="633" t="s">
        <v>224</v>
      </c>
      <c r="F9" s="634" t="s">
        <v>224</v>
      </c>
      <c r="G9" s="626" t="s">
        <v>184</v>
      </c>
      <c r="H9" s="128">
        <f t="shared" si="0"/>
        <v>1</v>
      </c>
      <c r="I9" s="127" t="str">
        <f t="shared" si="7"/>
        <v/>
      </c>
      <c r="J9" s="299"/>
      <c r="K9" s="86">
        <v>12.55</v>
      </c>
      <c r="L9" s="11">
        <v>21</v>
      </c>
      <c r="M9" s="11"/>
      <c r="N9" s="369"/>
      <c r="O9" s="371">
        <f t="shared" si="8"/>
        <v>12.916666666666668</v>
      </c>
      <c r="P9" s="73">
        <f t="shared" si="9"/>
        <v>21</v>
      </c>
      <c r="Q9" s="73">
        <f t="shared" si="10"/>
        <v>0</v>
      </c>
      <c r="R9" s="73">
        <f t="shared" si="11"/>
        <v>0</v>
      </c>
      <c r="S9" s="73">
        <v>0.2</v>
      </c>
      <c r="T9" s="73">
        <f t="shared" si="12"/>
        <v>0.33333333333333337</v>
      </c>
      <c r="U9" s="12">
        <f t="shared" si="13"/>
        <v>7.7499999999999991</v>
      </c>
      <c r="V9" s="372">
        <f t="shared" si="14"/>
        <v>0</v>
      </c>
      <c r="W9" s="114">
        <f t="shared" si="15"/>
        <v>7.7499999999999991</v>
      </c>
      <c r="X9" s="161" t="str">
        <f>+IF(D9="cp",(I9*'Récapitulatif '!$AJ$3),"")</f>
        <v/>
      </c>
      <c r="Y9" s="163">
        <f t="shared" si="1"/>
        <v>0</v>
      </c>
      <c r="Z9" s="154" t="str">
        <f t="shared" si="16"/>
        <v/>
      </c>
      <c r="AA9" s="154" t="str">
        <f t="shared" si="2"/>
        <v/>
      </c>
      <c r="AB9" s="479" t="str">
        <f>+IF(WEEKDAY(C9)=1,(SUM(W$4:X9)+(Janvier!$AB$35)),"")</f>
        <v/>
      </c>
      <c r="AC9" s="475" t="str">
        <f t="shared" si="17"/>
        <v/>
      </c>
      <c r="AD9" s="118" t="str">
        <f t="shared" si="18"/>
        <v/>
      </c>
      <c r="AE9" s="261"/>
      <c r="AF9" s="325"/>
      <c r="AG9" s="119"/>
      <c r="AH9" s="328">
        <f t="shared" si="3"/>
        <v>1</v>
      </c>
      <c r="AI9" s="13" t="str">
        <f t="shared" si="4"/>
        <v/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19"/>
        <v>43868</v>
      </c>
      <c r="D10" s="643" t="s">
        <v>202</v>
      </c>
      <c r="E10" s="633" t="s">
        <v>224</v>
      </c>
      <c r="F10" s="634" t="s">
        <v>224</v>
      </c>
      <c r="G10" s="626" t="s">
        <v>184</v>
      </c>
      <c r="H10" s="128">
        <f t="shared" si="0"/>
        <v>1</v>
      </c>
      <c r="I10" s="127" t="str">
        <f t="shared" si="7"/>
        <v/>
      </c>
      <c r="J10" s="299"/>
      <c r="K10" s="86">
        <v>12.55</v>
      </c>
      <c r="L10" s="11">
        <v>18.149999999999999</v>
      </c>
      <c r="M10" s="11"/>
      <c r="N10" s="369"/>
      <c r="O10" s="371">
        <f t="shared" si="8"/>
        <v>12.916666666666668</v>
      </c>
      <c r="P10" s="73">
        <f t="shared" si="9"/>
        <v>18.249999999999996</v>
      </c>
      <c r="Q10" s="73">
        <f t="shared" si="10"/>
        <v>0</v>
      </c>
      <c r="R10" s="73">
        <f t="shared" si="11"/>
        <v>0</v>
      </c>
      <c r="S10" s="73">
        <v>0.2</v>
      </c>
      <c r="T10" s="73">
        <f t="shared" si="12"/>
        <v>0.33333333333333337</v>
      </c>
      <c r="U10" s="12">
        <f t="shared" si="13"/>
        <v>4.9999999999999956</v>
      </c>
      <c r="V10" s="372">
        <f t="shared" si="14"/>
        <v>0</v>
      </c>
      <c r="W10" s="114">
        <f t="shared" si="15"/>
        <v>5.3333333333333286</v>
      </c>
      <c r="X10" s="161" t="str">
        <f>+IF(D10="cp",(I10*'Récapitulatif '!$AJ$3),"")</f>
        <v/>
      </c>
      <c r="Y10" s="163">
        <f t="shared" si="1"/>
        <v>0</v>
      </c>
      <c r="Z10" s="154" t="str">
        <f t="shared" si="16"/>
        <v/>
      </c>
      <c r="AA10" s="154" t="str">
        <f t="shared" si="2"/>
        <v/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/>
      <c r="AF10" s="325"/>
      <c r="AG10" s="119"/>
      <c r="AH10" s="328" t="str">
        <f t="shared" si="3"/>
        <v/>
      </c>
      <c r="AI10" s="13" t="str">
        <f t="shared" si="4"/>
        <v/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19"/>
        <v>43869</v>
      </c>
      <c r="D11" s="647"/>
      <c r="E11" s="633" t="str">
        <f t="shared" si="5"/>
        <v/>
      </c>
      <c r="F11" s="634" t="str">
        <f t="shared" si="6"/>
        <v/>
      </c>
      <c r="G11" s="626"/>
      <c r="H11" s="128" t="str">
        <f t="shared" si="0"/>
        <v/>
      </c>
      <c r="I11" s="127" t="str">
        <f t="shared" si="7"/>
        <v/>
      </c>
      <c r="J11" s="299"/>
      <c r="K11" s="86"/>
      <c r="L11" s="11"/>
      <c r="M11" s="11"/>
      <c r="N11" s="369"/>
      <c r="O11" s="371">
        <f t="shared" si="8"/>
        <v>0</v>
      </c>
      <c r="P11" s="73">
        <f t="shared" si="9"/>
        <v>0</v>
      </c>
      <c r="Q11" s="73">
        <f t="shared" si="10"/>
        <v>0</v>
      </c>
      <c r="R11" s="73">
        <f t="shared" si="11"/>
        <v>0</v>
      </c>
      <c r="S11" s="73">
        <v>0.2</v>
      </c>
      <c r="T11" s="73">
        <f t="shared" si="12"/>
        <v>0.33333333333333337</v>
      </c>
      <c r="U11" s="12" t="str">
        <f t="shared" si="13"/>
        <v/>
      </c>
      <c r="V11" s="372" t="e">
        <f t="shared" si="14"/>
        <v>#VALUE!</v>
      </c>
      <c r="W11" s="114" t="str">
        <f t="shared" si="15"/>
        <v/>
      </c>
      <c r="X11" s="161" t="str">
        <f>+IF(D11="cp",(I11*'Récapitulatif '!$AJ$3),"")</f>
        <v/>
      </c>
      <c r="Y11" s="163" t="str">
        <f t="shared" si="1"/>
        <v/>
      </c>
      <c r="Z11" s="154" t="str">
        <f t="shared" si="16"/>
        <v/>
      </c>
      <c r="AA11" s="154" t="str">
        <f t="shared" si="2"/>
        <v/>
      </c>
      <c r="AB11" s="479" t="str">
        <f t="shared" ref="AB11:AB31" si="20">+IF(WEEKDAY(C11)=1,SUM(W5:X11),"")</f>
        <v/>
      </c>
      <c r="AC11" s="475" t="str">
        <f t="shared" si="17"/>
        <v/>
      </c>
      <c r="AD11" s="118" t="str">
        <f t="shared" si="18"/>
        <v/>
      </c>
      <c r="AE11" s="261"/>
      <c r="AF11" s="325"/>
      <c r="AG11" s="119"/>
      <c r="AH11" s="328" t="str">
        <f t="shared" si="3"/>
        <v/>
      </c>
      <c r="AI11" s="13" t="str">
        <f t="shared" si="4"/>
        <v/>
      </c>
      <c r="AJ11" s="10"/>
      <c r="AL11" s="1" t="s">
        <v>60</v>
      </c>
    </row>
    <row r="12" spans="1:38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112">
        <f t="shared" si="19"/>
        <v>43870</v>
      </c>
      <c r="D12" s="647"/>
      <c r="E12" s="633" t="str">
        <f t="shared" si="5"/>
        <v/>
      </c>
      <c r="F12" s="634" t="str">
        <f t="shared" si="6"/>
        <v/>
      </c>
      <c r="G12" s="626"/>
      <c r="H12" s="128" t="str">
        <f t="shared" si="0"/>
        <v/>
      </c>
      <c r="I12" s="127" t="str">
        <f t="shared" si="7"/>
        <v/>
      </c>
      <c r="J12" s="299"/>
      <c r="K12" s="86"/>
      <c r="L12" s="11"/>
      <c r="M12" s="11"/>
      <c r="N12" s="369"/>
      <c r="O12" s="371">
        <f t="shared" si="8"/>
        <v>0</v>
      </c>
      <c r="P12" s="73">
        <f t="shared" si="9"/>
        <v>0</v>
      </c>
      <c r="Q12" s="73">
        <f t="shared" si="10"/>
        <v>0</v>
      </c>
      <c r="R12" s="73">
        <f t="shared" si="11"/>
        <v>0</v>
      </c>
      <c r="S12" s="73">
        <v>0.2</v>
      </c>
      <c r="T12" s="73">
        <f t="shared" si="12"/>
        <v>0.33333333333333337</v>
      </c>
      <c r="U12" s="12" t="str">
        <f t="shared" si="13"/>
        <v/>
      </c>
      <c r="V12" s="372" t="e">
        <f t="shared" si="14"/>
        <v>#VALUE!</v>
      </c>
      <c r="W12" s="114" t="str">
        <f t="shared" si="15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6"/>
        <v/>
      </c>
      <c r="AA12" s="154" t="str">
        <f t="shared" si="2"/>
        <v/>
      </c>
      <c r="AB12" s="479">
        <f t="shared" si="20"/>
        <v>36.333333333333329</v>
      </c>
      <c r="AC12" s="475" t="str">
        <f t="shared" si="17"/>
        <v/>
      </c>
      <c r="AD12" s="118" t="str">
        <f t="shared" si="18"/>
        <v/>
      </c>
      <c r="AE12" s="261"/>
      <c r="AF12" s="325"/>
      <c r="AG12" s="119"/>
      <c r="AH12" s="328" t="str">
        <f t="shared" si="3"/>
        <v/>
      </c>
      <c r="AI12" s="13" t="str">
        <f t="shared" si="4"/>
        <v/>
      </c>
      <c r="AL12" s="92" t="s">
        <v>68</v>
      </c>
    </row>
    <row r="13" spans="1:38">
      <c r="A13" s="482">
        <f>IF(WEEKDAY(C13,2)=1,INT((C13-SUM(MOD(DATE(YEAR(C13-MOD(C13-2,7)+3),1,2),{1E+99;7})*{1;-1})+5)/7),"")</f>
        <v>7</v>
      </c>
      <c r="B13" s="482" t="str">
        <f>IF(A13&lt;&gt;"",VLOOKUP(A13,juin!$L$49:$M$101,2,FALSE),"")</f>
        <v>Matin</v>
      </c>
      <c r="C13" s="112">
        <f t="shared" si="19"/>
        <v>43871</v>
      </c>
      <c r="D13" s="646" t="s">
        <v>205</v>
      </c>
      <c r="E13" s="633" t="str">
        <f t="shared" si="5"/>
        <v/>
      </c>
      <c r="F13" s="634" t="str">
        <f t="shared" si="6"/>
        <v/>
      </c>
      <c r="G13" s="628" t="s">
        <v>184</v>
      </c>
      <c r="H13" s="128">
        <f t="shared" si="0"/>
        <v>1</v>
      </c>
      <c r="I13" s="127" t="str">
        <f t="shared" si="7"/>
        <v/>
      </c>
      <c r="J13" s="299"/>
      <c r="K13" s="86">
        <v>4.55</v>
      </c>
      <c r="L13" s="11">
        <v>13</v>
      </c>
      <c r="M13" s="11"/>
      <c r="N13" s="369"/>
      <c r="O13" s="371">
        <f t="shared" si="8"/>
        <v>4.9166666666666661</v>
      </c>
      <c r="P13" s="73">
        <f t="shared" si="9"/>
        <v>13</v>
      </c>
      <c r="Q13" s="73">
        <f t="shared" si="10"/>
        <v>0</v>
      </c>
      <c r="R13" s="73">
        <f t="shared" si="11"/>
        <v>0</v>
      </c>
      <c r="S13" s="73">
        <v>0.2</v>
      </c>
      <c r="T13" s="73">
        <f t="shared" si="12"/>
        <v>0.33333333333333337</v>
      </c>
      <c r="U13" s="12">
        <f t="shared" si="13"/>
        <v>7.7500000000000009</v>
      </c>
      <c r="V13" s="372">
        <f t="shared" si="14"/>
        <v>1.0833333333333339</v>
      </c>
      <c r="W13" s="114">
        <f t="shared" si="15"/>
        <v>7.7500000000000009</v>
      </c>
      <c r="X13" s="161" t="str">
        <f>+IF(D13="cp",(I13*'Récapitulatif '!$AJ$3),"")</f>
        <v/>
      </c>
      <c r="Y13" s="163">
        <f t="shared" si="1"/>
        <v>1.0833333333333339</v>
      </c>
      <c r="Z13" s="154" t="str">
        <f t="shared" si="16"/>
        <v/>
      </c>
      <c r="AA13" s="154" t="str">
        <f t="shared" si="2"/>
        <v/>
      </c>
      <c r="AB13" s="479" t="str">
        <f t="shared" si="20"/>
        <v/>
      </c>
      <c r="AC13" s="475" t="str">
        <f t="shared" si="17"/>
        <v/>
      </c>
      <c r="AD13" s="118" t="str">
        <f t="shared" si="18"/>
        <v/>
      </c>
      <c r="AE13" s="261"/>
      <c r="AF13" s="325"/>
      <c r="AG13" s="119"/>
      <c r="AH13" s="328">
        <f t="shared" si="3"/>
        <v>1</v>
      </c>
      <c r="AI13" s="13" t="str">
        <f t="shared" si="4"/>
        <v/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19"/>
        <v>43872</v>
      </c>
      <c r="D14" s="646" t="s">
        <v>205</v>
      </c>
      <c r="E14" s="633" t="s">
        <v>224</v>
      </c>
      <c r="F14" s="634" t="s">
        <v>224</v>
      </c>
      <c r="G14" s="628" t="s">
        <v>184</v>
      </c>
      <c r="H14" s="128">
        <f t="shared" si="0"/>
        <v>1</v>
      </c>
      <c r="I14" s="127" t="str">
        <f t="shared" si="7"/>
        <v/>
      </c>
      <c r="J14" s="299"/>
      <c r="K14" s="86">
        <v>4.55</v>
      </c>
      <c r="L14" s="11">
        <v>13</v>
      </c>
      <c r="M14" s="11"/>
      <c r="N14" s="369"/>
      <c r="O14" s="371">
        <f t="shared" si="8"/>
        <v>4.9166666666666661</v>
      </c>
      <c r="P14" s="73">
        <f t="shared" si="9"/>
        <v>13</v>
      </c>
      <c r="Q14" s="73">
        <f t="shared" si="10"/>
        <v>0</v>
      </c>
      <c r="R14" s="73">
        <f t="shared" si="11"/>
        <v>0</v>
      </c>
      <c r="S14" s="73">
        <v>0.2</v>
      </c>
      <c r="T14" s="73">
        <f t="shared" si="12"/>
        <v>0.33333333333333337</v>
      </c>
      <c r="U14" s="12">
        <f t="shared" si="13"/>
        <v>7.7500000000000009</v>
      </c>
      <c r="V14" s="372">
        <f t="shared" si="14"/>
        <v>1.0833333333333339</v>
      </c>
      <c r="W14" s="114">
        <f t="shared" si="15"/>
        <v>7.7500000000000009</v>
      </c>
      <c r="X14" s="161" t="str">
        <f>+IF(D14="cp",(I14*'Récapitulatif '!$AJ$3),"")</f>
        <v/>
      </c>
      <c r="Y14" s="163">
        <f t="shared" si="1"/>
        <v>1.0833333333333339</v>
      </c>
      <c r="Z14" s="154" t="str">
        <f t="shared" si="16"/>
        <v/>
      </c>
      <c r="AA14" s="154" t="str">
        <f t="shared" si="2"/>
        <v/>
      </c>
      <c r="AB14" s="479" t="str">
        <f t="shared" si="20"/>
        <v/>
      </c>
      <c r="AC14" s="475" t="str">
        <f t="shared" si="17"/>
        <v/>
      </c>
      <c r="AD14" s="118" t="str">
        <f t="shared" si="18"/>
        <v/>
      </c>
      <c r="AE14" s="261"/>
      <c r="AF14" s="325"/>
      <c r="AG14" s="119"/>
      <c r="AH14" s="328">
        <f t="shared" si="3"/>
        <v>1</v>
      </c>
      <c r="AI14" s="13" t="str">
        <f t="shared" si="4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19"/>
        <v>43873</v>
      </c>
      <c r="D15" s="646" t="s">
        <v>205</v>
      </c>
      <c r="E15" s="633" t="s">
        <v>224</v>
      </c>
      <c r="F15" s="634" t="s">
        <v>224</v>
      </c>
      <c r="G15" s="628" t="s">
        <v>184</v>
      </c>
      <c r="H15" s="128">
        <f t="shared" si="0"/>
        <v>1</v>
      </c>
      <c r="I15" s="127" t="str">
        <f t="shared" si="7"/>
        <v/>
      </c>
      <c r="J15" s="299"/>
      <c r="K15" s="86">
        <v>4.55</v>
      </c>
      <c r="L15" s="11">
        <v>13</v>
      </c>
      <c r="M15" s="11"/>
      <c r="N15" s="369"/>
      <c r="O15" s="371">
        <f t="shared" si="8"/>
        <v>4.9166666666666661</v>
      </c>
      <c r="P15" s="73">
        <f t="shared" si="9"/>
        <v>13</v>
      </c>
      <c r="Q15" s="73">
        <f t="shared" si="10"/>
        <v>0</v>
      </c>
      <c r="R15" s="73">
        <f t="shared" si="11"/>
        <v>0</v>
      </c>
      <c r="S15" s="73">
        <v>0.2</v>
      </c>
      <c r="T15" s="73">
        <f t="shared" si="12"/>
        <v>0.33333333333333337</v>
      </c>
      <c r="U15" s="12">
        <f t="shared" si="13"/>
        <v>7.7500000000000009</v>
      </c>
      <c r="V15" s="372">
        <f t="shared" si="14"/>
        <v>1.0833333333333339</v>
      </c>
      <c r="W15" s="114">
        <f t="shared" si="15"/>
        <v>7.7500000000000009</v>
      </c>
      <c r="X15" s="161" t="str">
        <f>+IF(D15="cp",(I15*'Récapitulatif '!$AJ$3),"")</f>
        <v/>
      </c>
      <c r="Y15" s="163">
        <f t="shared" si="1"/>
        <v>1.0833333333333339</v>
      </c>
      <c r="Z15" s="154" t="str">
        <f t="shared" si="16"/>
        <v/>
      </c>
      <c r="AA15" s="154" t="str">
        <f t="shared" si="2"/>
        <v/>
      </c>
      <c r="AB15" s="479" t="str">
        <f t="shared" si="20"/>
        <v/>
      </c>
      <c r="AC15" s="475" t="str">
        <f t="shared" si="17"/>
        <v/>
      </c>
      <c r="AD15" s="118" t="str">
        <f t="shared" si="18"/>
        <v/>
      </c>
      <c r="AE15" s="261"/>
      <c r="AF15" s="325"/>
      <c r="AG15" s="119"/>
      <c r="AH15" s="328">
        <f t="shared" si="3"/>
        <v>1</v>
      </c>
      <c r="AI15" s="13" t="str">
        <f t="shared" si="4"/>
        <v/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19"/>
        <v>43874</v>
      </c>
      <c r="D16" s="646" t="s">
        <v>205</v>
      </c>
      <c r="E16" s="633" t="s">
        <v>224</v>
      </c>
      <c r="F16" s="634" t="s">
        <v>224</v>
      </c>
      <c r="G16" s="628" t="s">
        <v>184</v>
      </c>
      <c r="H16" s="128">
        <f t="shared" si="0"/>
        <v>1</v>
      </c>
      <c r="I16" s="127" t="str">
        <f t="shared" si="7"/>
        <v/>
      </c>
      <c r="J16" s="299"/>
      <c r="K16" s="86">
        <v>4.55</v>
      </c>
      <c r="L16" s="11">
        <v>13</v>
      </c>
      <c r="M16" s="11"/>
      <c r="N16" s="369"/>
      <c r="O16" s="371">
        <f t="shared" si="8"/>
        <v>4.9166666666666661</v>
      </c>
      <c r="P16" s="73">
        <f t="shared" si="9"/>
        <v>13</v>
      </c>
      <c r="Q16" s="73">
        <f t="shared" si="10"/>
        <v>0</v>
      </c>
      <c r="R16" s="73">
        <f t="shared" si="11"/>
        <v>0</v>
      </c>
      <c r="S16" s="73">
        <v>0.2</v>
      </c>
      <c r="T16" s="73">
        <f t="shared" si="12"/>
        <v>0.33333333333333337</v>
      </c>
      <c r="U16" s="12">
        <f t="shared" si="13"/>
        <v>7.7500000000000009</v>
      </c>
      <c r="V16" s="372">
        <f t="shared" si="14"/>
        <v>1.0833333333333339</v>
      </c>
      <c r="W16" s="114">
        <f t="shared" si="15"/>
        <v>7.7500000000000009</v>
      </c>
      <c r="X16" s="161" t="str">
        <f>+IF(D16="cp",(I16*'Récapitulatif '!$AJ$3),"")</f>
        <v/>
      </c>
      <c r="Y16" s="163">
        <f t="shared" si="1"/>
        <v>1.0833333333333339</v>
      </c>
      <c r="Z16" s="154" t="str">
        <f t="shared" si="16"/>
        <v/>
      </c>
      <c r="AA16" s="154" t="str">
        <f t="shared" si="2"/>
        <v/>
      </c>
      <c r="AB16" s="479" t="str">
        <f t="shared" si="20"/>
        <v/>
      </c>
      <c r="AC16" s="475" t="str">
        <f t="shared" si="17"/>
        <v/>
      </c>
      <c r="AD16" s="118" t="str">
        <f t="shared" si="18"/>
        <v/>
      </c>
      <c r="AE16" s="261"/>
      <c r="AF16" s="325"/>
      <c r="AG16" s="119"/>
      <c r="AH16" s="328">
        <f t="shared" si="3"/>
        <v>1</v>
      </c>
      <c r="AI16" s="13" t="str">
        <f t="shared" si="4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19"/>
        <v>43875</v>
      </c>
      <c r="D17" s="646" t="s">
        <v>205</v>
      </c>
      <c r="E17" s="633" t="s">
        <v>224</v>
      </c>
      <c r="F17" s="634" t="s">
        <v>224</v>
      </c>
      <c r="G17" s="628" t="s">
        <v>184</v>
      </c>
      <c r="H17" s="128">
        <f t="shared" si="0"/>
        <v>1</v>
      </c>
      <c r="I17" s="127" t="str">
        <f t="shared" si="7"/>
        <v/>
      </c>
      <c r="J17" s="299"/>
      <c r="K17" s="86">
        <v>4.55</v>
      </c>
      <c r="L17" s="11">
        <v>10.15</v>
      </c>
      <c r="M17" s="11"/>
      <c r="N17" s="369"/>
      <c r="O17" s="371">
        <f t="shared" si="8"/>
        <v>4.9166666666666661</v>
      </c>
      <c r="P17" s="73">
        <f t="shared" si="9"/>
        <v>10.25</v>
      </c>
      <c r="Q17" s="73">
        <f t="shared" si="10"/>
        <v>0</v>
      </c>
      <c r="R17" s="73">
        <f t="shared" si="11"/>
        <v>0</v>
      </c>
      <c r="S17" s="73">
        <v>0.2</v>
      </c>
      <c r="T17" s="73">
        <f t="shared" si="12"/>
        <v>0.33333333333333337</v>
      </c>
      <c r="U17" s="12">
        <f t="shared" si="13"/>
        <v>5.0000000000000009</v>
      </c>
      <c r="V17" s="372">
        <f t="shared" si="14"/>
        <v>1.0833333333333339</v>
      </c>
      <c r="W17" s="114">
        <f t="shared" si="15"/>
        <v>5.3333333333333339</v>
      </c>
      <c r="X17" s="161" t="str">
        <f>+IF(D17="cp",(I17*'Récapitulatif '!$AJ$3),"")</f>
        <v/>
      </c>
      <c r="Y17" s="163">
        <f t="shared" si="1"/>
        <v>1.0833333333333339</v>
      </c>
      <c r="Z17" s="154" t="str">
        <f t="shared" si="16"/>
        <v/>
      </c>
      <c r="AA17" s="154" t="str">
        <f t="shared" si="2"/>
        <v/>
      </c>
      <c r="AB17" s="479" t="str">
        <f t="shared" si="20"/>
        <v/>
      </c>
      <c r="AC17" s="475" t="str">
        <f t="shared" si="17"/>
        <v/>
      </c>
      <c r="AD17" s="118" t="str">
        <f t="shared" si="18"/>
        <v/>
      </c>
      <c r="AE17" s="261"/>
      <c r="AF17" s="325"/>
      <c r="AG17" s="119"/>
      <c r="AH17" s="328" t="str">
        <f t="shared" si="3"/>
        <v/>
      </c>
      <c r="AI17" s="13" t="str">
        <f t="shared" si="4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19"/>
        <v>43876</v>
      </c>
      <c r="D18" s="646"/>
      <c r="E18" s="633" t="s">
        <v>224</v>
      </c>
      <c r="F18" s="634" t="s">
        <v>224</v>
      </c>
      <c r="G18" s="628"/>
      <c r="H18" s="128" t="str">
        <f t="shared" si="0"/>
        <v/>
      </c>
      <c r="I18" s="127" t="str">
        <f t="shared" si="7"/>
        <v/>
      </c>
      <c r="J18" s="299"/>
      <c r="K18" s="86"/>
      <c r="L18" s="11"/>
      <c r="M18" s="11"/>
      <c r="N18" s="369"/>
      <c r="O18" s="371">
        <f t="shared" si="8"/>
        <v>0</v>
      </c>
      <c r="P18" s="73">
        <f t="shared" si="9"/>
        <v>0</v>
      </c>
      <c r="Q18" s="73">
        <f t="shared" si="10"/>
        <v>0</v>
      </c>
      <c r="R18" s="73">
        <f t="shared" si="11"/>
        <v>0</v>
      </c>
      <c r="S18" s="73">
        <v>0.2</v>
      </c>
      <c r="T18" s="73">
        <f t="shared" si="12"/>
        <v>0.33333333333333337</v>
      </c>
      <c r="U18" s="12" t="str">
        <f t="shared" si="13"/>
        <v/>
      </c>
      <c r="V18" s="372" t="e">
        <f t="shared" si="14"/>
        <v>#VALUE!</v>
      </c>
      <c r="W18" s="114" t="str">
        <f t="shared" si="15"/>
        <v/>
      </c>
      <c r="X18" s="161" t="str">
        <f>+IF(D18="cp",(I18*'Récapitulatif '!$AJ$3),"")</f>
        <v/>
      </c>
      <c r="Y18" s="163" t="str">
        <f t="shared" si="1"/>
        <v/>
      </c>
      <c r="Z18" s="154" t="str">
        <f t="shared" si="16"/>
        <v/>
      </c>
      <c r="AA18" s="154" t="str">
        <f t="shared" si="2"/>
        <v/>
      </c>
      <c r="AB18" s="479" t="str">
        <f t="shared" si="20"/>
        <v/>
      </c>
      <c r="AC18" s="475" t="str">
        <f t="shared" si="17"/>
        <v/>
      </c>
      <c r="AD18" s="118" t="str">
        <f t="shared" si="18"/>
        <v/>
      </c>
      <c r="AE18" s="261"/>
      <c r="AF18" s="325"/>
      <c r="AG18" s="119"/>
      <c r="AH18" s="328" t="str">
        <f t="shared" si="3"/>
        <v/>
      </c>
      <c r="AI18" s="13" t="str">
        <f t="shared" si="4"/>
        <v/>
      </c>
      <c r="AL18" s="1" t="s">
        <v>71</v>
      </c>
    </row>
    <row r="19" spans="1:38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112">
        <f t="shared" si="19"/>
        <v>43877</v>
      </c>
      <c r="D19" s="646" t="s">
        <v>205</v>
      </c>
      <c r="E19" s="633" t="s">
        <v>224</v>
      </c>
      <c r="F19" s="634" t="s">
        <v>224</v>
      </c>
      <c r="G19" s="628" t="s">
        <v>184</v>
      </c>
      <c r="H19" s="128">
        <f t="shared" si="0"/>
        <v>1</v>
      </c>
      <c r="I19" s="127" t="str">
        <f t="shared" si="7"/>
        <v/>
      </c>
      <c r="J19" s="299"/>
      <c r="K19" s="86">
        <v>5</v>
      </c>
      <c r="L19" s="11">
        <v>13</v>
      </c>
      <c r="M19" s="11"/>
      <c r="N19" s="369"/>
      <c r="O19" s="371">
        <f t="shared" si="8"/>
        <v>5</v>
      </c>
      <c r="P19" s="73">
        <f t="shared" si="9"/>
        <v>13</v>
      </c>
      <c r="Q19" s="73">
        <f t="shared" si="10"/>
        <v>0</v>
      </c>
      <c r="R19" s="73">
        <f t="shared" si="11"/>
        <v>0</v>
      </c>
      <c r="S19" s="73">
        <v>0.2</v>
      </c>
      <c r="T19" s="73">
        <f t="shared" si="12"/>
        <v>0.33333333333333337</v>
      </c>
      <c r="U19" s="12">
        <f t="shared" si="13"/>
        <v>7.666666666666667</v>
      </c>
      <c r="V19" s="372">
        <f t="shared" si="14"/>
        <v>1</v>
      </c>
      <c r="W19" s="114">
        <f t="shared" si="15"/>
        <v>7.666666666666667</v>
      </c>
      <c r="X19" s="161" t="str">
        <f>+IF(D19="cp",(I19*'Récapitulatif '!$AJ$3),"")</f>
        <v/>
      </c>
      <c r="Y19" s="163">
        <f t="shared" si="1"/>
        <v>1</v>
      </c>
      <c r="Z19" s="154" t="str">
        <f t="shared" si="16"/>
        <v/>
      </c>
      <c r="AA19" s="154" t="str">
        <f t="shared" si="2"/>
        <v/>
      </c>
      <c r="AB19" s="479">
        <f t="shared" si="20"/>
        <v>44</v>
      </c>
      <c r="AC19" s="475" t="str">
        <f t="shared" si="17"/>
        <v/>
      </c>
      <c r="AD19" s="118">
        <f t="shared" si="18"/>
        <v>7.666666666666667</v>
      </c>
      <c r="AE19" s="261"/>
      <c r="AF19" s="325"/>
      <c r="AG19" s="119"/>
      <c r="AH19" s="328">
        <f t="shared" si="3"/>
        <v>1</v>
      </c>
      <c r="AI19" s="13" t="str">
        <f t="shared" si="4"/>
        <v/>
      </c>
      <c r="AL19" s="92"/>
    </row>
    <row r="20" spans="1:38">
      <c r="A20" s="482">
        <f>IF(WEEKDAY(C20,2)=1,INT((C20-SUM(MOD(DATE(YEAR(C20-MOD(C20-2,7)+3),1,2),{1E+99;7})*{1;-1})+5)/7),"")</f>
        <v>8</v>
      </c>
      <c r="B20" s="482" t="str">
        <f>IF(A20&lt;&gt;"",VLOOKUP(A20,juin!$L$49:$M$101,2,FALSE),"")</f>
        <v>Mystère</v>
      </c>
      <c r="C20" s="112">
        <f t="shared" si="19"/>
        <v>43878</v>
      </c>
      <c r="D20" s="647"/>
      <c r="E20" s="633" t="str">
        <f t="shared" si="5"/>
        <v/>
      </c>
      <c r="F20" s="634" t="str">
        <f t="shared" si="6"/>
        <v/>
      </c>
      <c r="G20" s="626"/>
      <c r="H20" s="128" t="str">
        <f t="shared" si="0"/>
        <v/>
      </c>
      <c r="I20" s="127" t="str">
        <f t="shared" si="7"/>
        <v/>
      </c>
      <c r="J20" s="299"/>
      <c r="K20" s="86"/>
      <c r="L20" s="11"/>
      <c r="M20" s="11"/>
      <c r="N20" s="369"/>
      <c r="O20" s="371">
        <f t="shared" si="8"/>
        <v>0</v>
      </c>
      <c r="P20" s="73">
        <f t="shared" si="9"/>
        <v>0</v>
      </c>
      <c r="Q20" s="73">
        <f t="shared" si="10"/>
        <v>0</v>
      </c>
      <c r="R20" s="73">
        <f t="shared" si="11"/>
        <v>0</v>
      </c>
      <c r="S20" s="73">
        <v>0.2</v>
      </c>
      <c r="T20" s="73">
        <f t="shared" si="12"/>
        <v>0.33333333333333337</v>
      </c>
      <c r="U20" s="12" t="str">
        <f t="shared" si="13"/>
        <v/>
      </c>
      <c r="V20" s="372" t="e">
        <f t="shared" si="14"/>
        <v>#VALUE!</v>
      </c>
      <c r="W20" s="114" t="str">
        <f t="shared" si="15"/>
        <v/>
      </c>
      <c r="X20" s="161" t="str">
        <f>+IF(D20="cp",(I20*'Récapitulatif '!$AJ$3),"")</f>
        <v/>
      </c>
      <c r="Y20" s="163" t="str">
        <f t="shared" si="1"/>
        <v/>
      </c>
      <c r="Z20" s="154" t="str">
        <f t="shared" si="16"/>
        <v/>
      </c>
      <c r="AA20" s="154" t="str">
        <f t="shared" si="2"/>
        <v/>
      </c>
      <c r="AB20" s="479" t="str">
        <f t="shared" si="20"/>
        <v/>
      </c>
      <c r="AC20" s="475" t="str">
        <f t="shared" si="17"/>
        <v/>
      </c>
      <c r="AD20" s="118" t="str">
        <f t="shared" si="18"/>
        <v/>
      </c>
      <c r="AE20" s="261"/>
      <c r="AF20" s="325"/>
      <c r="AG20" s="119"/>
      <c r="AH20" s="328" t="str">
        <f t="shared" si="3"/>
        <v/>
      </c>
      <c r="AI20" s="13" t="str">
        <f t="shared" si="4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19"/>
        <v>43879</v>
      </c>
      <c r="D21" s="646"/>
      <c r="E21" s="633" t="str">
        <f t="shared" si="5"/>
        <v/>
      </c>
      <c r="F21" s="634" t="str">
        <f t="shared" si="6"/>
        <v/>
      </c>
      <c r="G21" s="626"/>
      <c r="H21" s="128" t="str">
        <f t="shared" si="0"/>
        <v/>
      </c>
      <c r="I21" s="127" t="str">
        <f t="shared" si="7"/>
        <v/>
      </c>
      <c r="J21" s="299"/>
      <c r="K21" s="86"/>
      <c r="L21" s="11"/>
      <c r="M21" s="11"/>
      <c r="N21" s="369"/>
      <c r="O21" s="371">
        <f t="shared" si="8"/>
        <v>0</v>
      </c>
      <c r="P21" s="73">
        <f t="shared" si="9"/>
        <v>0</v>
      </c>
      <c r="Q21" s="73">
        <f t="shared" si="10"/>
        <v>0</v>
      </c>
      <c r="R21" s="73">
        <f t="shared" si="11"/>
        <v>0</v>
      </c>
      <c r="S21" s="73">
        <v>0.2</v>
      </c>
      <c r="T21" s="73">
        <f t="shared" si="12"/>
        <v>0.33333333333333337</v>
      </c>
      <c r="U21" s="12" t="str">
        <f t="shared" si="13"/>
        <v/>
      </c>
      <c r="V21" s="372" t="e">
        <f t="shared" si="14"/>
        <v>#VALUE!</v>
      </c>
      <c r="W21" s="114" t="str">
        <f t="shared" si="15"/>
        <v/>
      </c>
      <c r="X21" s="161" t="str">
        <f>+IF(D21="cp",(I21*'Récapitulatif '!$AJ$3),"")</f>
        <v/>
      </c>
      <c r="Y21" s="163" t="str">
        <f t="shared" si="1"/>
        <v/>
      </c>
      <c r="Z21" s="154" t="str">
        <f t="shared" si="16"/>
        <v/>
      </c>
      <c r="AA21" s="154" t="str">
        <f t="shared" si="2"/>
        <v/>
      </c>
      <c r="AB21" s="479" t="str">
        <f t="shared" si="20"/>
        <v/>
      </c>
      <c r="AC21" s="475" t="str">
        <f t="shared" si="17"/>
        <v/>
      </c>
      <c r="AD21" s="118" t="str">
        <f t="shared" si="18"/>
        <v/>
      </c>
      <c r="AE21" s="261"/>
      <c r="AF21" s="325"/>
      <c r="AG21" s="119"/>
      <c r="AH21" s="328" t="str">
        <f t="shared" si="3"/>
        <v/>
      </c>
      <c r="AI21" s="13" t="str">
        <f t="shared" si="4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19"/>
        <v>43880</v>
      </c>
      <c r="D22" s="646" t="s">
        <v>202</v>
      </c>
      <c r="E22" s="633" t="str">
        <f t="shared" si="5"/>
        <v/>
      </c>
      <c r="F22" s="634" t="str">
        <f t="shared" si="6"/>
        <v/>
      </c>
      <c r="G22" s="628" t="s">
        <v>184</v>
      </c>
      <c r="H22" s="128">
        <f t="shared" si="0"/>
        <v>1</v>
      </c>
      <c r="I22" s="127" t="str">
        <f t="shared" si="7"/>
        <v/>
      </c>
      <c r="J22" s="299"/>
      <c r="K22" s="86">
        <v>12.55</v>
      </c>
      <c r="L22" s="11">
        <v>21</v>
      </c>
      <c r="M22" s="11"/>
      <c r="N22" s="369"/>
      <c r="O22" s="371">
        <f t="shared" si="8"/>
        <v>12.916666666666668</v>
      </c>
      <c r="P22" s="73">
        <f t="shared" si="9"/>
        <v>21</v>
      </c>
      <c r="Q22" s="73">
        <f t="shared" si="10"/>
        <v>0</v>
      </c>
      <c r="R22" s="73">
        <f t="shared" si="11"/>
        <v>0</v>
      </c>
      <c r="S22" s="73">
        <v>0.2</v>
      </c>
      <c r="T22" s="73">
        <f t="shared" si="12"/>
        <v>0.33333333333333337</v>
      </c>
      <c r="U22" s="12">
        <f t="shared" si="13"/>
        <v>7.7499999999999991</v>
      </c>
      <c r="V22" s="372">
        <f t="shared" si="14"/>
        <v>0</v>
      </c>
      <c r="W22" s="114">
        <f t="shared" si="15"/>
        <v>7.7499999999999991</v>
      </c>
      <c r="X22" s="161" t="str">
        <f>+IF(D22="cp",(I22*'Récapitulatif '!$AJ$3),"")</f>
        <v/>
      </c>
      <c r="Y22" s="163">
        <f t="shared" si="1"/>
        <v>0</v>
      </c>
      <c r="Z22" s="154" t="str">
        <f t="shared" si="16"/>
        <v/>
      </c>
      <c r="AA22" s="154" t="str">
        <f t="shared" si="2"/>
        <v/>
      </c>
      <c r="AB22" s="479" t="str">
        <f t="shared" si="20"/>
        <v/>
      </c>
      <c r="AC22" s="475" t="str">
        <f t="shared" si="17"/>
        <v/>
      </c>
      <c r="AD22" s="118" t="str">
        <f t="shared" si="18"/>
        <v/>
      </c>
      <c r="AE22" s="261"/>
      <c r="AF22" s="325"/>
      <c r="AG22" s="119"/>
      <c r="AH22" s="328">
        <f t="shared" si="3"/>
        <v>1</v>
      </c>
      <c r="AI22" s="13" t="str">
        <f t="shared" si="4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19"/>
        <v>43881</v>
      </c>
      <c r="D23" s="646" t="s">
        <v>202</v>
      </c>
      <c r="E23" s="633" t="str">
        <f t="shared" si="5"/>
        <v/>
      </c>
      <c r="F23" s="634" t="str">
        <f t="shared" si="6"/>
        <v/>
      </c>
      <c r="G23" s="628" t="s">
        <v>184</v>
      </c>
      <c r="H23" s="128">
        <f t="shared" si="0"/>
        <v>1</v>
      </c>
      <c r="I23" s="127" t="str">
        <f t="shared" si="7"/>
        <v/>
      </c>
      <c r="J23" s="299"/>
      <c r="K23" s="86">
        <v>12.55</v>
      </c>
      <c r="L23" s="11">
        <v>21</v>
      </c>
      <c r="M23" s="11"/>
      <c r="N23" s="369"/>
      <c r="O23" s="371">
        <f t="shared" si="8"/>
        <v>12.916666666666668</v>
      </c>
      <c r="P23" s="73">
        <f t="shared" si="9"/>
        <v>21</v>
      </c>
      <c r="Q23" s="73">
        <f t="shared" si="10"/>
        <v>0</v>
      </c>
      <c r="R23" s="73">
        <f t="shared" si="11"/>
        <v>0</v>
      </c>
      <c r="S23" s="73">
        <v>0.2</v>
      </c>
      <c r="T23" s="73">
        <f t="shared" si="12"/>
        <v>0.33333333333333337</v>
      </c>
      <c r="U23" s="12">
        <f t="shared" si="13"/>
        <v>7.7499999999999991</v>
      </c>
      <c r="V23" s="372">
        <f t="shared" si="14"/>
        <v>0</v>
      </c>
      <c r="W23" s="114">
        <f t="shared" si="15"/>
        <v>7.7499999999999991</v>
      </c>
      <c r="X23" s="161" t="str">
        <f>+IF(D23="cp",(I23*'Récapitulatif '!$AJ$3),"")</f>
        <v/>
      </c>
      <c r="Y23" s="163">
        <f t="shared" si="1"/>
        <v>0</v>
      </c>
      <c r="Z23" s="154" t="str">
        <f t="shared" si="16"/>
        <v/>
      </c>
      <c r="AA23" s="154" t="str">
        <f t="shared" si="2"/>
        <v/>
      </c>
      <c r="AB23" s="479" t="str">
        <f t="shared" si="20"/>
        <v/>
      </c>
      <c r="AC23" s="475" t="str">
        <f t="shared" si="17"/>
        <v/>
      </c>
      <c r="AD23" s="118" t="str">
        <f t="shared" si="18"/>
        <v/>
      </c>
      <c r="AE23" s="261"/>
      <c r="AF23" s="325"/>
      <c r="AG23" s="119"/>
      <c r="AH23" s="328">
        <f t="shared" si="3"/>
        <v>1</v>
      </c>
      <c r="AI23" s="13" t="str">
        <f t="shared" si="4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19"/>
        <v>43882</v>
      </c>
      <c r="D24" s="646" t="s">
        <v>202</v>
      </c>
      <c r="E24" s="633" t="str">
        <f t="shared" si="5"/>
        <v/>
      </c>
      <c r="F24" s="634" t="str">
        <f t="shared" si="6"/>
        <v/>
      </c>
      <c r="G24" s="628" t="s">
        <v>184</v>
      </c>
      <c r="H24" s="128">
        <f t="shared" si="0"/>
        <v>1</v>
      </c>
      <c r="I24" s="127" t="str">
        <f t="shared" si="7"/>
        <v/>
      </c>
      <c r="J24" s="299"/>
      <c r="K24" s="86">
        <v>12.55</v>
      </c>
      <c r="L24" s="11">
        <v>21</v>
      </c>
      <c r="M24" s="11"/>
      <c r="N24" s="369"/>
      <c r="O24" s="371">
        <f t="shared" si="8"/>
        <v>12.916666666666668</v>
      </c>
      <c r="P24" s="73">
        <f t="shared" si="9"/>
        <v>21</v>
      </c>
      <c r="Q24" s="73">
        <f t="shared" si="10"/>
        <v>0</v>
      </c>
      <c r="R24" s="73">
        <f t="shared" si="11"/>
        <v>0</v>
      </c>
      <c r="S24" s="73">
        <v>0.2</v>
      </c>
      <c r="T24" s="73">
        <f t="shared" si="12"/>
        <v>0.33333333333333337</v>
      </c>
      <c r="U24" s="12">
        <f t="shared" si="13"/>
        <v>7.7499999999999991</v>
      </c>
      <c r="V24" s="372">
        <f t="shared" si="14"/>
        <v>0</v>
      </c>
      <c r="W24" s="114">
        <f t="shared" si="15"/>
        <v>7.7499999999999991</v>
      </c>
      <c r="X24" s="161" t="str">
        <f>+IF(D24="cp",(I24*'Récapitulatif '!$AJ$3),"")</f>
        <v/>
      </c>
      <c r="Y24" s="163">
        <f t="shared" si="1"/>
        <v>0</v>
      </c>
      <c r="Z24" s="154" t="str">
        <f t="shared" si="16"/>
        <v/>
      </c>
      <c r="AA24" s="154" t="str">
        <f t="shared" si="2"/>
        <v/>
      </c>
      <c r="AB24" s="479" t="str">
        <f t="shared" si="20"/>
        <v/>
      </c>
      <c r="AC24" s="475" t="str">
        <f t="shared" si="17"/>
        <v/>
      </c>
      <c r="AD24" s="118" t="str">
        <f t="shared" si="18"/>
        <v/>
      </c>
      <c r="AE24" s="261"/>
      <c r="AF24" s="325"/>
      <c r="AG24" s="119"/>
      <c r="AH24" s="328">
        <f t="shared" si="3"/>
        <v>1</v>
      </c>
      <c r="AI24" s="13" t="str">
        <f t="shared" si="4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19"/>
        <v>43883</v>
      </c>
      <c r="D25" s="646"/>
      <c r="E25" s="633" t="str">
        <f t="shared" si="5"/>
        <v/>
      </c>
      <c r="F25" s="634" t="str">
        <f t="shared" si="6"/>
        <v/>
      </c>
      <c r="G25" s="626"/>
      <c r="H25" s="128" t="str">
        <f t="shared" si="0"/>
        <v/>
      </c>
      <c r="I25" s="127" t="str">
        <f t="shared" si="7"/>
        <v/>
      </c>
      <c r="J25" s="299"/>
      <c r="K25" s="86"/>
      <c r="L25" s="11"/>
      <c r="M25" s="11"/>
      <c r="N25" s="369"/>
      <c r="O25" s="371">
        <f t="shared" si="8"/>
        <v>0</v>
      </c>
      <c r="P25" s="73">
        <f t="shared" si="9"/>
        <v>0</v>
      </c>
      <c r="Q25" s="73">
        <f t="shared" si="10"/>
        <v>0</v>
      </c>
      <c r="R25" s="73">
        <f t="shared" si="11"/>
        <v>0</v>
      </c>
      <c r="S25" s="73">
        <v>0.2</v>
      </c>
      <c r="T25" s="73">
        <f t="shared" si="12"/>
        <v>0.33333333333333337</v>
      </c>
      <c r="U25" s="12" t="str">
        <f t="shared" si="13"/>
        <v/>
      </c>
      <c r="V25" s="372" t="e">
        <f t="shared" si="14"/>
        <v>#VALUE!</v>
      </c>
      <c r="W25" s="114" t="str">
        <f t="shared" si="15"/>
        <v/>
      </c>
      <c r="X25" s="161" t="str">
        <f>+IF(D25="cp",(I25*'Récapitulatif '!$AJ$3),"")</f>
        <v/>
      </c>
      <c r="Y25" s="163" t="str">
        <f t="shared" si="1"/>
        <v/>
      </c>
      <c r="Z25" s="154" t="str">
        <f t="shared" si="16"/>
        <v/>
      </c>
      <c r="AA25" s="154" t="str">
        <f t="shared" si="2"/>
        <v/>
      </c>
      <c r="AB25" s="479" t="str">
        <f t="shared" si="20"/>
        <v/>
      </c>
      <c r="AC25" s="475" t="str">
        <f t="shared" si="17"/>
        <v/>
      </c>
      <c r="AD25" s="118" t="str">
        <f t="shared" si="18"/>
        <v/>
      </c>
      <c r="AE25" s="261"/>
      <c r="AF25" s="325"/>
      <c r="AG25" s="119"/>
      <c r="AH25" s="328" t="str">
        <f t="shared" si="3"/>
        <v/>
      </c>
      <c r="AI25" s="13" t="str">
        <f t="shared" si="4"/>
        <v/>
      </c>
    </row>
    <row r="26" spans="1:38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112">
        <f t="shared" si="19"/>
        <v>43884</v>
      </c>
      <c r="D26" s="646" t="s">
        <v>203</v>
      </c>
      <c r="E26" s="633" t="str">
        <f t="shared" si="5"/>
        <v/>
      </c>
      <c r="F26" s="634">
        <f t="shared" si="6"/>
        <v>1</v>
      </c>
      <c r="G26" s="628" t="s">
        <v>184</v>
      </c>
      <c r="H26" s="128">
        <f t="shared" si="0"/>
        <v>1</v>
      </c>
      <c r="I26" s="127" t="str">
        <f t="shared" si="7"/>
        <v/>
      </c>
      <c r="J26" s="299"/>
      <c r="K26" s="86">
        <v>21</v>
      </c>
      <c r="L26" s="11">
        <v>5</v>
      </c>
      <c r="M26" s="11"/>
      <c r="N26" s="369"/>
      <c r="O26" s="371">
        <f t="shared" si="8"/>
        <v>21</v>
      </c>
      <c r="P26" s="73">
        <f t="shared" si="9"/>
        <v>5</v>
      </c>
      <c r="Q26" s="73">
        <f t="shared" si="10"/>
        <v>0</v>
      </c>
      <c r="R26" s="73">
        <f t="shared" si="11"/>
        <v>0</v>
      </c>
      <c r="S26" s="73">
        <v>0.2</v>
      </c>
      <c r="T26" s="73">
        <f t="shared" si="12"/>
        <v>0.33333333333333337</v>
      </c>
      <c r="U26" s="12">
        <f t="shared" si="13"/>
        <v>7.666666666666667</v>
      </c>
      <c r="V26" s="372">
        <f t="shared" si="14"/>
        <v>8</v>
      </c>
      <c r="W26" s="114">
        <f t="shared" si="15"/>
        <v>7.666666666666667</v>
      </c>
      <c r="X26" s="161" t="str">
        <f>+IF(D26="cp",(I26*'Récapitulatif '!$AJ$3),"")</f>
        <v/>
      </c>
      <c r="Y26" s="163">
        <f t="shared" si="1"/>
        <v>7.666666666666667</v>
      </c>
      <c r="Z26" s="154" t="str">
        <f t="shared" si="16"/>
        <v/>
      </c>
      <c r="AA26" s="154">
        <f t="shared" si="2"/>
        <v>1</v>
      </c>
      <c r="AB26" s="479">
        <f t="shared" si="20"/>
        <v>30.916666666666664</v>
      </c>
      <c r="AC26" s="475" t="str">
        <f t="shared" si="17"/>
        <v/>
      </c>
      <c r="AD26" s="118">
        <f t="shared" si="18"/>
        <v>3</v>
      </c>
      <c r="AE26" s="261"/>
      <c r="AF26" s="325"/>
      <c r="AG26" s="119"/>
      <c r="AH26" s="328" t="str">
        <f t="shared" si="3"/>
        <v/>
      </c>
      <c r="AI26" s="13">
        <f t="shared" si="4"/>
        <v>1</v>
      </c>
    </row>
    <row r="27" spans="1:38">
      <c r="A27" s="482">
        <f>IF(WEEKDAY(C27,2)=1,INT((C27-SUM(MOD(DATE(YEAR(C27-MOD(C27-2,7)+3),1,2),{1E+99;7})*{1;-1})+5)/7),"")</f>
        <v>9</v>
      </c>
      <c r="B27" s="482" t="str">
        <f>IF(A27&lt;&gt;"",VLOOKUP(A27,juin!$L$49:$M$101,2,FALSE),"")</f>
        <v>Nuit</v>
      </c>
      <c r="C27" s="112">
        <f t="shared" si="19"/>
        <v>43885</v>
      </c>
      <c r="D27" s="646" t="s">
        <v>203</v>
      </c>
      <c r="E27" s="633" t="str">
        <f t="shared" si="5"/>
        <v/>
      </c>
      <c r="F27" s="634" t="str">
        <f t="shared" si="6"/>
        <v/>
      </c>
      <c r="G27" s="628" t="s">
        <v>184</v>
      </c>
      <c r="H27" s="128">
        <f t="shared" si="0"/>
        <v>1</v>
      </c>
      <c r="I27" s="127" t="str">
        <f t="shared" si="7"/>
        <v/>
      </c>
      <c r="J27" s="299"/>
      <c r="K27" s="86">
        <v>20.55</v>
      </c>
      <c r="L27" s="11">
        <v>5</v>
      </c>
      <c r="M27" s="11"/>
      <c r="N27" s="369"/>
      <c r="O27" s="371">
        <f t="shared" si="8"/>
        <v>20.916666666666668</v>
      </c>
      <c r="P27" s="73">
        <f t="shared" si="9"/>
        <v>5</v>
      </c>
      <c r="Q27" s="73">
        <f t="shared" si="10"/>
        <v>0</v>
      </c>
      <c r="R27" s="73">
        <f t="shared" si="11"/>
        <v>0</v>
      </c>
      <c r="S27" s="73">
        <v>0.2</v>
      </c>
      <c r="T27" s="73">
        <f t="shared" si="12"/>
        <v>0.33333333333333337</v>
      </c>
      <c r="U27" s="12">
        <f t="shared" si="13"/>
        <v>7.7499999999999991</v>
      </c>
      <c r="V27" s="372">
        <f t="shared" si="14"/>
        <v>8</v>
      </c>
      <c r="W27" s="114">
        <f>+IF(U27&gt;=6,U27,IF(D27="J2",((N27-M27)+(L27-K27)),IF(O27&lt;P27,P27-O27,P27+24-O27)))</f>
        <v>7.7499999999999991</v>
      </c>
      <c r="X27" s="161" t="str">
        <f>+IF(D27="cp",(I27*'Récapitulatif '!$AJ$3),"")</f>
        <v/>
      </c>
      <c r="Y27" s="163">
        <f t="shared" si="1"/>
        <v>7.666666666666667</v>
      </c>
      <c r="Z27" s="154" t="str">
        <f t="shared" si="16"/>
        <v/>
      </c>
      <c r="AA27" s="154">
        <f t="shared" si="2"/>
        <v>1</v>
      </c>
      <c r="AB27" s="479" t="str">
        <f t="shared" si="20"/>
        <v/>
      </c>
      <c r="AC27" s="475" t="str">
        <f t="shared" si="17"/>
        <v/>
      </c>
      <c r="AD27" s="118" t="str">
        <f t="shared" si="18"/>
        <v/>
      </c>
      <c r="AE27" s="261"/>
      <c r="AF27" s="325"/>
      <c r="AG27" s="119"/>
      <c r="AH27" s="328" t="str">
        <f t="shared" si="3"/>
        <v/>
      </c>
      <c r="AI27" s="13">
        <f t="shared" si="4"/>
        <v>1</v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19"/>
        <v>43886</v>
      </c>
      <c r="D28" s="646" t="s">
        <v>203</v>
      </c>
      <c r="E28" s="633" t="str">
        <f t="shared" si="5"/>
        <v/>
      </c>
      <c r="F28" s="634" t="str">
        <f t="shared" si="6"/>
        <v/>
      </c>
      <c r="G28" s="628" t="s">
        <v>184</v>
      </c>
      <c r="H28" s="128">
        <f t="shared" si="0"/>
        <v>1</v>
      </c>
      <c r="I28" s="127" t="str">
        <f t="shared" si="7"/>
        <v/>
      </c>
      <c r="J28" s="299"/>
      <c r="K28" s="86">
        <v>20.55</v>
      </c>
      <c r="L28" s="11">
        <v>5</v>
      </c>
      <c r="M28" s="11"/>
      <c r="N28" s="369"/>
      <c r="O28" s="371">
        <f t="shared" si="8"/>
        <v>20.916666666666668</v>
      </c>
      <c r="P28" s="73">
        <f t="shared" si="9"/>
        <v>5</v>
      </c>
      <c r="Q28" s="73">
        <f t="shared" si="10"/>
        <v>0</v>
      </c>
      <c r="R28" s="73">
        <f t="shared" si="11"/>
        <v>0</v>
      </c>
      <c r="S28" s="73">
        <v>0.2</v>
      </c>
      <c r="T28" s="73">
        <f t="shared" si="12"/>
        <v>0.33333333333333337</v>
      </c>
      <c r="U28" s="12">
        <f t="shared" si="13"/>
        <v>7.7499999999999991</v>
      </c>
      <c r="V28" s="372">
        <f t="shared" si="14"/>
        <v>8</v>
      </c>
      <c r="W28" s="114">
        <f t="shared" si="15"/>
        <v>7.7499999999999991</v>
      </c>
      <c r="X28" s="161" t="str">
        <f>+IF(D28="cp",(I28*'Récapitulatif '!$AJ$3),"")</f>
        <v/>
      </c>
      <c r="Y28" s="163">
        <f t="shared" si="1"/>
        <v>7.666666666666667</v>
      </c>
      <c r="Z28" s="154" t="str">
        <f t="shared" si="16"/>
        <v/>
      </c>
      <c r="AA28" s="154">
        <f t="shared" si="2"/>
        <v>1</v>
      </c>
      <c r="AB28" s="479" t="str">
        <f t="shared" si="20"/>
        <v/>
      </c>
      <c r="AC28" s="475" t="str">
        <f t="shared" si="17"/>
        <v/>
      </c>
      <c r="AD28" s="118" t="str">
        <f t="shared" si="18"/>
        <v/>
      </c>
      <c r="AE28" s="261"/>
      <c r="AF28" s="325"/>
      <c r="AG28" s="119"/>
      <c r="AH28" s="328" t="str">
        <f t="shared" si="3"/>
        <v/>
      </c>
      <c r="AI28" s="13">
        <f t="shared" si="4"/>
        <v>1</v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19"/>
        <v>43887</v>
      </c>
      <c r="D29" s="646" t="s">
        <v>203</v>
      </c>
      <c r="E29" s="633" t="str">
        <f t="shared" si="5"/>
        <v/>
      </c>
      <c r="F29" s="634" t="str">
        <f t="shared" si="6"/>
        <v/>
      </c>
      <c r="G29" s="628" t="s">
        <v>184</v>
      </c>
      <c r="H29" s="128">
        <f t="shared" si="0"/>
        <v>1</v>
      </c>
      <c r="I29" s="127" t="str">
        <f t="shared" si="7"/>
        <v/>
      </c>
      <c r="J29" s="299"/>
      <c r="K29" s="86">
        <v>20.55</v>
      </c>
      <c r="L29" s="11">
        <v>5</v>
      </c>
      <c r="M29" s="11"/>
      <c r="N29" s="369"/>
      <c r="O29" s="371">
        <f t="shared" si="8"/>
        <v>20.916666666666668</v>
      </c>
      <c r="P29" s="73">
        <f t="shared" si="9"/>
        <v>5</v>
      </c>
      <c r="Q29" s="73">
        <f t="shared" si="10"/>
        <v>0</v>
      </c>
      <c r="R29" s="73">
        <f t="shared" si="11"/>
        <v>0</v>
      </c>
      <c r="S29" s="73">
        <v>0.2</v>
      </c>
      <c r="T29" s="73">
        <f t="shared" si="12"/>
        <v>0.33333333333333337</v>
      </c>
      <c r="U29" s="12">
        <f t="shared" si="13"/>
        <v>7.7499999999999991</v>
      </c>
      <c r="V29" s="372">
        <f t="shared" si="14"/>
        <v>8</v>
      </c>
      <c r="W29" s="114">
        <f t="shared" si="15"/>
        <v>7.7499999999999991</v>
      </c>
      <c r="X29" s="161" t="str">
        <f>+IF(D29="cp",(I29*'Récapitulatif '!$AJ$3),"")</f>
        <v/>
      </c>
      <c r="Y29" s="163">
        <f t="shared" si="1"/>
        <v>7.666666666666667</v>
      </c>
      <c r="Z29" s="154" t="str">
        <f t="shared" si="16"/>
        <v/>
      </c>
      <c r="AA29" s="154">
        <f t="shared" si="2"/>
        <v>1</v>
      </c>
      <c r="AB29" s="479" t="str">
        <f t="shared" si="20"/>
        <v/>
      </c>
      <c r="AC29" s="475" t="str">
        <f t="shared" si="17"/>
        <v/>
      </c>
      <c r="AD29" s="118" t="str">
        <f t="shared" si="18"/>
        <v/>
      </c>
      <c r="AE29" s="261"/>
      <c r="AF29" s="325"/>
      <c r="AG29" s="119"/>
      <c r="AH29" s="328" t="str">
        <f t="shared" si="3"/>
        <v/>
      </c>
      <c r="AI29" s="13">
        <f t="shared" si="4"/>
        <v>1</v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19"/>
        <v>43888</v>
      </c>
      <c r="D30" s="646" t="s">
        <v>203</v>
      </c>
      <c r="E30" s="633" t="str">
        <f t="shared" si="5"/>
        <v/>
      </c>
      <c r="F30" s="634" t="str">
        <f t="shared" si="6"/>
        <v/>
      </c>
      <c r="G30" s="628" t="s">
        <v>184</v>
      </c>
      <c r="H30" s="128">
        <f t="shared" si="0"/>
        <v>1</v>
      </c>
      <c r="I30" s="127" t="str">
        <f t="shared" si="7"/>
        <v/>
      </c>
      <c r="J30" s="299"/>
      <c r="K30" s="86">
        <v>20.55</v>
      </c>
      <c r="L30" s="11">
        <v>5</v>
      </c>
      <c r="M30" s="11"/>
      <c r="N30" s="369"/>
      <c r="O30" s="371">
        <f t="shared" si="8"/>
        <v>20.916666666666668</v>
      </c>
      <c r="P30" s="73">
        <f t="shared" si="9"/>
        <v>5</v>
      </c>
      <c r="Q30" s="73">
        <f t="shared" si="10"/>
        <v>0</v>
      </c>
      <c r="R30" s="73">
        <f t="shared" si="11"/>
        <v>0</v>
      </c>
      <c r="S30" s="73">
        <v>0.2</v>
      </c>
      <c r="T30" s="73">
        <f t="shared" si="12"/>
        <v>0.33333333333333337</v>
      </c>
      <c r="U30" s="12">
        <f t="shared" si="13"/>
        <v>7.7499999999999991</v>
      </c>
      <c r="V30" s="372">
        <f t="shared" si="14"/>
        <v>8</v>
      </c>
      <c r="W30" s="114">
        <f t="shared" si="15"/>
        <v>7.7499999999999991</v>
      </c>
      <c r="X30" s="161" t="str">
        <f>+IF(D30="cp",(I30*'Récapitulatif '!$AJ$3),"")</f>
        <v/>
      </c>
      <c r="Y30" s="163">
        <f t="shared" si="1"/>
        <v>7.666666666666667</v>
      </c>
      <c r="Z30" s="154" t="str">
        <f t="shared" si="16"/>
        <v/>
      </c>
      <c r="AA30" s="154">
        <f t="shared" si="2"/>
        <v>1</v>
      </c>
      <c r="AB30" s="479" t="str">
        <f t="shared" si="20"/>
        <v/>
      </c>
      <c r="AC30" s="475" t="str">
        <f t="shared" si="17"/>
        <v/>
      </c>
      <c r="AD30" s="118" t="str">
        <f t="shared" si="18"/>
        <v/>
      </c>
      <c r="AE30" s="261"/>
      <c r="AF30" s="325"/>
      <c r="AG30" s="119"/>
      <c r="AH30" s="328" t="str">
        <f t="shared" si="3"/>
        <v/>
      </c>
      <c r="AI30" s="13">
        <f t="shared" si="4"/>
        <v>1</v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19"/>
        <v>43889</v>
      </c>
      <c r="D31" s="646"/>
      <c r="E31" s="633" t="str">
        <f t="shared" si="5"/>
        <v/>
      </c>
      <c r="F31" s="634" t="str">
        <f t="shared" si="6"/>
        <v/>
      </c>
      <c r="G31" s="626"/>
      <c r="H31" s="128" t="str">
        <f t="shared" si="0"/>
        <v/>
      </c>
      <c r="I31" s="127" t="str">
        <f t="shared" si="7"/>
        <v/>
      </c>
      <c r="J31" s="299"/>
      <c r="K31" s="86"/>
      <c r="L31" s="11"/>
      <c r="M31" s="11"/>
      <c r="N31" s="369"/>
      <c r="O31" s="371">
        <f t="shared" si="8"/>
        <v>0</v>
      </c>
      <c r="P31" s="73">
        <f t="shared" si="9"/>
        <v>0</v>
      </c>
      <c r="Q31" s="73">
        <f t="shared" si="10"/>
        <v>0</v>
      </c>
      <c r="R31" s="73">
        <f t="shared" si="11"/>
        <v>0</v>
      </c>
      <c r="S31" s="73">
        <v>0.2</v>
      </c>
      <c r="T31" s="73">
        <f t="shared" si="12"/>
        <v>0.33333333333333337</v>
      </c>
      <c r="U31" s="12" t="str">
        <f t="shared" si="13"/>
        <v/>
      </c>
      <c r="V31" s="372" t="e">
        <f t="shared" si="14"/>
        <v>#VALUE!</v>
      </c>
      <c r="W31" s="114" t="str">
        <f t="shared" si="15"/>
        <v/>
      </c>
      <c r="X31" s="161" t="str">
        <f>+IF(D31="cp",(I31*'Récapitulatif '!$AJ$3),"")</f>
        <v/>
      </c>
      <c r="Y31" s="163" t="str">
        <f t="shared" si="1"/>
        <v/>
      </c>
      <c r="Z31" s="154" t="str">
        <f t="shared" si="16"/>
        <v/>
      </c>
      <c r="AA31" s="154" t="str">
        <f t="shared" si="2"/>
        <v/>
      </c>
      <c r="AB31" s="479" t="str">
        <f t="shared" si="20"/>
        <v/>
      </c>
      <c r="AC31" s="475" t="str">
        <f t="shared" si="17"/>
        <v/>
      </c>
      <c r="AD31" s="118" t="str">
        <f t="shared" si="18"/>
        <v/>
      </c>
      <c r="AE31" s="261"/>
      <c r="AF31" s="325"/>
      <c r="AG31" s="119"/>
      <c r="AH31" s="328" t="str">
        <f t="shared" si="3"/>
        <v/>
      </c>
      <c r="AI31" s="13" t="str">
        <f t="shared" si="4"/>
        <v/>
      </c>
    </row>
    <row r="32" spans="1:38">
      <c r="A32" s="482" t="str">
        <f>IFERROR(IF(WEEKDAY(C32,2)=1,INT((C32-SUM(MOD(DATE(YEAR(C32-MOD(C32-2,7)+3),1,2),{1E+99;7})*{1;-1})+5)/7),""),"")</f>
        <v/>
      </c>
      <c r="B32" s="482" t="str">
        <f>IF(A32&lt;&gt;"",VLOOKUP(A32,juin!$L$49:$M$101,2,FALSE),"")</f>
        <v/>
      </c>
      <c r="C32" s="112">
        <f>+IF(MONTH(C$31+1)=MONTH(C$31)+1,"",C$31+1)</f>
        <v>43890</v>
      </c>
      <c r="D32" s="646"/>
      <c r="E32" s="633" t="str">
        <f t="shared" si="5"/>
        <v/>
      </c>
      <c r="F32" s="634" t="str">
        <f t="shared" si="6"/>
        <v/>
      </c>
      <c r="G32" s="626"/>
      <c r="H32" s="128" t="str">
        <f t="shared" si="0"/>
        <v/>
      </c>
      <c r="I32" s="127" t="str">
        <f t="shared" si="7"/>
        <v/>
      </c>
      <c r="J32" s="299"/>
      <c r="K32" s="86"/>
      <c r="L32" s="11"/>
      <c r="M32" s="11"/>
      <c r="N32" s="369"/>
      <c r="O32" s="371">
        <f t="shared" si="8"/>
        <v>0</v>
      </c>
      <c r="P32" s="73">
        <f t="shared" si="9"/>
        <v>0</v>
      </c>
      <c r="Q32" s="73">
        <f t="shared" si="10"/>
        <v>0</v>
      </c>
      <c r="R32" s="73">
        <f t="shared" si="11"/>
        <v>0</v>
      </c>
      <c r="S32" s="73">
        <v>0.2</v>
      </c>
      <c r="T32" s="73">
        <f t="shared" si="12"/>
        <v>0.33333333333333337</v>
      </c>
      <c r="U32" s="12" t="str">
        <f t="shared" si="13"/>
        <v/>
      </c>
      <c r="V32" s="372" t="e">
        <f t="shared" si="14"/>
        <v>#VALUE!</v>
      </c>
      <c r="W32" s="114" t="str">
        <f t="shared" si="15"/>
        <v/>
      </c>
      <c r="X32" s="161" t="str">
        <f>+IF(D32="cp",(I32*'Récapitulatif '!$AJ$3),"")</f>
        <v/>
      </c>
      <c r="Y32" s="163" t="str">
        <f t="shared" si="1"/>
        <v/>
      </c>
      <c r="Z32" s="154" t="str">
        <f t="shared" si="16"/>
        <v/>
      </c>
      <c r="AA32" s="154" t="str">
        <f t="shared" si="2"/>
        <v/>
      </c>
      <c r="AB32" s="479" t="str">
        <f>+IF(C32="","",IF(WEEKDAY(C32)=1,SUM(W26:X32),""))</f>
        <v/>
      </c>
      <c r="AC32" s="475" t="str">
        <f>+IF(C32="","",IF(AND(WEEKDAY(C32)=7,D32="N"),(24-O32),IF(WEEKDAY(C32)=7,W32,IF(AND(WEEKDAY(C32)=6,D32="N"),(L32-0.33),IF(WEEKDAY(C32)=7,W32,"")))))</f>
        <v/>
      </c>
      <c r="AD32" s="118" t="str">
        <f>+IF(C32="","",IF(AND(WEEKDAY(C32)=1,D32="N"),(24-O32),IF(WEEKDAY(C32)=1,W32,IF(AND(WEEKDAY(C32)=7,D32="N"),(L32-0.33),IF(WEEKDAY(C32)=1,W32,"")))))</f>
        <v/>
      </c>
      <c r="AE32" s="261"/>
      <c r="AF32" s="325"/>
      <c r="AG32" s="119"/>
      <c r="AH32" s="328" t="str">
        <f t="shared" si="3"/>
        <v/>
      </c>
      <c r="AI32" s="13" t="str">
        <f t="shared" si="4"/>
        <v/>
      </c>
    </row>
    <row r="33" spans="1:39">
      <c r="A33" s="482" t="str">
        <f>IFERROR(IF(WEEKDAY(C33,2)=1,INT((C33-SUM(MOD(DATE(YEAR(C33-MOD(C33-2,7)+3),1,2),{1E+99;7})*{1;-1})+5)/7),""),"")</f>
        <v/>
      </c>
      <c r="B33" s="482" t="str">
        <f>IF(A33&lt;&gt;"",VLOOKUP(A33,juin!$L$49:$M$101,2,FALSE),"")</f>
        <v/>
      </c>
      <c r="C33" s="112" t="str">
        <f>+IF(MONTH(C$31+2)=MONTH(C$31)+1,"",C$31+2)</f>
        <v/>
      </c>
      <c r="D33" s="647"/>
      <c r="E33" s="633" t="e">
        <f t="shared" si="5"/>
        <v>#VALUE!</v>
      </c>
      <c r="F33" s="634" t="e">
        <f t="shared" si="6"/>
        <v>#VALUE!</v>
      </c>
      <c r="G33" s="626"/>
      <c r="H33" s="128" t="str">
        <f t="shared" si="0"/>
        <v/>
      </c>
      <c r="I33" s="127" t="str">
        <f t="shared" si="7"/>
        <v/>
      </c>
      <c r="J33" s="299"/>
      <c r="K33" s="86"/>
      <c r="L33" s="11"/>
      <c r="M33" s="11"/>
      <c r="N33" s="369"/>
      <c r="O33" s="371">
        <f t="shared" si="8"/>
        <v>0</v>
      </c>
      <c r="P33" s="73">
        <f t="shared" si="9"/>
        <v>0</v>
      </c>
      <c r="Q33" s="73">
        <f t="shared" si="10"/>
        <v>0</v>
      </c>
      <c r="R33" s="73">
        <f t="shared" si="11"/>
        <v>0</v>
      </c>
      <c r="S33" s="73">
        <v>0.2</v>
      </c>
      <c r="T33" s="73">
        <f t="shared" si="12"/>
        <v>0.33333333333333337</v>
      </c>
      <c r="U33" s="12" t="str">
        <f t="shared" si="13"/>
        <v/>
      </c>
      <c r="V33" s="372" t="e">
        <f t="shared" si="14"/>
        <v>#VALUE!</v>
      </c>
      <c r="W33" s="114" t="str">
        <f t="shared" si="15"/>
        <v/>
      </c>
      <c r="X33" s="161" t="str">
        <f>+IF(D33="cp",(I33*'Récapitulatif '!$AJ$3),"")</f>
        <v/>
      </c>
      <c r="Y33" s="163" t="str">
        <f t="shared" si="1"/>
        <v/>
      </c>
      <c r="Z33" s="154" t="str">
        <f t="shared" si="16"/>
        <v/>
      </c>
      <c r="AA33" s="154" t="str">
        <f t="shared" si="2"/>
        <v/>
      </c>
      <c r="AB33" s="479"/>
      <c r="AC33" s="475" t="str">
        <f>+IF(C33="","",IF(AND(WEEKDAY(C33)=7,D33="N"),(24-O33),IF(WEEKDAY(C33)=7,W33,IF(AND(WEEKDAY(C33)=6,D33="N"),(L33-0.33),IF(WEEKDAY(C33)=7,W33,"")))))</f>
        <v/>
      </c>
      <c r="AD33" s="118" t="str">
        <f>+IF(C33="","",IF(AND(WEEKDAY(C33)=1,D33="N"),(24-O33),IF(WEEKDAY(C33)=1,W33,IF(AND(WEEKDAY(C33)=7,D33="N"),(L33-0.33),IF(WEEKDAY(C33)=1,W33,"")))))</f>
        <v/>
      </c>
      <c r="AE33" s="261"/>
      <c r="AF33" s="325"/>
      <c r="AG33" s="119"/>
      <c r="AH33" s="328" t="str">
        <f t="shared" si="3"/>
        <v/>
      </c>
      <c r="AI33" s="13" t="str">
        <f t="shared" si="4"/>
        <v/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/>
      <c r="D34" s="648"/>
      <c r="E34" s="635" t="str">
        <f t="shared" si="5"/>
        <v/>
      </c>
      <c r="F34" s="636" t="str">
        <f t="shared" si="6"/>
        <v/>
      </c>
      <c r="G34" s="627"/>
      <c r="H34" s="128" t="str">
        <f t="shared" si="0"/>
        <v/>
      </c>
      <c r="I34" s="127" t="str">
        <f t="shared" si="7"/>
        <v/>
      </c>
      <c r="J34" s="300"/>
      <c r="K34" s="87"/>
      <c r="L34" s="14"/>
      <c r="M34" s="14"/>
      <c r="N34" s="370"/>
      <c r="O34" s="373"/>
      <c r="P34" s="202"/>
      <c r="Q34" s="202"/>
      <c r="R34" s="202"/>
      <c r="S34" s="202"/>
      <c r="T34" s="202"/>
      <c r="U34" s="203"/>
      <c r="V34" s="374"/>
      <c r="W34" s="115"/>
      <c r="X34" s="204" t="str">
        <f>+IF(D34="cp",(I34*'Récapitulatif '!$AJ$3),"")</f>
        <v/>
      </c>
      <c r="Y34" s="164"/>
      <c r="Z34" s="154" t="str">
        <f t="shared" si="16"/>
        <v/>
      </c>
      <c r="AA34" s="154" t="str">
        <f t="shared" si="2"/>
        <v/>
      </c>
      <c r="AB34" s="480"/>
      <c r="AC34" s="476"/>
      <c r="AD34" s="120" t="str">
        <f t="shared" si="18"/>
        <v/>
      </c>
      <c r="AE34" s="262"/>
      <c r="AF34" s="326"/>
      <c r="AG34" s="131"/>
      <c r="AH34" s="329"/>
      <c r="AI34" s="15"/>
    </row>
    <row r="35" spans="1:39" ht="13.5" hidden="1" thickBot="1">
      <c r="A35" s="481" t="str">
        <f>IF(WEEKDAY(C35,2)=1,NO.SEMAINE(C35),"")</f>
        <v/>
      </c>
      <c r="B35" s="482" t="str">
        <f>IF(A35&lt;&gt;"",VLOOKUP(A35,juin!$L$49:$M$101,2,FALSE),"")</f>
        <v/>
      </c>
      <c r="C35" s="191"/>
      <c r="D35" s="192"/>
      <c r="E35" s="192"/>
      <c r="F35" s="622" t="str">
        <f t="shared" si="6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+IF(WEEKDAY(C27)=2,SUM(W27:X33),IF(WEEKDAY(C28)=2,SUM(W28:X33),IF(WEEKDAY(C29)=2,SUM(W29:X33),IF(WEEKDAY(C30)=2,SUM(W30:X33),IF(WEEKDAY(C31)=2,SUM(W31:X33),IF(WEEKDAY(C32)=2,SUM(W32:X33),IF(WEEKDAY(C33)=2,SUM(W33:X33),"")))))))</f>
        <v>30.999999999999996</v>
      </c>
      <c r="AC35" s="199"/>
      <c r="AD35" s="199"/>
      <c r="AE35" s="174" t="e">
        <f>+IF(OR($C$4:$C$34=C99),W35,"")</f>
        <v>#VALUE!</v>
      </c>
      <c r="AF35" s="269"/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0</v>
      </c>
      <c r="E37" s="609"/>
      <c r="F37" s="609"/>
      <c r="G37" s="836" t="s">
        <v>206</v>
      </c>
      <c r="H37" s="837"/>
      <c r="I37" s="837"/>
      <c r="J37" s="837"/>
      <c r="K37" s="616">
        <f>IFERROR(SUM(E4:E32),)</f>
        <v>0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141.58333333333334</v>
      </c>
      <c r="X37" s="151">
        <f>SUM(X4:X34)</f>
        <v>0</v>
      </c>
      <c r="Y37" s="117">
        <f>SUM(Y4:Y34)</f>
        <v>44.75</v>
      </c>
      <c r="Z37" s="155">
        <f>SUM(Z4:Z34)</f>
        <v>0</v>
      </c>
      <c r="AA37" s="155">
        <f>SUM(AA4:AA34)-Z37</f>
        <v>5</v>
      </c>
      <c r="AC37" s="121">
        <f t="shared" ref="AC37:AI37" si="21">SUM(AC4:AC34)</f>
        <v>0</v>
      </c>
      <c r="AD37" s="122">
        <f t="shared" si="21"/>
        <v>10.666666666666668</v>
      </c>
      <c r="AE37" s="123">
        <f t="shared" si="21"/>
        <v>0</v>
      </c>
      <c r="AF37" s="121">
        <f t="shared" si="21"/>
        <v>0</v>
      </c>
      <c r="AG37" s="123">
        <f t="shared" si="21"/>
        <v>0</v>
      </c>
      <c r="AH37" s="314">
        <f t="shared" si="21"/>
        <v>12</v>
      </c>
      <c r="AI37" s="23">
        <f t="shared" si="21"/>
        <v>5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19</v>
      </c>
      <c r="E39" s="609"/>
      <c r="F39" s="609"/>
      <c r="G39" s="836" t="s">
        <v>207</v>
      </c>
      <c r="H39" s="837"/>
      <c r="I39" s="837"/>
      <c r="J39" s="837"/>
      <c r="K39" s="616">
        <f>IFERROR(SUM(F4:F32),)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142.25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0.83333333333333337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Janvier!AE41+Y41-AC41</f>
        <v>55.06333333333334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44</v>
      </c>
      <c r="M43" s="598">
        <f>COUNTIF($D$4:$D$33,"M")</f>
        <v>6</v>
      </c>
      <c r="N43" s="222"/>
      <c r="W43" s="222"/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59.583333333333329</v>
      </c>
      <c r="M44" s="599">
        <f>COUNTIF($D$4:$D$34,"aM")</f>
        <v>8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38.666666666666664</v>
      </c>
      <c r="M45" s="600">
        <f>COUNTIF($D$4:$D$34,"n")</f>
        <v>5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59" spans="3:14" ht="13.5" hidden="1" thickBot="1"/>
    <row r="60" spans="3:14" hidden="1">
      <c r="C60" s="813" t="s">
        <v>108</v>
      </c>
      <c r="D60" s="814"/>
      <c r="E60" s="814"/>
      <c r="F60" s="814"/>
      <c r="G60" s="815"/>
    </row>
    <row r="61" spans="3:14" ht="13.5" hidden="1" thickBot="1">
      <c r="C61" s="816">
        <f>+Janvier!C61</f>
        <v>2020</v>
      </c>
      <c r="D61" s="817"/>
      <c r="E61" s="817"/>
      <c r="F61" s="817"/>
      <c r="G61" s="818"/>
    </row>
    <row r="62" spans="3:14" ht="15" hidden="1">
      <c r="C62" s="666">
        <f>+DATE(C61,1,1)</f>
        <v>43831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C61-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43934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43952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43959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43972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43983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44026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44058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44136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44146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44190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E6E4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35" priority="5" stopIfTrue="1">
      <formula>OR(WEEKDAY($C4)=1)</formula>
    </cfRule>
  </conditionalFormatting>
  <conditionalFormatting sqref="AB4:AB34">
    <cfRule type="expression" dxfId="34" priority="6" stopIfTrue="1">
      <formula>OR(WEEKDAY($C4)=1)</formula>
    </cfRule>
  </conditionalFormatting>
  <conditionalFormatting sqref="A35:B35">
    <cfRule type="expression" dxfId="33" priority="7" stopIfTrue="1">
      <formula>OR(WEEKDAY($C35)=1)</formula>
    </cfRule>
  </conditionalFormatting>
  <conditionalFormatting sqref="A4:B34 B5:B35">
    <cfRule type="expression" dxfId="32" priority="2" stopIfTrue="1">
      <formula>OR(WEEKDAY($C4)=1)</formula>
    </cfRule>
  </conditionalFormatting>
  <conditionalFormatting sqref="A4:B34 B5:B35">
    <cfRule type="expression" dxfId="31" priority="1" stopIfTrue="1">
      <formula>OR(WEEKDAY($C4)=1)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8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AM77"/>
  <sheetViews>
    <sheetView showGridLines="0" view="pageBreakPreview" zoomScaleNormal="75" zoomScaleSheetLayoutView="100" workbookViewId="0">
      <selection activeCell="N29" sqref="N29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IF(Février!C32="",(Février!C31+1),(Février!C32+1))</f>
        <v>43891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2.75" customHeight="1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43891</v>
      </c>
      <c r="D4" s="641"/>
      <c r="E4" s="633" t="str">
        <f>+IF(AND(WEEKDAY(C4)=1,D4="M"),1,"")</f>
        <v/>
      </c>
      <c r="F4" s="634" t="str">
        <f>+IF(AND(WEEKDAY(C4)=1,D4="N"),1,"")</f>
        <v/>
      </c>
      <c r="G4" s="625"/>
      <c r="H4" s="128" t="str">
        <f t="shared" ref="H4:H34" si="0">+IF(OR(D4="",D4="CP"),"",1)</f>
        <v/>
      </c>
      <c r="I4" s="127" t="str">
        <f>+IF(D4="CP",1,"")</f>
        <v/>
      </c>
      <c r="J4" s="298"/>
      <c r="K4" s="582"/>
      <c r="L4" s="8"/>
      <c r="M4" s="8"/>
      <c r="N4" s="368"/>
      <c r="O4" s="371">
        <f>+((K4-INT(K4))/60*100)+INT(K4)</f>
        <v>0</v>
      </c>
      <c r="P4" s="73">
        <f>+((L4-INT(L4))/60*100)+INT(L4)</f>
        <v>0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 t="str">
        <f>+IF(D4="","",IF(D4="CP","",IF(D4="J2",((N4-M4)+(L4-K4)),IF(O4&lt;P4,P4-O4,P4+24-O4)-T4)))</f>
        <v/>
      </c>
      <c r="V4" s="372" t="e">
        <f>IF(O4&lt;P4,IF(K4="","",IF(O4&gt;$D$75,24-O4,IF(O4&lt;$D$76,$D$76-O4,0)))+IF(P4&lt;$D$76,P4,IF(P4&gt;$D$75,P4-$D$75,0)),IF(K4="","",IF(O4&gt;$D$75,24-O4,IF(O4&lt;$D$76,$D$76-O4,3)))+IF(P4&lt;$D$76,P4,IF(P4&gt;$D$75,24-P4,P4)))</f>
        <v>#VALUE!</v>
      </c>
      <c r="W4" s="113" t="str">
        <f>+IF(U4&gt;=6,U4,IF(D4="J2",((N4-M4)+(L4-K4)),IF(O4&lt;P4,P4-O4,P4+24-O4)))</f>
        <v/>
      </c>
      <c r="X4" s="249" t="str">
        <f>+IF(D4="cp",(I4*'Récapitulatif '!$AJ$3),"")</f>
        <v/>
      </c>
      <c r="Y4" s="162" t="str">
        <f t="shared" ref="Y4:Y34" si="1">+IF(OR(D4="CP",D4=""),"",(IF(V4&gt;6,V4-T4,V4)))</f>
        <v/>
      </c>
      <c r="Z4" s="154" t="str">
        <f>+IF(D4="CP",1,"")</f>
        <v/>
      </c>
      <c r="AA4" s="154" t="str">
        <f t="shared" ref="AA4:AA34" si="2">+IF(AND(Y4&gt;=3,D4&lt;&gt;""),1,"")</f>
        <v/>
      </c>
      <c r="AB4" s="478">
        <f>+IF(WEEKDAY(C4)=1,(SUM(W$4:X4)+(Février!$AB$35)),"")</f>
        <v>30.999999999999996</v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+AG4</f>
        <v/>
      </c>
      <c r="AF4" s="381" t="str">
        <f>IF($C$4:$C$43=$C$63,'Récapitulatif '!$AJ$3,"")</f>
        <v/>
      </c>
      <c r="AG4" s="294" t="str">
        <f t="shared" ref="AG4:AG34" si="3">+IF(AND($C$4:$C$43=($C$63-1),$D$4:$D$43="N"),(L4-T4),IF(AND($C$4:$C$43=($C$63),$D$4:$D$43="N"),(24-K4),IF($C$4:$C$43=$C$63,$W4,"")))</f>
        <v/>
      </c>
      <c r="AH4" s="380" t="str">
        <f t="shared" ref="AH4:AH34" si="4">IF(K4="","",IF(D4="J2","",IF(AI4=1,"",IF(U4&gt;=6,1,""))))</f>
        <v/>
      </c>
      <c r="AI4" s="9" t="str">
        <f t="shared" ref="AI4:AI34" si="5">+IF(K4="","",IF(Y4&gt;=4,1,""))</f>
        <v/>
      </c>
      <c r="AJ4" s="10"/>
      <c r="AL4" s="92" t="s">
        <v>64</v>
      </c>
    </row>
    <row r="5" spans="1:38">
      <c r="A5" s="482">
        <f>IF(WEEKDAY(C5,2)=1,INT((C5-SUM(MOD(DATE(YEAR(C5-MOD(C5-2,7)+3),1,2),{1E+99;7})*{1;-1})+5)/7),"")</f>
        <v>10</v>
      </c>
      <c r="B5" s="482" t="str">
        <f>IF(A5&lt;&gt;"",VLOOKUP(A5,juin!$L$49:$M$101,2,FALSE),"")</f>
        <v>A - Midi</v>
      </c>
      <c r="C5" s="112">
        <f>+C4+1</f>
        <v>43892</v>
      </c>
      <c r="D5" s="643" t="s">
        <v>202</v>
      </c>
      <c r="E5" s="633" t="str">
        <f t="shared" ref="E5:E34" si="6">+IF(AND(WEEKDAY(C5)=1,D5="M"),1,"")</f>
        <v/>
      </c>
      <c r="F5" s="634" t="str">
        <f t="shared" ref="F5:F35" si="7">+IF(AND(WEEKDAY(C5)=1,D5="N"),1,"")</f>
        <v/>
      </c>
      <c r="G5" s="626" t="s">
        <v>186</v>
      </c>
      <c r="H5" s="128">
        <f t="shared" si="0"/>
        <v>1</v>
      </c>
      <c r="I5" s="127" t="str">
        <f t="shared" ref="I5:I34" si="8">+IF(D5="CP",1,"")</f>
        <v/>
      </c>
      <c r="J5" s="299"/>
      <c r="K5" s="86">
        <v>12.55</v>
      </c>
      <c r="L5" s="11">
        <v>21</v>
      </c>
      <c r="M5" s="11"/>
      <c r="N5" s="369"/>
      <c r="O5" s="371">
        <f t="shared" ref="O5:O34" si="9">+((K5-INT(K5))/60*100)+INT(K5)</f>
        <v>12.916666666666668</v>
      </c>
      <c r="P5" s="73">
        <f t="shared" ref="P5:P34" si="10">+((L5-INT(L5))/60*100)+INT(L5)</f>
        <v>21</v>
      </c>
      <c r="Q5" s="73">
        <f t="shared" ref="Q5:Q34" si="11">+((M5-INT(M5))/60*100)+INT(M5)</f>
        <v>0</v>
      </c>
      <c r="R5" s="73">
        <f t="shared" ref="R5:R34" si="12">+((N5-INT(N5))/60*100)+INT(N5)</f>
        <v>0</v>
      </c>
      <c r="S5" s="73">
        <v>0.2</v>
      </c>
      <c r="T5" s="73">
        <f t="shared" ref="T5:T34" si="13">+(S5/60*100)</f>
        <v>0.33333333333333337</v>
      </c>
      <c r="U5" s="12">
        <f t="shared" ref="U5:U34" si="14">+IF(D5="","",IF(D5="CP","",IF(D5="J2",((N5-M5)+(L5-K5)),IF(O5&lt;P5,P5-O5,P5+24-O5)-T5)))</f>
        <v>7.7499999999999991</v>
      </c>
      <c r="V5" s="372">
        <f t="shared" ref="V5:V35" si="15">IF(O5&lt;P5,IF(K5="","",IF(O5&gt;$D$75,24-O5,IF(O5&lt;$D$76,$D$76-O5,0)))+IF(P5&lt;$D$76,P5,IF(P5&gt;$D$75,P5-$D$75,0)),IF(K5="","",IF(O5&gt;$D$75,24-O5,IF(O5&lt;$D$76,$D$76-O5,3)))+IF(P5&lt;$D$76,P5,IF(P5&gt;$D$75,24-P5,P5)))</f>
        <v>0</v>
      </c>
      <c r="W5" s="114">
        <f t="shared" ref="W5:W34" si="16">+IF(U5&gt;=6,U5,IF(D5="J2",((N5-M5)+(L5-K5)),IF(O5&lt;P5,P5-O5,P5+24-O5)))</f>
        <v>7.7499999999999991</v>
      </c>
      <c r="X5" s="161" t="str">
        <f>+IF(D5="cp",(I5*'Récapitulatif '!$AJ$3),"")</f>
        <v/>
      </c>
      <c r="Y5" s="163">
        <f t="shared" si="1"/>
        <v>0</v>
      </c>
      <c r="Z5" s="154" t="str">
        <f t="shared" ref="Z5:Z34" si="17">+IF(D5="CP",1,"")</f>
        <v/>
      </c>
      <c r="AA5" s="154" t="str">
        <f t="shared" si="2"/>
        <v/>
      </c>
      <c r="AB5" s="479" t="str">
        <f>+IF(WEEKDAY(C5)=1,(SUM(W$4:X5)+(Février!$AB$35)),"")</f>
        <v/>
      </c>
      <c r="AC5" s="475" t="str">
        <f t="shared" ref="AC5:AC34" si="18">+IF(AND(WEEKDAY(C5)=7,D5="N"),(24-O5),IF(WEEKDAY(C5)=7,W5,IF(AND(WEEKDAY(C5)=6,D5="N"),(L5-0.33),IF(WEEKDAY(C5)=7,W5,""))))</f>
        <v/>
      </c>
      <c r="AD5" s="118" t="str">
        <f t="shared" ref="AD5:AD34" si="19">+IF(AND(WEEKDAY(C5)=1,D5="N"),(24-O5),IF(WEEKDAY(C5)=1,W5,IF(AND(WEEKDAY(C5)=7,D5="N"),(L5-0.33),IF(WEEKDAY(C5)=1,W5,""))))</f>
        <v/>
      </c>
      <c r="AE5" s="261" t="str">
        <f t="shared" ref="AE5:AE34" si="20">+AG5</f>
        <v/>
      </c>
      <c r="AF5" s="382" t="str">
        <f>IF($C$4:$C$43=$C$63,'Récapitulatif '!$AJ$3,"")</f>
        <v/>
      </c>
      <c r="AG5" s="119" t="str">
        <f t="shared" si="3"/>
        <v/>
      </c>
      <c r="AH5" s="218">
        <f t="shared" si="4"/>
        <v>1</v>
      </c>
      <c r="AI5" s="13" t="str">
        <f t="shared" si="5"/>
        <v/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1">+C5+1</f>
        <v>43893</v>
      </c>
      <c r="D6" s="643" t="s">
        <v>202</v>
      </c>
      <c r="E6" s="633" t="s">
        <v>224</v>
      </c>
      <c r="F6" s="634" t="s">
        <v>224</v>
      </c>
      <c r="G6" s="626" t="s">
        <v>186</v>
      </c>
      <c r="H6" s="128">
        <f t="shared" si="0"/>
        <v>1</v>
      </c>
      <c r="I6" s="127" t="str">
        <f t="shared" si="8"/>
        <v/>
      </c>
      <c r="J6" s="299"/>
      <c r="K6" s="86">
        <v>12.55</v>
      </c>
      <c r="L6" s="11">
        <v>21</v>
      </c>
      <c r="M6" s="11"/>
      <c r="N6" s="369"/>
      <c r="O6" s="371">
        <f t="shared" si="9"/>
        <v>12.916666666666668</v>
      </c>
      <c r="P6" s="73">
        <f t="shared" si="10"/>
        <v>21</v>
      </c>
      <c r="Q6" s="73">
        <f t="shared" si="11"/>
        <v>0</v>
      </c>
      <c r="R6" s="73">
        <f t="shared" si="12"/>
        <v>0</v>
      </c>
      <c r="S6" s="73">
        <v>0.2</v>
      </c>
      <c r="T6" s="73">
        <f t="shared" si="13"/>
        <v>0.33333333333333337</v>
      </c>
      <c r="U6" s="12">
        <f t="shared" si="14"/>
        <v>7.7499999999999991</v>
      </c>
      <c r="V6" s="372">
        <f t="shared" si="15"/>
        <v>0</v>
      </c>
      <c r="W6" s="114">
        <f t="shared" si="16"/>
        <v>7.7499999999999991</v>
      </c>
      <c r="X6" s="161" t="str">
        <f>+IF(D6="cp",(I6*'Récapitulatif '!$AJ$3),"")</f>
        <v/>
      </c>
      <c r="Y6" s="163">
        <f t="shared" si="1"/>
        <v>0</v>
      </c>
      <c r="Z6" s="154" t="str">
        <f t="shared" si="17"/>
        <v/>
      </c>
      <c r="AA6" s="154" t="str">
        <f t="shared" si="2"/>
        <v/>
      </c>
      <c r="AB6" s="479" t="str">
        <f>+IF(WEEKDAY(C6)=1,(SUM(W$4:X6)+(Février!$AB$35)),"")</f>
        <v/>
      </c>
      <c r="AC6" s="475" t="str">
        <f t="shared" si="18"/>
        <v/>
      </c>
      <c r="AD6" s="118" t="str">
        <f t="shared" si="19"/>
        <v/>
      </c>
      <c r="AE6" s="261" t="str">
        <f t="shared" si="20"/>
        <v/>
      </c>
      <c r="AF6" s="382" t="str">
        <f>IF($C$4:$C$43=$C$63,'Récapitulatif '!$AJ$3,"")</f>
        <v/>
      </c>
      <c r="AG6" s="119" t="str">
        <f t="shared" si="3"/>
        <v/>
      </c>
      <c r="AH6" s="218">
        <f t="shared" si="4"/>
        <v>1</v>
      </c>
      <c r="AI6" s="13" t="str">
        <f t="shared" si="5"/>
        <v/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21"/>
        <v>43894</v>
      </c>
      <c r="D7" s="643" t="s">
        <v>202</v>
      </c>
      <c r="E7" s="633" t="s">
        <v>224</v>
      </c>
      <c r="F7" s="634" t="s">
        <v>224</v>
      </c>
      <c r="G7" s="626" t="s">
        <v>186</v>
      </c>
      <c r="H7" s="128">
        <f t="shared" si="0"/>
        <v>1</v>
      </c>
      <c r="I7" s="127" t="str">
        <f t="shared" si="8"/>
        <v/>
      </c>
      <c r="J7" s="299"/>
      <c r="K7" s="86">
        <v>12.55</v>
      </c>
      <c r="L7" s="11">
        <v>21</v>
      </c>
      <c r="M7" s="11"/>
      <c r="N7" s="369"/>
      <c r="O7" s="371">
        <f t="shared" si="9"/>
        <v>12.916666666666668</v>
      </c>
      <c r="P7" s="73">
        <f t="shared" si="10"/>
        <v>21</v>
      </c>
      <c r="Q7" s="73">
        <f t="shared" si="11"/>
        <v>0</v>
      </c>
      <c r="R7" s="73">
        <f t="shared" si="12"/>
        <v>0</v>
      </c>
      <c r="S7" s="73">
        <v>0.2</v>
      </c>
      <c r="T7" s="73">
        <f t="shared" si="13"/>
        <v>0.33333333333333337</v>
      </c>
      <c r="U7" s="12">
        <f t="shared" si="14"/>
        <v>7.7499999999999991</v>
      </c>
      <c r="V7" s="372">
        <f t="shared" si="15"/>
        <v>0</v>
      </c>
      <c r="W7" s="114">
        <f t="shared" si="16"/>
        <v>7.7499999999999991</v>
      </c>
      <c r="X7" s="161" t="str">
        <f>+IF(D7="cp",(I7*'Récapitulatif '!$AJ$3),"")</f>
        <v/>
      </c>
      <c r="Y7" s="163">
        <f t="shared" si="1"/>
        <v>0</v>
      </c>
      <c r="Z7" s="154" t="str">
        <f t="shared" si="17"/>
        <v/>
      </c>
      <c r="AA7" s="154" t="str">
        <f t="shared" si="2"/>
        <v/>
      </c>
      <c r="AB7" s="479" t="str">
        <f>+IF(WEEKDAY(C7)=1,(SUM(W$4:X7)+(Février!$AB$35)),"")</f>
        <v/>
      </c>
      <c r="AC7" s="475" t="str">
        <f t="shared" si="18"/>
        <v/>
      </c>
      <c r="AD7" s="118" t="str">
        <f t="shared" si="19"/>
        <v/>
      </c>
      <c r="AE7" s="261" t="str">
        <f t="shared" si="20"/>
        <v/>
      </c>
      <c r="AF7" s="382" t="str">
        <f>IF($C$4:$C$43=$C$63,'Récapitulatif '!$AJ$3,"")</f>
        <v/>
      </c>
      <c r="AG7" s="119" t="str">
        <f t="shared" si="3"/>
        <v/>
      </c>
      <c r="AH7" s="218">
        <f t="shared" si="4"/>
        <v>1</v>
      </c>
      <c r="AI7" s="13" t="str">
        <f t="shared" si="5"/>
        <v/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21"/>
        <v>43895</v>
      </c>
      <c r="D8" s="643" t="s">
        <v>202</v>
      </c>
      <c r="E8" s="633" t="s">
        <v>224</v>
      </c>
      <c r="F8" s="634" t="s">
        <v>224</v>
      </c>
      <c r="G8" s="626" t="s">
        <v>186</v>
      </c>
      <c r="H8" s="128">
        <f t="shared" si="0"/>
        <v>1</v>
      </c>
      <c r="I8" s="127" t="str">
        <f t="shared" si="8"/>
        <v/>
      </c>
      <c r="J8" s="299"/>
      <c r="K8" s="86">
        <v>12.55</v>
      </c>
      <c r="L8" s="11">
        <v>21</v>
      </c>
      <c r="M8" s="11"/>
      <c r="N8" s="369"/>
      <c r="O8" s="371">
        <f t="shared" si="9"/>
        <v>12.916666666666668</v>
      </c>
      <c r="P8" s="73">
        <f t="shared" si="10"/>
        <v>21</v>
      </c>
      <c r="Q8" s="73">
        <f t="shared" si="11"/>
        <v>0</v>
      </c>
      <c r="R8" s="73">
        <f t="shared" si="12"/>
        <v>0</v>
      </c>
      <c r="S8" s="73">
        <v>0.2</v>
      </c>
      <c r="T8" s="73">
        <f t="shared" si="13"/>
        <v>0.33333333333333337</v>
      </c>
      <c r="U8" s="12">
        <f t="shared" si="14"/>
        <v>7.7499999999999991</v>
      </c>
      <c r="V8" s="372">
        <f t="shared" si="15"/>
        <v>0</v>
      </c>
      <c r="W8" s="114">
        <f t="shared" si="16"/>
        <v>7.7499999999999991</v>
      </c>
      <c r="X8" s="161" t="str">
        <f>+IF(D8="cp",(I8*'Récapitulatif '!$AJ$3),"")</f>
        <v/>
      </c>
      <c r="Y8" s="163">
        <f t="shared" si="1"/>
        <v>0</v>
      </c>
      <c r="Z8" s="154" t="str">
        <f t="shared" si="17"/>
        <v/>
      </c>
      <c r="AA8" s="154" t="str">
        <f t="shared" si="2"/>
        <v/>
      </c>
      <c r="AB8" s="479" t="str">
        <f>+IF(WEEKDAY(C8)=1,(SUM(W$4:X8)+(Février!$AB$35)),"")</f>
        <v/>
      </c>
      <c r="AC8" s="475" t="str">
        <f t="shared" si="18"/>
        <v/>
      </c>
      <c r="AD8" s="118" t="str">
        <f t="shared" si="19"/>
        <v/>
      </c>
      <c r="AE8" s="261" t="str">
        <f t="shared" si="20"/>
        <v/>
      </c>
      <c r="AF8" s="382" t="str">
        <f>IF($C$4:$C$43=$C$63,'Récapitulatif '!$AJ$3,"")</f>
        <v/>
      </c>
      <c r="AG8" s="119" t="str">
        <f t="shared" si="3"/>
        <v/>
      </c>
      <c r="AH8" s="218">
        <f t="shared" si="4"/>
        <v>1</v>
      </c>
      <c r="AI8" s="13" t="str">
        <f t="shared" si="5"/>
        <v/>
      </c>
      <c r="AJ8" s="10"/>
      <c r="AL8" s="92" t="s">
        <v>75</v>
      </c>
    </row>
    <row r="9" spans="1:38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112">
        <f t="shared" si="21"/>
        <v>43896</v>
      </c>
      <c r="D9" s="643"/>
      <c r="E9" s="633" t="str">
        <f t="shared" si="6"/>
        <v/>
      </c>
      <c r="F9" s="634" t="str">
        <f t="shared" si="7"/>
        <v/>
      </c>
      <c r="G9" s="626"/>
      <c r="H9" s="128" t="str">
        <f t="shared" si="0"/>
        <v/>
      </c>
      <c r="I9" s="127" t="str">
        <f t="shared" si="8"/>
        <v/>
      </c>
      <c r="J9" s="299"/>
      <c r="K9" s="86"/>
      <c r="L9" s="11"/>
      <c r="M9" s="11"/>
      <c r="N9" s="369"/>
      <c r="O9" s="371">
        <f t="shared" si="9"/>
        <v>0</v>
      </c>
      <c r="P9" s="73">
        <f t="shared" si="10"/>
        <v>0</v>
      </c>
      <c r="Q9" s="73">
        <f t="shared" si="11"/>
        <v>0</v>
      </c>
      <c r="R9" s="73">
        <f t="shared" si="12"/>
        <v>0</v>
      </c>
      <c r="S9" s="73">
        <v>0.2</v>
      </c>
      <c r="T9" s="73">
        <f t="shared" si="13"/>
        <v>0.33333333333333337</v>
      </c>
      <c r="U9" s="12" t="str">
        <f t="shared" si="14"/>
        <v/>
      </c>
      <c r="V9" s="372" t="e">
        <f t="shared" si="15"/>
        <v>#VALUE!</v>
      </c>
      <c r="W9" s="114" t="str">
        <f t="shared" si="16"/>
        <v/>
      </c>
      <c r="X9" s="161" t="str">
        <f>+IF(D9="cp",(I9*'Récapitulatif '!$AJ$3),"")</f>
        <v/>
      </c>
      <c r="Y9" s="163" t="str">
        <f t="shared" si="1"/>
        <v/>
      </c>
      <c r="Z9" s="154" t="str">
        <f t="shared" si="17"/>
        <v/>
      </c>
      <c r="AA9" s="154" t="str">
        <f t="shared" si="2"/>
        <v/>
      </c>
      <c r="AB9" s="479" t="str">
        <f>+IF(WEEKDAY(C9)=1,(SUM(W$4:X9)+(Février!$AB$35)),"")</f>
        <v/>
      </c>
      <c r="AC9" s="475" t="str">
        <f t="shared" si="18"/>
        <v/>
      </c>
      <c r="AD9" s="118" t="str">
        <f t="shared" si="19"/>
        <v/>
      </c>
      <c r="AE9" s="261" t="str">
        <f t="shared" si="20"/>
        <v/>
      </c>
      <c r="AF9" s="382" t="str">
        <f>IF($C$4:$C$43=$C$63,'Récapitulatif '!$AJ$3,"")</f>
        <v/>
      </c>
      <c r="AG9" s="119" t="str">
        <f t="shared" si="3"/>
        <v/>
      </c>
      <c r="AH9" s="218" t="str">
        <f t="shared" si="4"/>
        <v/>
      </c>
      <c r="AI9" s="13" t="str">
        <f t="shared" si="5"/>
        <v/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21"/>
        <v>43897</v>
      </c>
      <c r="D10" s="643"/>
      <c r="E10" s="633" t="str">
        <f t="shared" si="6"/>
        <v/>
      </c>
      <c r="F10" s="634" t="str">
        <f t="shared" si="7"/>
        <v/>
      </c>
      <c r="G10" s="626"/>
      <c r="H10" s="128" t="str">
        <f t="shared" si="0"/>
        <v/>
      </c>
      <c r="I10" s="127" t="str">
        <f t="shared" si="8"/>
        <v/>
      </c>
      <c r="J10" s="299"/>
      <c r="K10" s="86"/>
      <c r="L10" s="11"/>
      <c r="M10" s="11"/>
      <c r="N10" s="369"/>
      <c r="O10" s="371">
        <f t="shared" si="9"/>
        <v>0</v>
      </c>
      <c r="P10" s="73">
        <f t="shared" si="10"/>
        <v>0</v>
      </c>
      <c r="Q10" s="73">
        <f t="shared" si="11"/>
        <v>0</v>
      </c>
      <c r="R10" s="73">
        <f t="shared" si="12"/>
        <v>0</v>
      </c>
      <c r="S10" s="73">
        <v>0.2</v>
      </c>
      <c r="T10" s="73">
        <f t="shared" si="13"/>
        <v>0.33333333333333337</v>
      </c>
      <c r="U10" s="12" t="str">
        <f t="shared" si="14"/>
        <v/>
      </c>
      <c r="V10" s="372" t="e">
        <f t="shared" si="15"/>
        <v>#VALUE!</v>
      </c>
      <c r="W10" s="114" t="str">
        <f t="shared" si="16"/>
        <v/>
      </c>
      <c r="X10" s="161" t="str">
        <f>+IF(D10="cp",(I10*'Récapitulatif '!$AJ$3),"")</f>
        <v/>
      </c>
      <c r="Y10" s="163" t="str">
        <f t="shared" si="1"/>
        <v/>
      </c>
      <c r="Z10" s="154" t="str">
        <f t="shared" si="17"/>
        <v/>
      </c>
      <c r="AA10" s="154" t="str">
        <f t="shared" si="2"/>
        <v/>
      </c>
      <c r="AB10" s="479" t="str">
        <f>+IF(WEEKDAY(C10)=1,SUM(W4:X10),"")</f>
        <v/>
      </c>
      <c r="AC10" s="475" t="str">
        <f t="shared" si="18"/>
        <v/>
      </c>
      <c r="AD10" s="118" t="str">
        <f t="shared" si="19"/>
        <v/>
      </c>
      <c r="AE10" s="261" t="str">
        <f t="shared" si="20"/>
        <v/>
      </c>
      <c r="AF10" s="382" t="str">
        <f>IF($C$4:$C$43=$C$63,'Récapitulatif '!$AJ$3,"")</f>
        <v/>
      </c>
      <c r="AG10" s="119" t="str">
        <f t="shared" si="3"/>
        <v/>
      </c>
      <c r="AH10" s="218" t="str">
        <f t="shared" si="4"/>
        <v/>
      </c>
      <c r="AI10" s="13" t="str">
        <f t="shared" si="5"/>
        <v/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1"/>
        <v>43898</v>
      </c>
      <c r="D11" s="643"/>
      <c r="E11" s="633" t="str">
        <f t="shared" si="6"/>
        <v/>
      </c>
      <c r="F11" s="634" t="str">
        <f t="shared" si="7"/>
        <v/>
      </c>
      <c r="G11" s="626"/>
      <c r="H11" s="128" t="str">
        <f t="shared" si="0"/>
        <v/>
      </c>
      <c r="I11" s="127" t="str">
        <f t="shared" si="8"/>
        <v/>
      </c>
      <c r="J11" s="299"/>
      <c r="K11" s="86"/>
      <c r="L11" s="11"/>
      <c r="M11" s="11"/>
      <c r="N11" s="369"/>
      <c r="O11" s="371">
        <f t="shared" si="9"/>
        <v>0</v>
      </c>
      <c r="P11" s="73">
        <f t="shared" si="10"/>
        <v>0</v>
      </c>
      <c r="Q11" s="73">
        <f t="shared" si="11"/>
        <v>0</v>
      </c>
      <c r="R11" s="73">
        <f t="shared" si="12"/>
        <v>0</v>
      </c>
      <c r="S11" s="73">
        <v>0.2</v>
      </c>
      <c r="T11" s="73">
        <f t="shared" si="13"/>
        <v>0.33333333333333337</v>
      </c>
      <c r="U11" s="12" t="str">
        <f t="shared" si="14"/>
        <v/>
      </c>
      <c r="V11" s="372" t="e">
        <f t="shared" si="15"/>
        <v>#VALUE!</v>
      </c>
      <c r="W11" s="114" t="str">
        <f t="shared" si="16"/>
        <v/>
      </c>
      <c r="X11" s="161" t="str">
        <f>+IF(D11="cp",(I11*'Récapitulatif '!$AJ$3),"")</f>
        <v/>
      </c>
      <c r="Y11" s="163" t="str">
        <f t="shared" si="1"/>
        <v/>
      </c>
      <c r="Z11" s="154" t="str">
        <f t="shared" si="17"/>
        <v/>
      </c>
      <c r="AA11" s="154" t="str">
        <f t="shared" si="2"/>
        <v/>
      </c>
      <c r="AB11" s="479">
        <f t="shared" ref="AB11:AB34" si="22">+IF(WEEKDAY(C11)=1,SUM(W5:X11),"")</f>
        <v>30.999999999999996</v>
      </c>
      <c r="AC11" s="475" t="str">
        <f t="shared" si="18"/>
        <v/>
      </c>
      <c r="AD11" s="118" t="str">
        <f t="shared" si="19"/>
        <v/>
      </c>
      <c r="AE11" s="261" t="str">
        <f t="shared" si="20"/>
        <v/>
      </c>
      <c r="AF11" s="382" t="str">
        <f>IF($C$4:$C$43=$C$63,'Récapitulatif '!$AJ$3,"")</f>
        <v/>
      </c>
      <c r="AG11" s="119" t="str">
        <f t="shared" si="3"/>
        <v/>
      </c>
      <c r="AH11" s="218" t="str">
        <f t="shared" si="4"/>
        <v/>
      </c>
      <c r="AI11" s="13" t="str">
        <f t="shared" si="5"/>
        <v/>
      </c>
      <c r="AJ11" s="10"/>
      <c r="AL11" s="1" t="s">
        <v>60</v>
      </c>
    </row>
    <row r="12" spans="1:38">
      <c r="A12" s="482">
        <f>IF(WEEKDAY(C12,2)=1,INT((C12-SUM(MOD(DATE(YEAR(C12-MOD(C12-2,7)+3),1,2),{1E+99;7})*{1;-1})+5)/7),"")</f>
        <v>11</v>
      </c>
      <c r="B12" s="482" t="str">
        <f>IF(A12&lt;&gt;"",VLOOKUP(A12,juin!$L$49:$M$101,2,FALSE),"")</f>
        <v>Matin</v>
      </c>
      <c r="C12" s="112">
        <f t="shared" si="21"/>
        <v>43899</v>
      </c>
      <c r="D12" s="643"/>
      <c r="E12" s="633" t="str">
        <f t="shared" si="6"/>
        <v/>
      </c>
      <c r="F12" s="634" t="str">
        <f t="shared" si="7"/>
        <v/>
      </c>
      <c r="G12" s="626"/>
      <c r="H12" s="128" t="str">
        <f t="shared" si="0"/>
        <v/>
      </c>
      <c r="I12" s="127" t="str">
        <f t="shared" si="8"/>
        <v/>
      </c>
      <c r="J12" s="299"/>
      <c r="K12" s="86"/>
      <c r="L12" s="11"/>
      <c r="M12" s="11"/>
      <c r="N12" s="369"/>
      <c r="O12" s="371">
        <f t="shared" si="9"/>
        <v>0</v>
      </c>
      <c r="P12" s="73">
        <f t="shared" si="10"/>
        <v>0</v>
      </c>
      <c r="Q12" s="73">
        <f t="shared" si="11"/>
        <v>0</v>
      </c>
      <c r="R12" s="73">
        <f t="shared" si="12"/>
        <v>0</v>
      </c>
      <c r="S12" s="73">
        <v>0.2</v>
      </c>
      <c r="T12" s="73">
        <f t="shared" si="13"/>
        <v>0.33333333333333337</v>
      </c>
      <c r="U12" s="12" t="str">
        <f t="shared" si="14"/>
        <v/>
      </c>
      <c r="V12" s="372" t="e">
        <f t="shared" si="15"/>
        <v>#VALUE!</v>
      </c>
      <c r="W12" s="114" t="str">
        <f t="shared" si="16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7"/>
        <v/>
      </c>
      <c r="AA12" s="154" t="str">
        <f t="shared" si="2"/>
        <v/>
      </c>
      <c r="AB12" s="479" t="str">
        <f t="shared" si="22"/>
        <v/>
      </c>
      <c r="AC12" s="475" t="str">
        <f t="shared" si="18"/>
        <v/>
      </c>
      <c r="AD12" s="118" t="str">
        <f t="shared" si="19"/>
        <v/>
      </c>
      <c r="AE12" s="261" t="str">
        <f t="shared" si="20"/>
        <v/>
      </c>
      <c r="AF12" s="382" t="str">
        <f>IF($C$4:$C$43=$C$63,'Récapitulatif '!$AJ$3,"")</f>
        <v/>
      </c>
      <c r="AG12" s="119" t="str">
        <f t="shared" si="3"/>
        <v/>
      </c>
      <c r="AH12" s="218" t="str">
        <f t="shared" si="4"/>
        <v/>
      </c>
      <c r="AI12" s="13" t="str">
        <f t="shared" si="5"/>
        <v/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1"/>
        <v>43900</v>
      </c>
      <c r="D13" s="643"/>
      <c r="E13" s="633" t="str">
        <f t="shared" si="6"/>
        <v/>
      </c>
      <c r="F13" s="634" t="str">
        <f t="shared" si="7"/>
        <v/>
      </c>
      <c r="G13" s="626"/>
      <c r="H13" s="128" t="str">
        <f t="shared" si="0"/>
        <v/>
      </c>
      <c r="I13" s="127" t="str">
        <f t="shared" si="8"/>
        <v/>
      </c>
      <c r="J13" s="299"/>
      <c r="K13" s="86"/>
      <c r="L13" s="11"/>
      <c r="M13" s="11"/>
      <c r="N13" s="369"/>
      <c r="O13" s="371">
        <f t="shared" si="9"/>
        <v>0</v>
      </c>
      <c r="P13" s="73">
        <f t="shared" si="10"/>
        <v>0</v>
      </c>
      <c r="Q13" s="73">
        <f t="shared" si="11"/>
        <v>0</v>
      </c>
      <c r="R13" s="73">
        <f t="shared" si="12"/>
        <v>0</v>
      </c>
      <c r="S13" s="73">
        <v>0.2</v>
      </c>
      <c r="T13" s="73">
        <f t="shared" si="13"/>
        <v>0.33333333333333337</v>
      </c>
      <c r="U13" s="12" t="str">
        <f t="shared" si="14"/>
        <v/>
      </c>
      <c r="V13" s="372" t="e">
        <f t="shared" si="15"/>
        <v>#VALUE!</v>
      </c>
      <c r="W13" s="114" t="str">
        <f t="shared" si="16"/>
        <v/>
      </c>
      <c r="X13" s="161" t="str">
        <f>+IF(D13="cp",(I13*'Récapitulatif '!$AJ$3),"")</f>
        <v/>
      </c>
      <c r="Y13" s="163" t="str">
        <f t="shared" si="1"/>
        <v/>
      </c>
      <c r="Z13" s="154" t="str">
        <f t="shared" si="17"/>
        <v/>
      </c>
      <c r="AA13" s="154" t="str">
        <f t="shared" si="2"/>
        <v/>
      </c>
      <c r="AB13" s="479" t="str">
        <f t="shared" si="22"/>
        <v/>
      </c>
      <c r="AC13" s="475" t="str">
        <f t="shared" si="18"/>
        <v/>
      </c>
      <c r="AD13" s="118" t="str">
        <f t="shared" si="19"/>
        <v/>
      </c>
      <c r="AE13" s="261" t="str">
        <f t="shared" si="20"/>
        <v/>
      </c>
      <c r="AF13" s="382" t="str">
        <f>IF($C$4:$C$43=$C$63,'Récapitulatif '!$AJ$3,"")</f>
        <v/>
      </c>
      <c r="AG13" s="119" t="str">
        <f t="shared" si="3"/>
        <v/>
      </c>
      <c r="AH13" s="218" t="str">
        <f t="shared" si="4"/>
        <v/>
      </c>
      <c r="AI13" s="13" t="str">
        <f t="shared" si="5"/>
        <v/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21"/>
        <v>43901</v>
      </c>
      <c r="D14" s="643"/>
      <c r="E14" s="633" t="str">
        <f t="shared" si="6"/>
        <v/>
      </c>
      <c r="F14" s="634" t="str">
        <f t="shared" si="7"/>
        <v/>
      </c>
      <c r="G14" s="626"/>
      <c r="H14" s="128" t="str">
        <f t="shared" si="0"/>
        <v/>
      </c>
      <c r="I14" s="127" t="str">
        <f t="shared" si="8"/>
        <v/>
      </c>
      <c r="J14" s="299"/>
      <c r="K14" s="86"/>
      <c r="L14" s="11"/>
      <c r="M14" s="11"/>
      <c r="N14" s="369"/>
      <c r="O14" s="371">
        <f t="shared" si="9"/>
        <v>0</v>
      </c>
      <c r="P14" s="73">
        <f t="shared" si="10"/>
        <v>0</v>
      </c>
      <c r="Q14" s="73">
        <f t="shared" si="11"/>
        <v>0</v>
      </c>
      <c r="R14" s="73">
        <f t="shared" si="12"/>
        <v>0</v>
      </c>
      <c r="S14" s="73">
        <v>0.2</v>
      </c>
      <c r="T14" s="73">
        <f t="shared" si="13"/>
        <v>0.33333333333333337</v>
      </c>
      <c r="U14" s="12" t="str">
        <f t="shared" si="14"/>
        <v/>
      </c>
      <c r="V14" s="372" t="e">
        <f t="shared" si="15"/>
        <v>#VALUE!</v>
      </c>
      <c r="W14" s="114" t="str">
        <f t="shared" si="16"/>
        <v/>
      </c>
      <c r="X14" s="161" t="str">
        <f>+IF(D14="cp",(I14*'Récapitulatif '!$AJ$3),"")</f>
        <v/>
      </c>
      <c r="Y14" s="163" t="str">
        <f t="shared" si="1"/>
        <v/>
      </c>
      <c r="Z14" s="154" t="str">
        <f t="shared" si="17"/>
        <v/>
      </c>
      <c r="AA14" s="154" t="str">
        <f t="shared" si="2"/>
        <v/>
      </c>
      <c r="AB14" s="479" t="str">
        <f t="shared" si="22"/>
        <v/>
      </c>
      <c r="AC14" s="475" t="str">
        <f t="shared" si="18"/>
        <v/>
      </c>
      <c r="AD14" s="118" t="str">
        <f t="shared" si="19"/>
        <v/>
      </c>
      <c r="AE14" s="261" t="str">
        <f t="shared" si="20"/>
        <v/>
      </c>
      <c r="AF14" s="382" t="str">
        <f>IF($C$4:$C$43=$C$63,'Récapitulatif '!$AJ$3,"")</f>
        <v/>
      </c>
      <c r="AG14" s="119" t="str">
        <f t="shared" si="3"/>
        <v/>
      </c>
      <c r="AH14" s="218" t="str">
        <f t="shared" si="4"/>
        <v/>
      </c>
      <c r="AI14" s="13" t="str">
        <f t="shared" si="5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21"/>
        <v>43902</v>
      </c>
      <c r="D15" s="643"/>
      <c r="E15" s="633" t="str">
        <f t="shared" si="6"/>
        <v/>
      </c>
      <c r="F15" s="634" t="str">
        <f t="shared" si="7"/>
        <v/>
      </c>
      <c r="G15" s="626"/>
      <c r="H15" s="128" t="str">
        <f t="shared" si="0"/>
        <v/>
      </c>
      <c r="I15" s="127" t="str">
        <f t="shared" si="8"/>
        <v/>
      </c>
      <c r="J15" s="299"/>
      <c r="K15" s="86"/>
      <c r="L15" s="11"/>
      <c r="M15" s="11"/>
      <c r="N15" s="369"/>
      <c r="O15" s="371">
        <f t="shared" si="9"/>
        <v>0</v>
      </c>
      <c r="P15" s="73">
        <f t="shared" si="10"/>
        <v>0</v>
      </c>
      <c r="Q15" s="73">
        <f t="shared" si="11"/>
        <v>0</v>
      </c>
      <c r="R15" s="73">
        <f t="shared" si="12"/>
        <v>0</v>
      </c>
      <c r="S15" s="73">
        <v>0.2</v>
      </c>
      <c r="T15" s="73">
        <f t="shared" si="13"/>
        <v>0.33333333333333337</v>
      </c>
      <c r="U15" s="12" t="str">
        <f t="shared" si="14"/>
        <v/>
      </c>
      <c r="V15" s="372" t="e">
        <f t="shared" si="15"/>
        <v>#VALUE!</v>
      </c>
      <c r="W15" s="114" t="str">
        <f t="shared" si="16"/>
        <v/>
      </c>
      <c r="X15" s="161" t="str">
        <f>+IF(D15="cp",(I15*'Récapitulatif '!$AJ$3),"")</f>
        <v/>
      </c>
      <c r="Y15" s="163" t="str">
        <f t="shared" si="1"/>
        <v/>
      </c>
      <c r="Z15" s="154" t="str">
        <f t="shared" si="17"/>
        <v/>
      </c>
      <c r="AA15" s="154" t="str">
        <f t="shared" si="2"/>
        <v/>
      </c>
      <c r="AB15" s="479" t="str">
        <f t="shared" si="22"/>
        <v/>
      </c>
      <c r="AC15" s="475" t="str">
        <f t="shared" si="18"/>
        <v/>
      </c>
      <c r="AD15" s="118" t="str">
        <f t="shared" si="19"/>
        <v/>
      </c>
      <c r="AE15" s="261" t="str">
        <f t="shared" si="20"/>
        <v/>
      </c>
      <c r="AF15" s="382" t="str">
        <f>IF($C$4:$C$43=$C$63,'Récapitulatif '!$AJ$3,"")</f>
        <v/>
      </c>
      <c r="AG15" s="119" t="str">
        <f t="shared" si="3"/>
        <v/>
      </c>
      <c r="AH15" s="218" t="str">
        <f t="shared" si="4"/>
        <v/>
      </c>
      <c r="AI15" s="13" t="str">
        <f t="shared" si="5"/>
        <v/>
      </c>
      <c r="AL15" s="92"/>
    </row>
    <row r="16" spans="1:38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112">
        <f t="shared" si="21"/>
        <v>43903</v>
      </c>
      <c r="D16" s="643"/>
      <c r="E16" s="633" t="str">
        <f t="shared" si="6"/>
        <v/>
      </c>
      <c r="F16" s="634" t="str">
        <f t="shared" si="7"/>
        <v/>
      </c>
      <c r="G16" s="626"/>
      <c r="H16" s="128" t="str">
        <f t="shared" si="0"/>
        <v/>
      </c>
      <c r="I16" s="127" t="str">
        <f t="shared" si="8"/>
        <v/>
      </c>
      <c r="J16" s="299"/>
      <c r="K16" s="86"/>
      <c r="L16" s="11"/>
      <c r="M16" s="11"/>
      <c r="N16" s="369"/>
      <c r="O16" s="371">
        <f t="shared" si="9"/>
        <v>0</v>
      </c>
      <c r="P16" s="73">
        <f t="shared" si="10"/>
        <v>0</v>
      </c>
      <c r="Q16" s="73">
        <f t="shared" si="11"/>
        <v>0</v>
      </c>
      <c r="R16" s="73">
        <f t="shared" si="12"/>
        <v>0</v>
      </c>
      <c r="S16" s="73">
        <v>0.2</v>
      </c>
      <c r="T16" s="73">
        <f t="shared" si="13"/>
        <v>0.33333333333333337</v>
      </c>
      <c r="U16" s="12" t="str">
        <f t="shared" si="14"/>
        <v/>
      </c>
      <c r="V16" s="372" t="e">
        <f t="shared" si="15"/>
        <v>#VALUE!</v>
      </c>
      <c r="W16" s="114" t="str">
        <f t="shared" si="16"/>
        <v/>
      </c>
      <c r="X16" s="161" t="str">
        <f>+IF(D16="cp",(I16*'Récapitulatif '!$AJ$3),"")</f>
        <v/>
      </c>
      <c r="Y16" s="163" t="str">
        <f t="shared" si="1"/>
        <v/>
      </c>
      <c r="Z16" s="154" t="str">
        <f t="shared" si="17"/>
        <v/>
      </c>
      <c r="AA16" s="154" t="str">
        <f t="shared" si="2"/>
        <v/>
      </c>
      <c r="AB16" s="479" t="str">
        <f t="shared" si="22"/>
        <v/>
      </c>
      <c r="AC16" s="475" t="str">
        <f t="shared" si="18"/>
        <v/>
      </c>
      <c r="AD16" s="118" t="str">
        <f t="shared" si="19"/>
        <v/>
      </c>
      <c r="AE16" s="261" t="str">
        <f t="shared" si="20"/>
        <v/>
      </c>
      <c r="AF16" s="382" t="str">
        <f>IF($C$4:$C$43=$C$63,'Récapitulatif '!$AJ$3,"")</f>
        <v/>
      </c>
      <c r="AG16" s="119" t="str">
        <f t="shared" si="3"/>
        <v/>
      </c>
      <c r="AH16" s="218" t="str">
        <f t="shared" si="4"/>
        <v/>
      </c>
      <c r="AI16" s="13" t="str">
        <f t="shared" si="5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21"/>
        <v>43904</v>
      </c>
      <c r="D17" s="643"/>
      <c r="E17" s="633" t="str">
        <f t="shared" si="6"/>
        <v/>
      </c>
      <c r="F17" s="634" t="str">
        <f t="shared" si="7"/>
        <v/>
      </c>
      <c r="G17" s="626"/>
      <c r="H17" s="128" t="str">
        <f t="shared" si="0"/>
        <v/>
      </c>
      <c r="I17" s="127" t="str">
        <f t="shared" si="8"/>
        <v/>
      </c>
      <c r="J17" s="299"/>
      <c r="K17" s="86"/>
      <c r="L17" s="11"/>
      <c r="M17" s="11"/>
      <c r="N17" s="369"/>
      <c r="O17" s="371">
        <f t="shared" si="9"/>
        <v>0</v>
      </c>
      <c r="P17" s="73">
        <f t="shared" si="10"/>
        <v>0</v>
      </c>
      <c r="Q17" s="73">
        <f t="shared" si="11"/>
        <v>0</v>
      </c>
      <c r="R17" s="73">
        <f t="shared" si="12"/>
        <v>0</v>
      </c>
      <c r="S17" s="73">
        <v>0.2</v>
      </c>
      <c r="T17" s="73">
        <f t="shared" si="13"/>
        <v>0.33333333333333337</v>
      </c>
      <c r="U17" s="12" t="str">
        <f t="shared" si="14"/>
        <v/>
      </c>
      <c r="V17" s="372" t="e">
        <f t="shared" si="15"/>
        <v>#VALUE!</v>
      </c>
      <c r="W17" s="114" t="str">
        <f t="shared" si="16"/>
        <v/>
      </c>
      <c r="X17" s="161" t="str">
        <f>+IF(D17="cp",(I17*'Récapitulatif '!$AJ$3),"")</f>
        <v/>
      </c>
      <c r="Y17" s="163" t="str">
        <f t="shared" si="1"/>
        <v/>
      </c>
      <c r="Z17" s="154" t="str">
        <f t="shared" si="17"/>
        <v/>
      </c>
      <c r="AA17" s="154" t="str">
        <f t="shared" si="2"/>
        <v/>
      </c>
      <c r="AB17" s="479" t="str">
        <f t="shared" si="22"/>
        <v/>
      </c>
      <c r="AC17" s="475" t="str">
        <f t="shared" si="18"/>
        <v/>
      </c>
      <c r="AD17" s="118" t="str">
        <f t="shared" si="19"/>
        <v/>
      </c>
      <c r="AE17" s="261" t="str">
        <f t="shared" si="20"/>
        <v/>
      </c>
      <c r="AF17" s="382" t="str">
        <f>IF($C$4:$C$43=$C$63,'Récapitulatif '!$AJ$3,"")</f>
        <v/>
      </c>
      <c r="AG17" s="119" t="str">
        <f t="shared" si="3"/>
        <v/>
      </c>
      <c r="AH17" s="218" t="str">
        <f t="shared" si="4"/>
        <v/>
      </c>
      <c r="AI17" s="13" t="str">
        <f t="shared" si="5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1"/>
        <v>43905</v>
      </c>
      <c r="D18" s="643"/>
      <c r="E18" s="633" t="str">
        <f t="shared" si="6"/>
        <v/>
      </c>
      <c r="F18" s="634" t="str">
        <f t="shared" si="7"/>
        <v/>
      </c>
      <c r="G18" s="626"/>
      <c r="H18" s="128" t="str">
        <f t="shared" si="0"/>
        <v/>
      </c>
      <c r="I18" s="127" t="str">
        <f t="shared" si="8"/>
        <v/>
      </c>
      <c r="J18" s="299"/>
      <c r="K18" s="86"/>
      <c r="L18" s="11"/>
      <c r="M18" s="11"/>
      <c r="N18" s="369"/>
      <c r="O18" s="371">
        <f t="shared" si="9"/>
        <v>0</v>
      </c>
      <c r="P18" s="73">
        <f t="shared" si="10"/>
        <v>0</v>
      </c>
      <c r="Q18" s="73">
        <f t="shared" si="11"/>
        <v>0</v>
      </c>
      <c r="R18" s="73">
        <f t="shared" si="12"/>
        <v>0</v>
      </c>
      <c r="S18" s="73">
        <v>0.2</v>
      </c>
      <c r="T18" s="73">
        <f t="shared" si="13"/>
        <v>0.33333333333333337</v>
      </c>
      <c r="U18" s="12" t="str">
        <f t="shared" si="14"/>
        <v/>
      </c>
      <c r="V18" s="372" t="e">
        <f t="shared" si="15"/>
        <v>#VALUE!</v>
      </c>
      <c r="W18" s="114" t="str">
        <f t="shared" si="16"/>
        <v/>
      </c>
      <c r="X18" s="161" t="str">
        <f>+IF(D18="cp",(I18*'Récapitulatif '!$AJ$3),"")</f>
        <v/>
      </c>
      <c r="Y18" s="163" t="str">
        <f t="shared" si="1"/>
        <v/>
      </c>
      <c r="Z18" s="154" t="str">
        <f t="shared" si="17"/>
        <v/>
      </c>
      <c r="AA18" s="154" t="str">
        <f t="shared" si="2"/>
        <v/>
      </c>
      <c r="AB18" s="479">
        <f t="shared" si="22"/>
        <v>0</v>
      </c>
      <c r="AC18" s="475" t="str">
        <f t="shared" si="18"/>
        <v/>
      </c>
      <c r="AD18" s="118" t="str">
        <f t="shared" si="19"/>
        <v/>
      </c>
      <c r="AE18" s="261" t="str">
        <f t="shared" si="20"/>
        <v/>
      </c>
      <c r="AF18" s="382" t="str">
        <f>IF($C$4:$C$43=$C$63,'Récapitulatif '!$AJ$3,"")</f>
        <v/>
      </c>
      <c r="AG18" s="119" t="str">
        <f t="shared" si="3"/>
        <v/>
      </c>
      <c r="AH18" s="218" t="str">
        <f t="shared" si="4"/>
        <v/>
      </c>
      <c r="AI18" s="13" t="str">
        <f t="shared" si="5"/>
        <v/>
      </c>
      <c r="AL18" s="1" t="s">
        <v>71</v>
      </c>
    </row>
    <row r="19" spans="1:38">
      <c r="A19" s="482">
        <f>IF(WEEKDAY(C19,2)=1,INT((C19-SUM(MOD(DATE(YEAR(C19-MOD(C19-2,7)+3),1,2),{1E+99;7})*{1;-1})+5)/7),"")</f>
        <v>12</v>
      </c>
      <c r="B19" s="482" t="str">
        <f>IF(A19&lt;&gt;"",VLOOKUP(A19,juin!$L$49:$M$101,2,FALSE),"")</f>
        <v>Mystère</v>
      </c>
      <c r="C19" s="112">
        <f t="shared" si="21"/>
        <v>43906</v>
      </c>
      <c r="D19" s="643"/>
      <c r="E19" s="633" t="str">
        <f t="shared" si="6"/>
        <v/>
      </c>
      <c r="F19" s="634" t="str">
        <f t="shared" si="7"/>
        <v/>
      </c>
      <c r="G19" s="626"/>
      <c r="H19" s="128" t="str">
        <f t="shared" si="0"/>
        <v/>
      </c>
      <c r="I19" s="127" t="str">
        <f t="shared" si="8"/>
        <v/>
      </c>
      <c r="J19" s="299"/>
      <c r="K19" s="86"/>
      <c r="L19" s="11"/>
      <c r="M19" s="11"/>
      <c r="N19" s="369"/>
      <c r="O19" s="371">
        <f t="shared" si="9"/>
        <v>0</v>
      </c>
      <c r="P19" s="73">
        <f t="shared" si="10"/>
        <v>0</v>
      </c>
      <c r="Q19" s="73">
        <f t="shared" si="11"/>
        <v>0</v>
      </c>
      <c r="R19" s="73">
        <f t="shared" si="12"/>
        <v>0</v>
      </c>
      <c r="S19" s="73">
        <v>0.2</v>
      </c>
      <c r="T19" s="73">
        <f t="shared" si="13"/>
        <v>0.33333333333333337</v>
      </c>
      <c r="U19" s="12" t="str">
        <f t="shared" si="14"/>
        <v/>
      </c>
      <c r="V19" s="372" t="e">
        <f t="shared" si="15"/>
        <v>#VALUE!</v>
      </c>
      <c r="W19" s="114"/>
      <c r="X19" s="161" t="str">
        <f>+IF(D19="cp",(I19*'Récapitulatif '!$AJ$3),"")</f>
        <v/>
      </c>
      <c r="Y19" s="163" t="str">
        <f t="shared" si="1"/>
        <v/>
      </c>
      <c r="Z19" s="154" t="str">
        <f t="shared" si="17"/>
        <v/>
      </c>
      <c r="AA19" s="154" t="str">
        <f t="shared" si="2"/>
        <v/>
      </c>
      <c r="AB19" s="479" t="str">
        <f t="shared" si="22"/>
        <v/>
      </c>
      <c r="AC19" s="475" t="str">
        <f t="shared" si="18"/>
        <v/>
      </c>
      <c r="AD19" s="118" t="str">
        <f t="shared" si="19"/>
        <v/>
      </c>
      <c r="AE19" s="261" t="str">
        <f t="shared" si="20"/>
        <v/>
      </c>
      <c r="AF19" s="382" t="str">
        <f>IF($C$4:$C$43=$C$63,'Récapitulatif '!$AJ$3,"")</f>
        <v/>
      </c>
      <c r="AG19" s="119" t="str">
        <f t="shared" si="3"/>
        <v/>
      </c>
      <c r="AH19" s="218" t="str">
        <f t="shared" si="4"/>
        <v/>
      </c>
      <c r="AI19" s="13" t="str">
        <f t="shared" si="5"/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1"/>
        <v>43907</v>
      </c>
      <c r="D20" s="643"/>
      <c r="E20" s="633" t="str">
        <f t="shared" si="6"/>
        <v/>
      </c>
      <c r="F20" s="634" t="str">
        <f t="shared" si="7"/>
        <v/>
      </c>
      <c r="G20" s="626"/>
      <c r="H20" s="128" t="str">
        <f t="shared" si="0"/>
        <v/>
      </c>
      <c r="I20" s="127" t="str">
        <f t="shared" si="8"/>
        <v/>
      </c>
      <c r="J20" s="299"/>
      <c r="K20" s="86"/>
      <c r="L20" s="11"/>
      <c r="M20" s="11"/>
      <c r="N20" s="369"/>
      <c r="O20" s="371">
        <f t="shared" si="9"/>
        <v>0</v>
      </c>
      <c r="P20" s="73">
        <f t="shared" si="10"/>
        <v>0</v>
      </c>
      <c r="Q20" s="73">
        <f t="shared" si="11"/>
        <v>0</v>
      </c>
      <c r="R20" s="73">
        <f t="shared" si="12"/>
        <v>0</v>
      </c>
      <c r="S20" s="73">
        <v>0.2</v>
      </c>
      <c r="T20" s="73">
        <f t="shared" si="13"/>
        <v>0.33333333333333337</v>
      </c>
      <c r="U20" s="12" t="str">
        <f t="shared" si="14"/>
        <v/>
      </c>
      <c r="V20" s="372" t="e">
        <f t="shared" si="15"/>
        <v>#VALUE!</v>
      </c>
      <c r="W20" s="114"/>
      <c r="X20" s="161" t="str">
        <f>+IF(D20="cp",(I20*'Récapitulatif '!$AJ$3),"")</f>
        <v/>
      </c>
      <c r="Y20" s="163" t="str">
        <f t="shared" si="1"/>
        <v/>
      </c>
      <c r="Z20" s="154" t="str">
        <f t="shared" si="17"/>
        <v/>
      </c>
      <c r="AA20" s="154" t="str">
        <f t="shared" si="2"/>
        <v/>
      </c>
      <c r="AB20" s="479" t="str">
        <f t="shared" si="22"/>
        <v/>
      </c>
      <c r="AC20" s="475" t="str">
        <f t="shared" si="18"/>
        <v/>
      </c>
      <c r="AD20" s="118" t="str">
        <f t="shared" si="19"/>
        <v/>
      </c>
      <c r="AE20" s="261" t="str">
        <f t="shared" si="20"/>
        <v/>
      </c>
      <c r="AF20" s="382" t="str">
        <f>IF($C$4:$C$43=$C$63,'Récapitulatif '!$AJ$3,"")</f>
        <v/>
      </c>
      <c r="AG20" s="119" t="str">
        <f t="shared" si="3"/>
        <v/>
      </c>
      <c r="AH20" s="218" t="str">
        <f t="shared" si="4"/>
        <v/>
      </c>
      <c r="AI20" s="13" t="str">
        <f t="shared" si="5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21"/>
        <v>43908</v>
      </c>
      <c r="D21" s="643"/>
      <c r="E21" s="633" t="str">
        <f t="shared" si="6"/>
        <v/>
      </c>
      <c r="F21" s="634" t="str">
        <f t="shared" si="7"/>
        <v/>
      </c>
      <c r="G21" s="626"/>
      <c r="H21" s="128" t="str">
        <f t="shared" si="0"/>
        <v/>
      </c>
      <c r="I21" s="127" t="str">
        <f t="shared" si="8"/>
        <v/>
      </c>
      <c r="J21" s="299"/>
      <c r="K21" s="86"/>
      <c r="L21" s="11"/>
      <c r="M21" s="11"/>
      <c r="N21" s="369"/>
      <c r="O21" s="371">
        <f t="shared" si="9"/>
        <v>0</v>
      </c>
      <c r="P21" s="73">
        <f t="shared" si="10"/>
        <v>0</v>
      </c>
      <c r="Q21" s="73">
        <f t="shared" si="11"/>
        <v>0</v>
      </c>
      <c r="R21" s="73">
        <f t="shared" si="12"/>
        <v>0</v>
      </c>
      <c r="S21" s="73">
        <v>0.2</v>
      </c>
      <c r="T21" s="73">
        <f t="shared" si="13"/>
        <v>0.33333333333333337</v>
      </c>
      <c r="U21" s="12" t="str">
        <f t="shared" si="14"/>
        <v/>
      </c>
      <c r="V21" s="372" t="e">
        <f t="shared" si="15"/>
        <v>#VALUE!</v>
      </c>
      <c r="W21" s="114"/>
      <c r="X21" s="161" t="str">
        <f>+IF(D21="cp",(I21*'Récapitulatif '!$AJ$3),"")</f>
        <v/>
      </c>
      <c r="Y21" s="163" t="str">
        <f t="shared" si="1"/>
        <v/>
      </c>
      <c r="Z21" s="154" t="str">
        <f t="shared" si="17"/>
        <v/>
      </c>
      <c r="AA21" s="154" t="str">
        <f t="shared" si="2"/>
        <v/>
      </c>
      <c r="AB21" s="479" t="str">
        <f t="shared" si="22"/>
        <v/>
      </c>
      <c r="AC21" s="475" t="str">
        <f t="shared" si="18"/>
        <v/>
      </c>
      <c r="AD21" s="118" t="str">
        <f t="shared" si="19"/>
        <v/>
      </c>
      <c r="AE21" s="261" t="str">
        <f t="shared" si="20"/>
        <v/>
      </c>
      <c r="AF21" s="382" t="str">
        <f>IF($C$4:$C$43=$C$63,'Récapitulatif '!$AJ$3,"")</f>
        <v/>
      </c>
      <c r="AG21" s="119" t="str">
        <f t="shared" si="3"/>
        <v/>
      </c>
      <c r="AH21" s="218" t="str">
        <f t="shared" si="4"/>
        <v/>
      </c>
      <c r="AI21" s="13" t="str">
        <f t="shared" si="5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21"/>
        <v>43909</v>
      </c>
      <c r="D22" s="643"/>
      <c r="E22" s="633" t="str">
        <f t="shared" si="6"/>
        <v/>
      </c>
      <c r="F22" s="634" t="str">
        <f t="shared" si="7"/>
        <v/>
      </c>
      <c r="G22" s="626"/>
      <c r="H22" s="128" t="str">
        <f t="shared" si="0"/>
        <v/>
      </c>
      <c r="I22" s="127" t="str">
        <f t="shared" si="8"/>
        <v/>
      </c>
      <c r="J22" s="299"/>
      <c r="K22" s="86"/>
      <c r="L22" s="11"/>
      <c r="M22" s="11"/>
      <c r="N22" s="369"/>
      <c r="O22" s="371">
        <f t="shared" si="9"/>
        <v>0</v>
      </c>
      <c r="P22" s="73">
        <f t="shared" si="10"/>
        <v>0</v>
      </c>
      <c r="Q22" s="73">
        <f t="shared" si="11"/>
        <v>0</v>
      </c>
      <c r="R22" s="73">
        <f t="shared" si="12"/>
        <v>0</v>
      </c>
      <c r="S22" s="73">
        <v>0.2</v>
      </c>
      <c r="T22" s="73">
        <f t="shared" si="13"/>
        <v>0.33333333333333337</v>
      </c>
      <c r="U22" s="12" t="str">
        <f t="shared" si="14"/>
        <v/>
      </c>
      <c r="V22" s="372" t="e">
        <f t="shared" si="15"/>
        <v>#VALUE!</v>
      </c>
      <c r="W22" s="114"/>
      <c r="X22" s="161" t="str">
        <f>+IF(D22="cp",(I22*'Récapitulatif '!$AJ$3),"")</f>
        <v/>
      </c>
      <c r="Y22" s="163" t="str">
        <f t="shared" si="1"/>
        <v/>
      </c>
      <c r="Z22" s="154" t="str">
        <f t="shared" si="17"/>
        <v/>
      </c>
      <c r="AA22" s="154" t="str">
        <f t="shared" si="2"/>
        <v/>
      </c>
      <c r="AB22" s="479" t="str">
        <f t="shared" si="22"/>
        <v/>
      </c>
      <c r="AC22" s="475" t="str">
        <f t="shared" si="18"/>
        <v/>
      </c>
      <c r="AD22" s="118" t="str">
        <f t="shared" si="19"/>
        <v/>
      </c>
      <c r="AE22" s="261" t="str">
        <f t="shared" si="20"/>
        <v/>
      </c>
      <c r="AF22" s="382" t="str">
        <f>IF($C$4:$C$43=$C$63,'Récapitulatif '!$AJ$3,"")</f>
        <v/>
      </c>
      <c r="AG22" s="119" t="str">
        <f t="shared" si="3"/>
        <v/>
      </c>
      <c r="AH22" s="218" t="str">
        <f t="shared" si="4"/>
        <v/>
      </c>
      <c r="AI22" s="13" t="str">
        <f t="shared" si="5"/>
        <v/>
      </c>
    </row>
    <row r="23" spans="1:38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112">
        <f t="shared" si="21"/>
        <v>43910</v>
      </c>
      <c r="D23" s="643"/>
      <c r="E23" s="633" t="str">
        <f t="shared" si="6"/>
        <v/>
      </c>
      <c r="F23" s="634" t="str">
        <f t="shared" si="7"/>
        <v/>
      </c>
      <c r="G23" s="626"/>
      <c r="H23" s="128" t="str">
        <f t="shared" si="0"/>
        <v/>
      </c>
      <c r="I23" s="127" t="str">
        <f t="shared" si="8"/>
        <v/>
      </c>
      <c r="J23" s="299"/>
      <c r="K23" s="86"/>
      <c r="L23" s="11"/>
      <c r="M23" s="11"/>
      <c r="N23" s="369"/>
      <c r="O23" s="371">
        <f t="shared" si="9"/>
        <v>0</v>
      </c>
      <c r="P23" s="73">
        <f t="shared" si="10"/>
        <v>0</v>
      </c>
      <c r="Q23" s="73">
        <f t="shared" si="11"/>
        <v>0</v>
      </c>
      <c r="R23" s="73">
        <f t="shared" si="12"/>
        <v>0</v>
      </c>
      <c r="S23" s="73">
        <v>0.2</v>
      </c>
      <c r="T23" s="73">
        <f t="shared" si="13"/>
        <v>0.33333333333333337</v>
      </c>
      <c r="U23" s="12" t="str">
        <f t="shared" si="14"/>
        <v/>
      </c>
      <c r="V23" s="372" t="e">
        <f t="shared" si="15"/>
        <v>#VALUE!</v>
      </c>
      <c r="W23" s="114"/>
      <c r="X23" s="161" t="str">
        <f>+IF(D23="cp",(I23*'Récapitulatif '!$AJ$3),"")</f>
        <v/>
      </c>
      <c r="Y23" s="163" t="str">
        <f t="shared" si="1"/>
        <v/>
      </c>
      <c r="Z23" s="154" t="str">
        <f t="shared" si="17"/>
        <v/>
      </c>
      <c r="AA23" s="154" t="str">
        <f t="shared" si="2"/>
        <v/>
      </c>
      <c r="AB23" s="479" t="str">
        <f t="shared" si="22"/>
        <v/>
      </c>
      <c r="AC23" s="475" t="str">
        <f t="shared" si="18"/>
        <v/>
      </c>
      <c r="AD23" s="118" t="str">
        <f t="shared" si="19"/>
        <v/>
      </c>
      <c r="AE23" s="261" t="str">
        <f t="shared" si="20"/>
        <v/>
      </c>
      <c r="AF23" s="382" t="str">
        <f>IF($C$4:$C$43=$C$63,'Récapitulatif '!$AJ$3,"")</f>
        <v/>
      </c>
      <c r="AG23" s="119" t="str">
        <f t="shared" si="3"/>
        <v/>
      </c>
      <c r="AH23" s="218" t="str">
        <f t="shared" si="4"/>
        <v/>
      </c>
      <c r="AI23" s="13" t="str">
        <f t="shared" si="5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21"/>
        <v>43911</v>
      </c>
      <c r="D24" s="643"/>
      <c r="E24" s="633" t="str">
        <f t="shared" si="6"/>
        <v/>
      </c>
      <c r="F24" s="634" t="str">
        <f t="shared" si="7"/>
        <v/>
      </c>
      <c r="G24" s="626"/>
      <c r="H24" s="128" t="str">
        <f t="shared" si="0"/>
        <v/>
      </c>
      <c r="I24" s="127" t="str">
        <f t="shared" si="8"/>
        <v/>
      </c>
      <c r="J24" s="299"/>
      <c r="K24" s="86"/>
      <c r="L24" s="11"/>
      <c r="M24" s="11"/>
      <c r="N24" s="369"/>
      <c r="O24" s="371">
        <f t="shared" si="9"/>
        <v>0</v>
      </c>
      <c r="P24" s="73">
        <f t="shared" si="10"/>
        <v>0</v>
      </c>
      <c r="Q24" s="73">
        <f t="shared" si="11"/>
        <v>0</v>
      </c>
      <c r="R24" s="73">
        <f t="shared" si="12"/>
        <v>0</v>
      </c>
      <c r="S24" s="73">
        <v>0.2</v>
      </c>
      <c r="T24" s="73">
        <f t="shared" si="13"/>
        <v>0.33333333333333337</v>
      </c>
      <c r="U24" s="12" t="str">
        <f t="shared" si="14"/>
        <v/>
      </c>
      <c r="V24" s="372" t="e">
        <f t="shared" si="15"/>
        <v>#VALUE!</v>
      </c>
      <c r="W24" s="114" t="str">
        <f t="shared" si="16"/>
        <v/>
      </c>
      <c r="X24" s="161" t="str">
        <f>+IF(D24="cp",(I24*'Récapitulatif '!$AJ$3),"")</f>
        <v/>
      </c>
      <c r="Y24" s="163" t="str">
        <f t="shared" si="1"/>
        <v/>
      </c>
      <c r="Z24" s="154" t="str">
        <f t="shared" si="17"/>
        <v/>
      </c>
      <c r="AA24" s="154" t="str">
        <f t="shared" si="2"/>
        <v/>
      </c>
      <c r="AB24" s="479" t="str">
        <f t="shared" si="22"/>
        <v/>
      </c>
      <c r="AC24" s="475" t="str">
        <f t="shared" si="18"/>
        <v/>
      </c>
      <c r="AD24" s="118" t="str">
        <f t="shared" si="19"/>
        <v/>
      </c>
      <c r="AE24" s="261" t="str">
        <f t="shared" si="20"/>
        <v/>
      </c>
      <c r="AF24" s="382" t="str">
        <f>IF($C$4:$C$43=$C$63,'Récapitulatif '!$AJ$3,"")</f>
        <v/>
      </c>
      <c r="AG24" s="119" t="str">
        <f t="shared" si="3"/>
        <v/>
      </c>
      <c r="AH24" s="218" t="str">
        <f t="shared" si="4"/>
        <v/>
      </c>
      <c r="AI24" s="13" t="str">
        <f t="shared" si="5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1"/>
        <v>43912</v>
      </c>
      <c r="D25" s="643" t="s">
        <v>203</v>
      </c>
      <c r="E25" s="633" t="str">
        <f t="shared" si="6"/>
        <v/>
      </c>
      <c r="F25" s="634">
        <f t="shared" si="7"/>
        <v>1</v>
      </c>
      <c r="G25" s="626" t="s">
        <v>184</v>
      </c>
      <c r="H25" s="128">
        <f t="shared" si="0"/>
        <v>1</v>
      </c>
      <c r="I25" s="127" t="str">
        <f t="shared" si="8"/>
        <v/>
      </c>
      <c r="J25" s="299"/>
      <c r="K25" s="86">
        <v>21</v>
      </c>
      <c r="L25" s="11">
        <v>5</v>
      </c>
      <c r="M25" s="11"/>
      <c r="N25" s="369"/>
      <c r="O25" s="371">
        <f t="shared" si="9"/>
        <v>21</v>
      </c>
      <c r="P25" s="73">
        <f t="shared" si="10"/>
        <v>5</v>
      </c>
      <c r="Q25" s="73">
        <f t="shared" si="11"/>
        <v>0</v>
      </c>
      <c r="R25" s="73">
        <f t="shared" si="12"/>
        <v>0</v>
      </c>
      <c r="S25" s="73">
        <v>0.2</v>
      </c>
      <c r="T25" s="73">
        <f t="shared" si="13"/>
        <v>0.33333333333333337</v>
      </c>
      <c r="U25" s="12">
        <f t="shared" si="14"/>
        <v>7.666666666666667</v>
      </c>
      <c r="V25" s="372">
        <f t="shared" si="15"/>
        <v>8</v>
      </c>
      <c r="W25" s="114">
        <f t="shared" si="16"/>
        <v>7.666666666666667</v>
      </c>
      <c r="X25" s="161" t="str">
        <f>+IF(D25="cp",(I25*'Récapitulatif '!$AJ$3),"")</f>
        <v/>
      </c>
      <c r="Y25" s="163">
        <f t="shared" si="1"/>
        <v>7.666666666666667</v>
      </c>
      <c r="Z25" s="154" t="str">
        <f t="shared" si="17"/>
        <v/>
      </c>
      <c r="AA25" s="154">
        <f t="shared" si="2"/>
        <v>1</v>
      </c>
      <c r="AB25" s="479">
        <f>+IF(WEEKDAY(C25)=1,SUM(W19:X25),"")</f>
        <v>7.666666666666667</v>
      </c>
      <c r="AC25" s="475" t="str">
        <f t="shared" si="18"/>
        <v/>
      </c>
      <c r="AD25" s="118">
        <f t="shared" si="19"/>
        <v>3</v>
      </c>
      <c r="AE25" s="261" t="str">
        <f t="shared" si="20"/>
        <v/>
      </c>
      <c r="AF25" s="382" t="str">
        <f>IF($C$4:$C$43=$C$63,'Récapitulatif '!$AJ$3,"")</f>
        <v/>
      </c>
      <c r="AG25" s="119" t="str">
        <f t="shared" si="3"/>
        <v/>
      </c>
      <c r="AH25" s="218" t="str">
        <f t="shared" si="4"/>
        <v/>
      </c>
      <c r="AI25" s="13">
        <f t="shared" si="5"/>
        <v>1</v>
      </c>
    </row>
    <row r="26" spans="1:38">
      <c r="A26" s="482">
        <f>IF(WEEKDAY(C26,2)=1,INT((C26-SUM(MOD(DATE(YEAR(C26-MOD(C26-2,7)+3),1,2),{1E+99;7})*{1;-1})+5)/7),"")</f>
        <v>13</v>
      </c>
      <c r="B26" s="482" t="str">
        <f>IF(A26&lt;&gt;"",VLOOKUP(A26,juin!$L$49:$M$101,2,FALSE),"")</f>
        <v>Nuit</v>
      </c>
      <c r="C26" s="112">
        <f t="shared" si="21"/>
        <v>43913</v>
      </c>
      <c r="D26" s="643" t="s">
        <v>203</v>
      </c>
      <c r="E26" s="633" t="str">
        <f t="shared" si="6"/>
        <v/>
      </c>
      <c r="F26" s="634" t="str">
        <f t="shared" si="7"/>
        <v/>
      </c>
      <c r="G26" s="626" t="s">
        <v>184</v>
      </c>
      <c r="H26" s="128">
        <f t="shared" si="0"/>
        <v>1</v>
      </c>
      <c r="I26" s="127" t="str">
        <f t="shared" si="8"/>
        <v/>
      </c>
      <c r="J26" s="299"/>
      <c r="K26" s="86">
        <v>20.55</v>
      </c>
      <c r="L26" s="11">
        <v>5</v>
      </c>
      <c r="M26" s="11"/>
      <c r="N26" s="369"/>
      <c r="O26" s="371">
        <f t="shared" si="9"/>
        <v>20.916666666666668</v>
      </c>
      <c r="P26" s="73">
        <f t="shared" si="10"/>
        <v>5</v>
      </c>
      <c r="Q26" s="73">
        <f t="shared" si="11"/>
        <v>0</v>
      </c>
      <c r="R26" s="73">
        <f t="shared" si="12"/>
        <v>0</v>
      </c>
      <c r="S26" s="73">
        <v>0.2</v>
      </c>
      <c r="T26" s="73">
        <f t="shared" si="13"/>
        <v>0.33333333333333337</v>
      </c>
      <c r="U26" s="12">
        <f t="shared" si="14"/>
        <v>7.7499999999999991</v>
      </c>
      <c r="V26" s="372">
        <f t="shared" si="15"/>
        <v>8</v>
      </c>
      <c r="W26" s="114">
        <f t="shared" si="16"/>
        <v>7.7499999999999991</v>
      </c>
      <c r="X26" s="161" t="str">
        <f>+IF(D26="cp",(I26*'Récapitulatif '!$AJ$3),"")</f>
        <v/>
      </c>
      <c r="Y26" s="163">
        <f t="shared" si="1"/>
        <v>7.666666666666667</v>
      </c>
      <c r="Z26" s="154" t="str">
        <f t="shared" si="17"/>
        <v/>
      </c>
      <c r="AA26" s="154">
        <f t="shared" si="2"/>
        <v>1</v>
      </c>
      <c r="AB26" s="479" t="str">
        <f t="shared" si="22"/>
        <v/>
      </c>
      <c r="AC26" s="475" t="str">
        <f t="shared" si="18"/>
        <v/>
      </c>
      <c r="AD26" s="118" t="str">
        <f t="shared" si="19"/>
        <v/>
      </c>
      <c r="AE26" s="261" t="str">
        <f t="shared" si="20"/>
        <v/>
      </c>
      <c r="AF26" s="382" t="str">
        <f>IF($C$4:$C$43=$C$63,'Récapitulatif '!$AJ$3,"")</f>
        <v/>
      </c>
      <c r="AG26" s="119" t="str">
        <f t="shared" si="3"/>
        <v/>
      </c>
      <c r="AH26" s="218" t="str">
        <f t="shared" si="4"/>
        <v/>
      </c>
      <c r="AI26" s="13">
        <f t="shared" si="5"/>
        <v>1</v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1"/>
        <v>43914</v>
      </c>
      <c r="D27" s="643" t="s">
        <v>203</v>
      </c>
      <c r="E27" s="633" t="str">
        <f t="shared" si="6"/>
        <v/>
      </c>
      <c r="F27" s="634" t="str">
        <f t="shared" si="7"/>
        <v/>
      </c>
      <c r="G27" s="626" t="s">
        <v>184</v>
      </c>
      <c r="H27" s="128">
        <f t="shared" si="0"/>
        <v>1</v>
      </c>
      <c r="I27" s="127" t="str">
        <f t="shared" si="8"/>
        <v/>
      </c>
      <c r="J27" s="299"/>
      <c r="K27" s="86">
        <v>20.55</v>
      </c>
      <c r="L27" s="11">
        <v>5</v>
      </c>
      <c r="M27" s="11"/>
      <c r="N27" s="369"/>
      <c r="O27" s="371">
        <f t="shared" si="9"/>
        <v>20.916666666666668</v>
      </c>
      <c r="P27" s="73">
        <f t="shared" si="10"/>
        <v>5</v>
      </c>
      <c r="Q27" s="73">
        <f t="shared" si="11"/>
        <v>0</v>
      </c>
      <c r="R27" s="73">
        <f t="shared" si="12"/>
        <v>0</v>
      </c>
      <c r="S27" s="73">
        <v>0.2</v>
      </c>
      <c r="T27" s="73">
        <f t="shared" si="13"/>
        <v>0.33333333333333337</v>
      </c>
      <c r="U27" s="12">
        <f t="shared" si="14"/>
        <v>7.7499999999999991</v>
      </c>
      <c r="V27" s="372">
        <f t="shared" si="15"/>
        <v>8</v>
      </c>
      <c r="W27" s="114">
        <f t="shared" si="16"/>
        <v>7.7499999999999991</v>
      </c>
      <c r="X27" s="161" t="str">
        <f>+IF(D27="cp",(I27*'Récapitulatif '!$AJ$3),"")</f>
        <v/>
      </c>
      <c r="Y27" s="163">
        <f t="shared" si="1"/>
        <v>7.666666666666667</v>
      </c>
      <c r="Z27" s="154" t="str">
        <f t="shared" si="17"/>
        <v/>
      </c>
      <c r="AA27" s="154">
        <f t="shared" si="2"/>
        <v>1</v>
      </c>
      <c r="AB27" s="479" t="str">
        <f t="shared" si="22"/>
        <v/>
      </c>
      <c r="AC27" s="475" t="str">
        <f t="shared" si="18"/>
        <v/>
      </c>
      <c r="AD27" s="118" t="str">
        <f t="shared" si="19"/>
        <v/>
      </c>
      <c r="AE27" s="261" t="str">
        <f t="shared" si="20"/>
        <v/>
      </c>
      <c r="AF27" s="382" t="str">
        <f>IF($C$4:$C$43=$C$63,'Récapitulatif '!$AJ$3,"")</f>
        <v/>
      </c>
      <c r="AG27" s="119" t="str">
        <f t="shared" si="3"/>
        <v/>
      </c>
      <c r="AH27" s="218" t="str">
        <f t="shared" si="4"/>
        <v/>
      </c>
      <c r="AI27" s="13">
        <f t="shared" si="5"/>
        <v>1</v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21"/>
        <v>43915</v>
      </c>
      <c r="D28" s="643" t="s">
        <v>203</v>
      </c>
      <c r="E28" s="633" t="str">
        <f t="shared" si="6"/>
        <v/>
      </c>
      <c r="F28" s="634" t="str">
        <f t="shared" si="7"/>
        <v/>
      </c>
      <c r="G28" s="626" t="s">
        <v>184</v>
      </c>
      <c r="H28" s="128">
        <f t="shared" si="0"/>
        <v>1</v>
      </c>
      <c r="I28" s="127" t="str">
        <f t="shared" si="8"/>
        <v/>
      </c>
      <c r="J28" s="299"/>
      <c r="K28" s="86">
        <v>20.55</v>
      </c>
      <c r="L28" s="11">
        <v>5</v>
      </c>
      <c r="M28" s="11"/>
      <c r="N28" s="369"/>
      <c r="O28" s="371">
        <f t="shared" si="9"/>
        <v>20.916666666666668</v>
      </c>
      <c r="P28" s="73">
        <f t="shared" si="10"/>
        <v>5</v>
      </c>
      <c r="Q28" s="73">
        <f t="shared" si="11"/>
        <v>0</v>
      </c>
      <c r="R28" s="73">
        <f t="shared" si="12"/>
        <v>0</v>
      </c>
      <c r="S28" s="73">
        <v>0.2</v>
      </c>
      <c r="T28" s="73">
        <f t="shared" si="13"/>
        <v>0.33333333333333337</v>
      </c>
      <c r="U28" s="12">
        <f t="shared" si="14"/>
        <v>7.7499999999999991</v>
      </c>
      <c r="V28" s="372">
        <f t="shared" si="15"/>
        <v>8</v>
      </c>
      <c r="W28" s="114">
        <f t="shared" si="16"/>
        <v>7.7499999999999991</v>
      </c>
      <c r="X28" s="161" t="str">
        <f>+IF(D28="cp",(I28*'Récapitulatif '!$AJ$3),"")</f>
        <v/>
      </c>
      <c r="Y28" s="163">
        <f t="shared" si="1"/>
        <v>7.666666666666667</v>
      </c>
      <c r="Z28" s="154" t="str">
        <f t="shared" si="17"/>
        <v/>
      </c>
      <c r="AA28" s="154">
        <f t="shared" si="2"/>
        <v>1</v>
      </c>
      <c r="AB28" s="479" t="str">
        <f t="shared" si="22"/>
        <v/>
      </c>
      <c r="AC28" s="475" t="str">
        <f t="shared" si="18"/>
        <v/>
      </c>
      <c r="AD28" s="118" t="str">
        <f t="shared" si="19"/>
        <v/>
      </c>
      <c r="AE28" s="261" t="str">
        <f t="shared" si="20"/>
        <v/>
      </c>
      <c r="AF28" s="382" t="str">
        <f>IF($C$4:$C$43=$C$63,'Récapitulatif '!$AJ$3,"")</f>
        <v/>
      </c>
      <c r="AG28" s="119" t="str">
        <f t="shared" si="3"/>
        <v/>
      </c>
      <c r="AH28" s="218" t="str">
        <f t="shared" si="4"/>
        <v/>
      </c>
      <c r="AI28" s="13">
        <f t="shared" si="5"/>
        <v>1</v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21"/>
        <v>43916</v>
      </c>
      <c r="D29" s="643" t="s">
        <v>203</v>
      </c>
      <c r="E29" s="633" t="str">
        <f t="shared" si="6"/>
        <v/>
      </c>
      <c r="F29" s="634" t="str">
        <f t="shared" si="7"/>
        <v/>
      </c>
      <c r="G29" s="626" t="s">
        <v>184</v>
      </c>
      <c r="H29" s="128">
        <f t="shared" si="0"/>
        <v>1</v>
      </c>
      <c r="I29" s="127" t="str">
        <f t="shared" si="8"/>
        <v/>
      </c>
      <c r="J29" s="299"/>
      <c r="K29" s="86">
        <v>20.55</v>
      </c>
      <c r="L29" s="11">
        <v>5</v>
      </c>
      <c r="M29" s="11"/>
      <c r="N29" s="369"/>
      <c r="O29" s="371">
        <f t="shared" si="9"/>
        <v>20.916666666666668</v>
      </c>
      <c r="P29" s="73">
        <f t="shared" si="10"/>
        <v>5</v>
      </c>
      <c r="Q29" s="73">
        <f t="shared" si="11"/>
        <v>0</v>
      </c>
      <c r="R29" s="73">
        <f t="shared" si="12"/>
        <v>0</v>
      </c>
      <c r="S29" s="73">
        <v>0.2</v>
      </c>
      <c r="T29" s="73">
        <f t="shared" si="13"/>
        <v>0.33333333333333337</v>
      </c>
      <c r="U29" s="12">
        <f t="shared" si="14"/>
        <v>7.7499999999999991</v>
      </c>
      <c r="V29" s="372">
        <f t="shared" si="15"/>
        <v>8</v>
      </c>
      <c r="W29" s="114">
        <f t="shared" si="16"/>
        <v>7.7499999999999991</v>
      </c>
      <c r="X29" s="161" t="str">
        <f>+IF(D29="cp",(I29*'Récapitulatif '!$AJ$3),"")</f>
        <v/>
      </c>
      <c r="Y29" s="163">
        <f t="shared" si="1"/>
        <v>7.666666666666667</v>
      </c>
      <c r="Z29" s="154" t="str">
        <f t="shared" si="17"/>
        <v/>
      </c>
      <c r="AA29" s="154">
        <f t="shared" si="2"/>
        <v>1</v>
      </c>
      <c r="AB29" s="479" t="str">
        <f t="shared" si="22"/>
        <v/>
      </c>
      <c r="AC29" s="475" t="str">
        <f t="shared" si="18"/>
        <v/>
      </c>
      <c r="AD29" s="118" t="str">
        <f t="shared" si="19"/>
        <v/>
      </c>
      <c r="AE29" s="261" t="str">
        <f t="shared" si="20"/>
        <v/>
      </c>
      <c r="AF29" s="382" t="str">
        <f>IF($C$4:$C$43=$C$63,'Récapitulatif '!$AJ$3,"")</f>
        <v/>
      </c>
      <c r="AG29" s="119" t="str">
        <f t="shared" si="3"/>
        <v/>
      </c>
      <c r="AH29" s="218" t="str">
        <f t="shared" si="4"/>
        <v/>
      </c>
      <c r="AI29" s="13">
        <f t="shared" si="5"/>
        <v>1</v>
      </c>
    </row>
    <row r="30" spans="1:38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112">
        <f t="shared" si="21"/>
        <v>43917</v>
      </c>
      <c r="D30" s="643"/>
      <c r="E30" s="633" t="str">
        <f t="shared" si="6"/>
        <v/>
      </c>
      <c r="F30" s="634" t="str">
        <f t="shared" si="7"/>
        <v/>
      </c>
      <c r="G30" s="626"/>
      <c r="H30" s="128" t="str">
        <f t="shared" si="0"/>
        <v/>
      </c>
      <c r="I30" s="127" t="str">
        <f t="shared" si="8"/>
        <v/>
      </c>
      <c r="J30" s="299"/>
      <c r="K30" s="86"/>
      <c r="L30" s="11"/>
      <c r="M30" s="11"/>
      <c r="N30" s="369"/>
      <c r="O30" s="371">
        <f t="shared" si="9"/>
        <v>0</v>
      </c>
      <c r="P30" s="73">
        <f t="shared" si="10"/>
        <v>0</v>
      </c>
      <c r="Q30" s="73">
        <f t="shared" si="11"/>
        <v>0</v>
      </c>
      <c r="R30" s="73">
        <f t="shared" si="12"/>
        <v>0</v>
      </c>
      <c r="S30" s="73">
        <v>0.2</v>
      </c>
      <c r="T30" s="73">
        <f t="shared" si="13"/>
        <v>0.33333333333333337</v>
      </c>
      <c r="U30" s="12" t="str">
        <f t="shared" si="14"/>
        <v/>
      </c>
      <c r="V30" s="372" t="e">
        <f t="shared" si="15"/>
        <v>#VALUE!</v>
      </c>
      <c r="W30" s="114" t="str">
        <f t="shared" si="16"/>
        <v/>
      </c>
      <c r="X30" s="161" t="str">
        <f>+IF(D30="cp",(I30*'Récapitulatif '!$AJ$3),"")</f>
        <v/>
      </c>
      <c r="Y30" s="163" t="str">
        <f t="shared" si="1"/>
        <v/>
      </c>
      <c r="Z30" s="154" t="str">
        <f t="shared" si="17"/>
        <v/>
      </c>
      <c r="AA30" s="154" t="str">
        <f t="shared" si="2"/>
        <v/>
      </c>
      <c r="AB30" s="479" t="str">
        <f t="shared" si="22"/>
        <v/>
      </c>
      <c r="AC30" s="475" t="str">
        <f t="shared" si="18"/>
        <v/>
      </c>
      <c r="AD30" s="118" t="str">
        <f t="shared" si="19"/>
        <v/>
      </c>
      <c r="AE30" s="261" t="str">
        <f t="shared" si="20"/>
        <v/>
      </c>
      <c r="AF30" s="382" t="str">
        <f>IF($C$4:$C$43=$C$63,'Récapitulatif '!$AJ$3,"")</f>
        <v/>
      </c>
      <c r="AG30" s="119" t="str">
        <f t="shared" si="3"/>
        <v/>
      </c>
      <c r="AH30" s="218" t="str">
        <f t="shared" si="4"/>
        <v/>
      </c>
      <c r="AI30" s="13" t="str">
        <f t="shared" si="5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21"/>
        <v>43918</v>
      </c>
      <c r="D31" s="643"/>
      <c r="E31" s="633" t="str">
        <f t="shared" si="6"/>
        <v/>
      </c>
      <c r="F31" s="634" t="str">
        <f t="shared" si="7"/>
        <v/>
      </c>
      <c r="G31" s="626"/>
      <c r="H31" s="128" t="str">
        <f t="shared" si="0"/>
        <v/>
      </c>
      <c r="I31" s="127" t="str">
        <f t="shared" si="8"/>
        <v/>
      </c>
      <c r="J31" s="299"/>
      <c r="K31" s="86"/>
      <c r="L31" s="11"/>
      <c r="M31" s="11"/>
      <c r="N31" s="369"/>
      <c r="O31" s="371">
        <f t="shared" si="9"/>
        <v>0</v>
      </c>
      <c r="P31" s="73">
        <f t="shared" si="10"/>
        <v>0</v>
      </c>
      <c r="Q31" s="73">
        <f t="shared" si="11"/>
        <v>0</v>
      </c>
      <c r="R31" s="73">
        <f t="shared" si="12"/>
        <v>0</v>
      </c>
      <c r="S31" s="73">
        <v>0.2</v>
      </c>
      <c r="T31" s="73">
        <f t="shared" si="13"/>
        <v>0.33333333333333337</v>
      </c>
      <c r="U31" s="12" t="str">
        <f t="shared" si="14"/>
        <v/>
      </c>
      <c r="V31" s="372" t="e">
        <f t="shared" si="15"/>
        <v>#VALUE!</v>
      </c>
      <c r="W31" s="114" t="str">
        <f t="shared" si="16"/>
        <v/>
      </c>
      <c r="X31" s="161" t="str">
        <f>+IF(D31="cp",(I31*'Récapitulatif '!$AJ$3),"")</f>
        <v/>
      </c>
      <c r="Y31" s="163" t="str">
        <f t="shared" si="1"/>
        <v/>
      </c>
      <c r="Z31" s="154" t="str">
        <f t="shared" si="17"/>
        <v/>
      </c>
      <c r="AA31" s="154" t="str">
        <f t="shared" si="2"/>
        <v/>
      </c>
      <c r="AB31" s="479" t="str">
        <f t="shared" si="22"/>
        <v/>
      </c>
      <c r="AC31" s="475" t="str">
        <f t="shared" si="18"/>
        <v/>
      </c>
      <c r="AD31" s="118" t="str">
        <f t="shared" si="19"/>
        <v/>
      </c>
      <c r="AE31" s="261" t="str">
        <f t="shared" si="20"/>
        <v/>
      </c>
      <c r="AF31" s="382" t="str">
        <f>IF($C$4:$C$43=$C$63,'Récapitulatif '!$AJ$3,"")</f>
        <v/>
      </c>
      <c r="AG31" s="119" t="str">
        <f t="shared" si="3"/>
        <v/>
      </c>
      <c r="AH31" s="218" t="str">
        <f t="shared" si="4"/>
        <v/>
      </c>
      <c r="AI31" s="13" t="str">
        <f t="shared" si="5"/>
        <v/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43919</v>
      </c>
      <c r="D32" s="643"/>
      <c r="E32" s="633" t="str">
        <f t="shared" si="6"/>
        <v/>
      </c>
      <c r="F32" s="634" t="str">
        <f t="shared" si="7"/>
        <v/>
      </c>
      <c r="G32" s="626"/>
      <c r="H32" s="128" t="str">
        <f t="shared" si="0"/>
        <v/>
      </c>
      <c r="I32" s="127" t="str">
        <f t="shared" si="8"/>
        <v/>
      </c>
      <c r="J32" s="299"/>
      <c r="K32" s="86"/>
      <c r="L32" s="11"/>
      <c r="M32" s="11"/>
      <c r="N32" s="369"/>
      <c r="O32" s="371">
        <f t="shared" si="9"/>
        <v>0</v>
      </c>
      <c r="P32" s="73">
        <f t="shared" si="10"/>
        <v>0</v>
      </c>
      <c r="Q32" s="73">
        <f t="shared" si="11"/>
        <v>0</v>
      </c>
      <c r="R32" s="73">
        <f t="shared" si="12"/>
        <v>0</v>
      </c>
      <c r="S32" s="73">
        <v>0.2</v>
      </c>
      <c r="T32" s="73">
        <f t="shared" si="13"/>
        <v>0.33333333333333337</v>
      </c>
      <c r="U32" s="12" t="str">
        <f t="shared" si="14"/>
        <v/>
      </c>
      <c r="V32" s="372" t="e">
        <f t="shared" si="15"/>
        <v>#VALUE!</v>
      </c>
      <c r="W32" s="114" t="str">
        <f t="shared" si="16"/>
        <v/>
      </c>
      <c r="X32" s="161" t="str">
        <f>+IF(D32="cp",(I32*'Récapitulatif '!$AJ$3),"")</f>
        <v/>
      </c>
      <c r="Y32" s="163" t="str">
        <f t="shared" si="1"/>
        <v/>
      </c>
      <c r="Z32" s="154" t="str">
        <f t="shared" si="17"/>
        <v/>
      </c>
      <c r="AA32" s="154" t="str">
        <f t="shared" si="2"/>
        <v/>
      </c>
      <c r="AB32" s="479">
        <f t="shared" si="22"/>
        <v>30.999999999999996</v>
      </c>
      <c r="AC32" s="475" t="str">
        <f t="shared" si="18"/>
        <v/>
      </c>
      <c r="AD32" s="118" t="str">
        <f t="shared" si="19"/>
        <v/>
      </c>
      <c r="AE32" s="261" t="str">
        <f t="shared" si="20"/>
        <v/>
      </c>
      <c r="AF32" s="382" t="str">
        <f>IF($C$4:$C$43=$C$63,'Récapitulatif '!$AJ$3,"")</f>
        <v/>
      </c>
      <c r="AG32" s="119" t="str">
        <f t="shared" si="3"/>
        <v/>
      </c>
      <c r="AH32" s="218" t="str">
        <f t="shared" si="4"/>
        <v/>
      </c>
      <c r="AI32" s="13" t="str">
        <f t="shared" si="5"/>
        <v/>
      </c>
    </row>
    <row r="33" spans="1:39">
      <c r="A33" s="482">
        <f>IF(WEEKDAY(C33,2)=1,INT((C33-SUM(MOD(DATE(YEAR(C33-MOD(C33-2,7)+3),1,2),{1E+99;7})*{1;-1})+5)/7),"")</f>
        <v>14</v>
      </c>
      <c r="B33" s="482" t="str">
        <f>IF(A33&lt;&gt;"",VLOOKUP(A33,juin!$L$49:$M$101,2,FALSE),"")</f>
        <v>A - Midi</v>
      </c>
      <c r="C33" s="112">
        <f>+IF(MONTH(C$31+2)=MONTH(C$31)+1,"",C$31+2)</f>
        <v>43920</v>
      </c>
      <c r="D33" s="646"/>
      <c r="E33" s="633" t="str">
        <f t="shared" si="6"/>
        <v/>
      </c>
      <c r="F33" s="634" t="str">
        <f t="shared" si="7"/>
        <v/>
      </c>
      <c r="G33" s="626"/>
      <c r="H33" s="128" t="str">
        <f t="shared" si="0"/>
        <v/>
      </c>
      <c r="I33" s="127" t="str">
        <f t="shared" si="8"/>
        <v/>
      </c>
      <c r="J33" s="299"/>
      <c r="K33" s="86"/>
      <c r="L33" s="11"/>
      <c r="M33" s="11"/>
      <c r="N33" s="369"/>
      <c r="O33" s="371">
        <f t="shared" si="9"/>
        <v>0</v>
      </c>
      <c r="P33" s="73">
        <f t="shared" si="10"/>
        <v>0</v>
      </c>
      <c r="Q33" s="73">
        <f t="shared" si="11"/>
        <v>0</v>
      </c>
      <c r="R33" s="73">
        <f t="shared" si="12"/>
        <v>0</v>
      </c>
      <c r="S33" s="73">
        <v>0.2</v>
      </c>
      <c r="T33" s="73">
        <f t="shared" si="13"/>
        <v>0.33333333333333337</v>
      </c>
      <c r="U33" s="12" t="str">
        <f t="shared" si="14"/>
        <v/>
      </c>
      <c r="V33" s="372" t="e">
        <f t="shared" si="15"/>
        <v>#VALUE!</v>
      </c>
      <c r="W33" s="114" t="str">
        <f t="shared" si="16"/>
        <v/>
      </c>
      <c r="X33" s="161" t="str">
        <f>+IF(D33="cp",(I33*'Récapitulatif '!$AJ$3),"")</f>
        <v/>
      </c>
      <c r="Y33" s="163" t="str">
        <f t="shared" si="1"/>
        <v/>
      </c>
      <c r="Z33" s="154" t="str">
        <f t="shared" si="17"/>
        <v/>
      </c>
      <c r="AA33" s="154" t="str">
        <f t="shared" si="2"/>
        <v/>
      </c>
      <c r="AB33" s="479" t="str">
        <f t="shared" si="22"/>
        <v/>
      </c>
      <c r="AC33" s="475" t="str">
        <f t="shared" si="18"/>
        <v/>
      </c>
      <c r="AD33" s="118" t="str">
        <f t="shared" si="19"/>
        <v/>
      </c>
      <c r="AE33" s="261" t="str">
        <f t="shared" si="20"/>
        <v/>
      </c>
      <c r="AF33" s="382" t="str">
        <f>IF($C$4:$C$43=$C$63,'Récapitulatif '!$AJ$3,"")</f>
        <v/>
      </c>
      <c r="AG33" s="119" t="str">
        <f t="shared" si="3"/>
        <v/>
      </c>
      <c r="AH33" s="218" t="str">
        <f t="shared" si="4"/>
        <v/>
      </c>
      <c r="AI33" s="13" t="str">
        <f t="shared" si="5"/>
        <v/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>
        <f>+IF(MONTH(C$31+3)=MONTH(C$31)+1,"",C$31+3)</f>
        <v>43921</v>
      </c>
      <c r="D34" s="648"/>
      <c r="E34" s="635" t="str">
        <f t="shared" si="6"/>
        <v/>
      </c>
      <c r="F34" s="636" t="str">
        <f t="shared" si="7"/>
        <v/>
      </c>
      <c r="G34" s="627"/>
      <c r="H34" s="128" t="str">
        <f t="shared" si="0"/>
        <v/>
      </c>
      <c r="I34" s="127" t="str">
        <f t="shared" si="8"/>
        <v/>
      </c>
      <c r="J34" s="14"/>
      <c r="K34" s="14"/>
      <c r="L34" s="14"/>
      <c r="M34" s="14"/>
      <c r="N34" s="370"/>
      <c r="O34" s="373">
        <f t="shared" si="9"/>
        <v>0</v>
      </c>
      <c r="P34" s="202">
        <f t="shared" si="10"/>
        <v>0</v>
      </c>
      <c r="Q34" s="202">
        <f t="shared" si="11"/>
        <v>0</v>
      </c>
      <c r="R34" s="202">
        <f t="shared" si="12"/>
        <v>0</v>
      </c>
      <c r="S34" s="202">
        <v>0.2</v>
      </c>
      <c r="T34" s="202">
        <f t="shared" si="13"/>
        <v>0.33333333333333337</v>
      </c>
      <c r="U34" s="203" t="str">
        <f t="shared" si="14"/>
        <v/>
      </c>
      <c r="V34" s="374" t="e">
        <f t="shared" si="15"/>
        <v>#VALUE!</v>
      </c>
      <c r="W34" s="115" t="str">
        <f t="shared" si="16"/>
        <v/>
      </c>
      <c r="X34" s="204" t="str">
        <f>+IF(D34="cp",(I34*'Récapitulatif '!$AJ$3),"")</f>
        <v/>
      </c>
      <c r="Y34" s="164" t="str">
        <f t="shared" si="1"/>
        <v/>
      </c>
      <c r="Z34" s="154" t="str">
        <f t="shared" si="17"/>
        <v/>
      </c>
      <c r="AA34" s="154" t="str">
        <f t="shared" si="2"/>
        <v/>
      </c>
      <c r="AB34" s="480" t="str">
        <f t="shared" si="22"/>
        <v/>
      </c>
      <c r="AC34" s="476" t="str">
        <f t="shared" si="18"/>
        <v/>
      </c>
      <c r="AD34" s="120" t="str">
        <f t="shared" si="19"/>
        <v/>
      </c>
      <c r="AE34" s="262" t="str">
        <f t="shared" si="20"/>
        <v/>
      </c>
      <c r="AF34" s="383" t="str">
        <f>IF($C$4:$C$43=$C$63,'Récapitulatif '!$AJ$3,"")</f>
        <v/>
      </c>
      <c r="AG34" s="131" t="str">
        <f t="shared" si="3"/>
        <v/>
      </c>
      <c r="AH34" s="219" t="str">
        <f t="shared" si="4"/>
        <v/>
      </c>
      <c r="AI34" s="15" t="str">
        <f t="shared" si="5"/>
        <v/>
      </c>
    </row>
    <row r="35" spans="1:39" ht="13.5" hidden="1" thickBot="1">
      <c r="A35" s="481" t="str">
        <f>IF(WEEKDAY(C35,2)=1,NO.SEMAINE(C35),"")</f>
        <v/>
      </c>
      <c r="B35" s="482" t="str">
        <f>IF(A35&lt;&gt;"",VLOOKUP(A35,juin!$L$49:$M$101,2,FALSE),"")</f>
        <v/>
      </c>
      <c r="C35" s="191"/>
      <c r="D35" s="192"/>
      <c r="E35" s="192"/>
      <c r="F35" s="622" t="str">
        <f t="shared" si="7"/>
        <v/>
      </c>
      <c r="G35" s="192"/>
      <c r="H35" s="193"/>
      <c r="I35" s="193"/>
      <c r="J35" s="193"/>
      <c r="K35" s="194"/>
      <c r="L35" s="11">
        <v>16</v>
      </c>
      <c r="M35" s="194"/>
      <c r="N35" s="194"/>
      <c r="O35" s="195"/>
      <c r="P35" s="195"/>
      <c r="Q35" s="195"/>
      <c r="R35" s="195"/>
      <c r="S35" s="195"/>
      <c r="T35" s="195"/>
      <c r="U35" s="196"/>
      <c r="V35" s="173" t="e">
        <f t="shared" si="15"/>
        <v>#VALUE!</v>
      </c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0</v>
      </c>
      <c r="AC35" s="199"/>
      <c r="AD35" s="199"/>
      <c r="AE35" s="174" t="e">
        <f>+IF(OR($C$4:$C$34=$C$63),W35,"")</f>
        <v>#VALUE!</v>
      </c>
      <c r="AF35" s="269"/>
      <c r="AG35" s="269"/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+SUM(I4:I34)</f>
        <v>0</v>
      </c>
      <c r="E37" s="609"/>
      <c r="F37" s="609"/>
      <c r="G37" s="836" t="s">
        <v>206</v>
      </c>
      <c r="H37" s="837"/>
      <c r="I37" s="837"/>
      <c r="J37" s="837"/>
      <c r="K37" s="616">
        <f>SUM(E4:E34)</f>
        <v>0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69.666666666666657</v>
      </c>
      <c r="X37" s="151">
        <f>SUM(X4:X34)</f>
        <v>0</v>
      </c>
      <c r="Y37" s="117">
        <f t="shared" ref="Y37:AI37" si="23">SUM(Y4:Y34)</f>
        <v>38.333333333333336</v>
      </c>
      <c r="Z37" s="155">
        <f>SUM(Z4:Z34)</f>
        <v>0</v>
      </c>
      <c r="AA37" s="155">
        <f>SUM(AA4:AA34)-Z37</f>
        <v>5</v>
      </c>
      <c r="AC37" s="121">
        <f t="shared" si="23"/>
        <v>0</v>
      </c>
      <c r="AD37" s="122">
        <f t="shared" si="23"/>
        <v>3</v>
      </c>
      <c r="AE37" s="123">
        <f t="shared" si="23"/>
        <v>0</v>
      </c>
      <c r="AF37" s="121">
        <f>SUM(AF4:AF34)</f>
        <v>0</v>
      </c>
      <c r="AG37" s="123">
        <f>SUM(AG4:AG34)</f>
        <v>0</v>
      </c>
      <c r="AH37" s="314">
        <f t="shared" si="23"/>
        <v>4</v>
      </c>
      <c r="AI37" s="23">
        <f t="shared" si="23"/>
        <v>5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9</v>
      </c>
      <c r="E39" s="609"/>
      <c r="F39" s="609"/>
      <c r="G39" s="836" t="s">
        <v>207</v>
      </c>
      <c r="H39" s="837"/>
      <c r="I39" s="837"/>
      <c r="J39" s="837"/>
      <c r="K39" s="616">
        <f>SUM(F4:F34)</f>
        <v>1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38.666666666666664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0.83333333333333337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+Février!AE41+Mars!Y41-Mars!AC41</f>
        <v>55.896666666666675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30.999999999999996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0</v>
      </c>
      <c r="M43" s="505">
        <f>COUNTIF($D$4:$D$34,"M")</f>
        <v>0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30.999999999999996</v>
      </c>
      <c r="M44" s="504">
        <f>COUNTIF($D$4:$D$34,"aM")</f>
        <v>4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38.666666666666664</v>
      </c>
      <c r="M45" s="506">
        <f>COUNTIF($D$4:$D$34,"n")</f>
        <v>5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59" spans="3:14" ht="13.5" hidden="1" thickBot="1"/>
    <row r="60" spans="3:14" ht="15" hidden="1" customHeight="1">
      <c r="C60" s="813" t="s">
        <v>108</v>
      </c>
      <c r="D60" s="814"/>
      <c r="E60" s="814"/>
      <c r="F60" s="814"/>
      <c r="G60" s="815"/>
    </row>
    <row r="61" spans="3:14" ht="12.75" hidden="1" customHeight="1" thickBot="1">
      <c r="C61" s="816">
        <f>+Janvier!C61</f>
        <v>2020</v>
      </c>
      <c r="D61" s="817"/>
      <c r="E61" s="817"/>
      <c r="F61" s="817"/>
      <c r="G61" s="818"/>
    </row>
    <row r="62" spans="3:14" ht="15" hidden="1">
      <c r="C62" s="666">
        <f>+DATE(C61,1,1)</f>
        <v>43831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(61-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43934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43952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43959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43972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43983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44026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44058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44136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44146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44190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v>21</v>
      </c>
      <c r="E75" s="440"/>
      <c r="F75" s="440"/>
      <c r="G75" s="440"/>
    </row>
    <row r="76" spans="3:7" ht="13.5" hidden="1" thickBot="1">
      <c r="D76" s="366"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CBB1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30" priority="9" stopIfTrue="1">
      <formula>OR(WEEKDAY($C4)=1)</formula>
    </cfRule>
  </conditionalFormatting>
  <conditionalFormatting sqref="AB4:AB34">
    <cfRule type="expression" dxfId="29" priority="10" stopIfTrue="1">
      <formula>OR(WEEKDAY($C4)=1)</formula>
    </cfRule>
  </conditionalFormatting>
  <conditionalFormatting sqref="A35:B35">
    <cfRule type="expression" dxfId="28" priority="11" stopIfTrue="1">
      <formula>OR(WEEKDAY($C35)=1)</formula>
    </cfRule>
  </conditionalFormatting>
  <conditionalFormatting sqref="A4:B34 B5:B35">
    <cfRule type="expression" dxfId="27" priority="6" stopIfTrue="1">
      <formula>OR(WEEKDAY($C4)=1)</formula>
    </cfRule>
  </conditionalFormatting>
  <conditionalFormatting sqref="A4:B34 B5:B35">
    <cfRule type="expression" dxfId="26" priority="5" stopIfTrue="1">
      <formula>OR(WEEKDAY($C4)=1)</formula>
    </cfRule>
  </conditionalFormatting>
  <conditionalFormatting sqref="D26:F27 D10:F20 D22:F24">
    <cfRule type="expression" dxfId="25" priority="4" stopIfTrue="1">
      <formula>OR(WEEKDAY($C10)=1)</formula>
    </cfRule>
  </conditionalFormatting>
  <conditionalFormatting sqref="D17:F21">
    <cfRule type="expression" dxfId="24" priority="3" stopIfTrue="1">
      <formula>OR(WEEKDAY($C17)=1)</formula>
    </cfRule>
  </conditionalFormatting>
  <conditionalFormatting sqref="D17:F21">
    <cfRule type="expression" dxfId="23" priority="2" stopIfTrue="1">
      <formula>OR(WEEKDAY($C17)=1)</formula>
    </cfRule>
  </conditionalFormatting>
  <conditionalFormatting sqref="C4:C34">
    <cfRule type="cellIs" dxfId="22" priority="1" operator="equal">
      <formula>$C$63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3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AM77"/>
  <sheetViews>
    <sheetView showGridLines="0" view="pageBreakPreview" zoomScaleNormal="75" zoomScaleSheetLayoutView="100" workbookViewId="0">
      <selection activeCell="K29" sqref="K29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425781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11" style="1" hidden="1" customWidth="1"/>
    <col min="23" max="23" width="10.7109375" style="1" customWidth="1"/>
    <col min="24" max="24" width="11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3" width="8.7109375" style="24" hidden="1" customWidth="1"/>
    <col min="34" max="35" width="8.7109375" style="1" customWidth="1"/>
    <col min="36" max="16384" width="11.42578125" style="1"/>
  </cols>
  <sheetData>
    <row r="1" spans="1:38" ht="16.5" thickBot="1">
      <c r="A1" s="894" t="s">
        <v>86</v>
      </c>
      <c r="B1" s="894"/>
      <c r="C1" s="894"/>
      <c r="D1" s="895"/>
      <c r="E1" s="607"/>
      <c r="F1" s="607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96" t="s">
        <v>6</v>
      </c>
      <c r="AD1" s="876"/>
      <c r="AE1" s="877"/>
      <c r="AF1" s="846"/>
      <c r="AG1" s="899"/>
      <c r="AH1" s="878" t="s">
        <v>9</v>
      </c>
      <c r="AI1" s="849"/>
    </row>
    <row r="2" spans="1:38" ht="16.5" thickBot="1">
      <c r="A2" s="822">
        <f>+Mars!C34+1</f>
        <v>43922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83" t="s">
        <v>152</v>
      </c>
      <c r="AG2" s="884"/>
      <c r="AH2" s="105"/>
      <c r="AI2" s="107"/>
    </row>
    <row r="3" spans="1:38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3" t="s">
        <v>150</v>
      </c>
      <c r="AG3" s="35" t="s">
        <v>151</v>
      </c>
      <c r="AH3" s="101" t="s">
        <v>10</v>
      </c>
      <c r="AI3" s="3" t="s">
        <v>5</v>
      </c>
    </row>
    <row r="4" spans="1:38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141">
        <f>+A2</f>
        <v>43922</v>
      </c>
      <c r="D4" s="645"/>
      <c r="E4" s="637" t="str">
        <f>+IF(AND(WEEKDAY(C4)=1,D4="M"),1,"")</f>
        <v/>
      </c>
      <c r="F4" s="638" t="str">
        <f>+IF(AND(WEEKDAY(C4)=1,D4="N"),1,"")</f>
        <v/>
      </c>
      <c r="G4" s="625"/>
      <c r="H4" s="128" t="str">
        <f t="shared" ref="H4:H34" si="0">+IF(OR(D4="",D4="CP"),"",1)</f>
        <v/>
      </c>
      <c r="I4" s="127" t="str">
        <f>+IF(D4="CP",1,"")</f>
        <v/>
      </c>
      <c r="J4" s="298"/>
      <c r="K4" s="85"/>
      <c r="L4" s="8"/>
      <c r="M4" s="8"/>
      <c r="N4" s="368"/>
      <c r="O4" s="371">
        <f>+((K4-INT(K4))/60*100)+INT(K4)</f>
        <v>0</v>
      </c>
      <c r="P4" s="73">
        <f>+((L4-INT(L4))/60*100)+INT(L4)</f>
        <v>0</v>
      </c>
      <c r="Q4" s="73">
        <f>+((M4-INT(M4))/60*100)+INT(M4)</f>
        <v>0</v>
      </c>
      <c r="R4" s="73">
        <f>+((N4-INT(N4))/60*100)+INT(N4)</f>
        <v>0</v>
      </c>
      <c r="S4" s="73">
        <v>0.2</v>
      </c>
      <c r="T4" s="73">
        <f>+(S4/60*100)</f>
        <v>0.33333333333333337</v>
      </c>
      <c r="U4" s="12" t="str">
        <f>+IF(D4="","",IF(D4="CP","",IF(D4="J2",((N4-M4)+(L4-K4)),IF(O4&lt;P4,P4-O4,P4+24-O4)-T4)))</f>
        <v/>
      </c>
      <c r="V4" s="372" t="e">
        <f>IF(O4&lt;P4,IF(K4="","",IF(O4&gt;$D$75,24-O4,IF(O4&lt;$D$76,$D$76-O4,0)))+IF(P4&lt;$D$76,P4,IF(P4&gt;$D$75,P4-$D$75,0)),IF(K4="","",IF(O4&gt;$D$75,24-O4,IF(O4&lt;$D$76,$D$76-O4,3)))+IF(P4&lt;$D$76,P4,IF(P4&gt;$D$75,24-P4,P4)))</f>
        <v>#VALUE!</v>
      </c>
      <c r="W4" s="113" t="str">
        <f>+IF(U4&gt;=6,U4,IF(D4="J2",((N4-M4)+(L4-K4)),IF(O4&lt;P4,P4-O4,P4+24-O4)))</f>
        <v/>
      </c>
      <c r="X4" s="249" t="str">
        <f>+IF(D4="cp",(I4*'Récapitulatif '!$AJ$3),"")</f>
        <v/>
      </c>
      <c r="Y4" s="162" t="str">
        <f t="shared" ref="Y4:Y33" si="1">+IF(OR(D4="CP",D4=""),"",(IF(V4&gt;6,V4-T4,V4)))</f>
        <v/>
      </c>
      <c r="Z4" s="154" t="str">
        <f>+IF(D4="CP",1,"")</f>
        <v/>
      </c>
      <c r="AA4" s="154" t="str">
        <f t="shared" ref="AA4:AA34" si="2">+IF(AND(Y4&gt;=3,D4&lt;&gt;""),1,"")</f>
        <v/>
      </c>
      <c r="AB4" s="478" t="str">
        <f>+IF(WEEKDAY(C4)=1,(SUM(W$4:X4)+(Mars!$AB$35)),"")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+AG4</f>
        <v/>
      </c>
      <c r="AF4" s="474" t="str">
        <f>+IF(AND(WEEKDAY(C4)=1,$C$4:$C$34=$C$63),"",IF(AND($C$4:$C$34=$C$63,D4=""),'Récapitulatif '!$AJ$3,IF(AND(D4="N",AG4&lt;&gt;""),('Récapitulatif '!$AJ$3-AG4),"")))</f>
        <v/>
      </c>
      <c r="AG4" s="294" t="str">
        <f t="shared" ref="AG4:AG34" si="3">+IF(AND($C$4:$C$43=($C$63-1),$D$4:$D$43="N"),(L4-T4),IF(AND($C$4:$C$43=($C$63),$D$4:$D$43="N"),(24-K4),IF(AND($C$4:$C$43=($C$64-1),$D$4:$D$43="N"),(L4-T4),IF(AND($C$4:$C$43=($C$64),$D$4:$D$43="N"),(24-K4),IF(OR($C$4:$C$43=($C$63),$C$4:$C$43=$C$64),$W4,"")))))</f>
        <v/>
      </c>
      <c r="AH4" s="380" t="str">
        <f t="shared" ref="AH4:AH33" si="4">IF(K4="","",IF(D4="J2","",IF(AI4=1,"",IF(U4&gt;=6,1,""))))</f>
        <v/>
      </c>
      <c r="AI4" s="9" t="str">
        <f t="shared" ref="AI4:AI33" si="5">+IF(K4="","",IF(Y4&gt;=4,1,""))</f>
        <v/>
      </c>
      <c r="AJ4" s="10"/>
      <c r="AL4" s="92" t="s">
        <v>64</v>
      </c>
    </row>
    <row r="5" spans="1:38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112">
        <f>+C4+1</f>
        <v>43923</v>
      </c>
      <c r="D5" s="642"/>
      <c r="E5" s="637" t="str">
        <f t="shared" ref="E5:E34" si="6">+IF(AND(WEEKDAY(C5)=1,D5="M"),1,"")</f>
        <v/>
      </c>
      <c r="F5" s="638" t="str">
        <f t="shared" ref="F5:F35" si="7">+IF(AND(WEEKDAY(C5)=1,D5="N"),1,"")</f>
        <v/>
      </c>
      <c r="G5" s="626"/>
      <c r="H5" s="128" t="str">
        <f t="shared" si="0"/>
        <v/>
      </c>
      <c r="I5" s="127" t="str">
        <f t="shared" ref="I5:I34" si="8">+IF(D5="CP",1,"")</f>
        <v/>
      </c>
      <c r="J5" s="299"/>
      <c r="K5" s="86"/>
      <c r="L5" s="11"/>
      <c r="M5" s="11"/>
      <c r="N5" s="369"/>
      <c r="O5" s="371">
        <f t="shared" ref="O5:O33" si="9">+((K5-INT(K5))/60*100)+INT(K5)</f>
        <v>0</v>
      </c>
      <c r="P5" s="73">
        <f t="shared" ref="P5:P33" si="10">+((L5-INT(L5))/60*100)+INT(L5)</f>
        <v>0</v>
      </c>
      <c r="Q5" s="73">
        <f t="shared" ref="Q5:Q33" si="11">+((M5-INT(M5))/60*100)+INT(M5)</f>
        <v>0</v>
      </c>
      <c r="R5" s="73">
        <f t="shared" ref="R5:R33" si="12">+((N5-INT(N5))/60*100)+INT(N5)</f>
        <v>0</v>
      </c>
      <c r="S5" s="73">
        <v>0.2</v>
      </c>
      <c r="T5" s="73">
        <f t="shared" ref="T5:T33" si="13">+(S5/60*100)</f>
        <v>0.33333333333333337</v>
      </c>
      <c r="U5" s="12" t="str">
        <f t="shared" ref="U5:U33" si="14">+IF(D5="","",IF(D5="CP","",IF(D5="J2",((N5-M5)+(L5-K5)),IF(O5&lt;P5,P5-O5,P5+24-O5)-T5)))</f>
        <v/>
      </c>
      <c r="V5" s="372" t="e">
        <f t="shared" ref="V5:V34" si="15">IF(O5&lt;P5,IF(K5="","",IF(O5&gt;$D$75,24-O5,IF(O5&lt;$D$76,$D$76-O5,0)))+IF(P5&lt;$D$76,P5,IF(P5&gt;$D$75,P5-$D$75,0)),IF(K5="","",IF(O5&gt;$D$75,24-O5,IF(O5&lt;$D$76,$D$76-O5,3)))+IF(P5&lt;$D$76,P5,IF(P5&gt;$D$75,24-P5,P5)))</f>
        <v>#VALUE!</v>
      </c>
      <c r="W5" s="114" t="str">
        <f t="shared" ref="W5:W33" si="16">+IF(U5&gt;=6,U5,IF(D5="J2",((N5-M5)+(L5-K5)),IF(O5&lt;P5,P5-O5,P5+24-O5)))</f>
        <v/>
      </c>
      <c r="X5" s="161" t="str">
        <f>+IF(D5="cp",(I5*'Récapitulatif '!$AJ$3),"")</f>
        <v/>
      </c>
      <c r="Y5" s="163" t="str">
        <f t="shared" si="1"/>
        <v/>
      </c>
      <c r="Z5" s="154" t="str">
        <f t="shared" ref="Z5:Z34" si="17">+IF(D5="CP",1,"")</f>
        <v/>
      </c>
      <c r="AA5" s="154" t="str">
        <f t="shared" si="2"/>
        <v/>
      </c>
      <c r="AB5" s="479" t="str">
        <f>+IF(WEEKDAY(C5)=1,(SUM(W$4:X5)+(Mars!$AB$35)),"")</f>
        <v/>
      </c>
      <c r="AC5" s="475" t="str">
        <f t="shared" ref="AC5:AC33" si="18">+IF(AND(WEEKDAY(C5)=7,D5="N"),(24-O5),IF(WEEKDAY(C5)=7,W5,IF(AND(WEEKDAY(C5)=6,D5="N"),(L5-0.33),IF(WEEKDAY(C5)=7,W5,""))))</f>
        <v/>
      </c>
      <c r="AD5" s="118" t="str">
        <f t="shared" ref="AD5:AD34" si="19">+IF(AND(WEEKDAY(C5)=1,D5="N"),(24-O5),IF(WEEKDAY(C5)=1,W5,IF(AND(WEEKDAY(C5)=7,D5="N"),(L5-0.33),IF(WEEKDAY(C5)=1,W5,""))))</f>
        <v/>
      </c>
      <c r="AE5" s="261" t="str">
        <f t="shared" ref="AE5:AE34" si="20">+AG5</f>
        <v/>
      </c>
      <c r="AF5" s="475" t="str">
        <f>+IF(AND(WEEKDAY(C5)=1,$C$4:$C$34=$C$63),"",IF(AND($C$4:$C$34=$C$63,D5=""),'Récapitulatif '!$AJ$3,IF(AND(D5="N",AG5&lt;&gt;""),('Récapitulatif '!$AJ$3-AG5),"")))</f>
        <v/>
      </c>
      <c r="AG5" s="119" t="str">
        <f t="shared" si="3"/>
        <v/>
      </c>
      <c r="AH5" s="218" t="str">
        <f t="shared" si="4"/>
        <v/>
      </c>
      <c r="AI5" s="13" t="str">
        <f t="shared" si="5"/>
        <v/>
      </c>
      <c r="AJ5" s="10"/>
      <c r="AL5" s="92" t="s">
        <v>66</v>
      </c>
    </row>
    <row r="6" spans="1:38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112">
        <f t="shared" ref="C6:C31" si="21">+C5+1</f>
        <v>43924</v>
      </c>
      <c r="D6" s="642"/>
      <c r="E6" s="637" t="str">
        <f t="shared" si="6"/>
        <v/>
      </c>
      <c r="F6" s="638" t="str">
        <f t="shared" si="7"/>
        <v/>
      </c>
      <c r="G6" s="626"/>
      <c r="H6" s="128" t="str">
        <f t="shared" si="0"/>
        <v/>
      </c>
      <c r="I6" s="127" t="str">
        <f t="shared" si="8"/>
        <v/>
      </c>
      <c r="J6" s="299"/>
      <c r="K6" s="86"/>
      <c r="L6" s="11"/>
      <c r="M6" s="11"/>
      <c r="N6" s="369"/>
      <c r="O6" s="371">
        <f t="shared" si="9"/>
        <v>0</v>
      </c>
      <c r="P6" s="73">
        <f t="shared" si="10"/>
        <v>0</v>
      </c>
      <c r="Q6" s="73">
        <f t="shared" si="11"/>
        <v>0</v>
      </c>
      <c r="R6" s="73">
        <f t="shared" si="12"/>
        <v>0</v>
      </c>
      <c r="S6" s="73">
        <v>0.2</v>
      </c>
      <c r="T6" s="73">
        <f t="shared" si="13"/>
        <v>0.33333333333333337</v>
      </c>
      <c r="U6" s="12" t="str">
        <f t="shared" si="14"/>
        <v/>
      </c>
      <c r="V6" s="372" t="e">
        <f t="shared" si="15"/>
        <v>#VALUE!</v>
      </c>
      <c r="W6" s="114" t="str">
        <f t="shared" si="16"/>
        <v/>
      </c>
      <c r="X6" s="161" t="str">
        <f>+IF(D6="cp",(I6*'Récapitulatif '!$AJ$3),"")</f>
        <v/>
      </c>
      <c r="Y6" s="163" t="str">
        <f t="shared" si="1"/>
        <v/>
      </c>
      <c r="Z6" s="154" t="str">
        <f t="shared" si="17"/>
        <v/>
      </c>
      <c r="AA6" s="154" t="str">
        <f t="shared" si="2"/>
        <v/>
      </c>
      <c r="AB6" s="479" t="str">
        <f>+IF(WEEKDAY(C6)=1,(SUM(W$4:X6)+(Mars!$AB$35)),"")</f>
        <v/>
      </c>
      <c r="AC6" s="475" t="str">
        <f t="shared" si="18"/>
        <v/>
      </c>
      <c r="AD6" s="118" t="str">
        <f t="shared" si="19"/>
        <v/>
      </c>
      <c r="AE6" s="261" t="str">
        <f t="shared" si="20"/>
        <v/>
      </c>
      <c r="AF6" s="475" t="str">
        <f>+IF(AND(WEEKDAY(C6)=1,$C$4:$C$34=$C$63),"",IF(AND($C$4:$C$34=$C$63,D6=""),'Récapitulatif '!$AJ$3,IF(AND(D6="N",AG6&lt;&gt;""),('Récapitulatif '!$AJ$3-AG6),"")))</f>
        <v/>
      </c>
      <c r="AG6" s="119" t="str">
        <f t="shared" si="3"/>
        <v/>
      </c>
      <c r="AH6" s="218" t="str">
        <f t="shared" si="4"/>
        <v/>
      </c>
      <c r="AI6" s="13" t="str">
        <f t="shared" si="5"/>
        <v/>
      </c>
      <c r="AJ6" s="10"/>
      <c r="AL6" s="1" t="s">
        <v>82</v>
      </c>
    </row>
    <row r="7" spans="1:38">
      <c r="A7" s="482" t="str">
        <f>IF(WEEKDAY(C7,2)=1,INT((C7-SUM(MOD(DATE(YEAR(C7-MOD(C7-2,7)+3),1,2),{1E+99;7})*{1;-1})+5)/7),"")</f>
        <v/>
      </c>
      <c r="B7" s="482" t="str">
        <f>IF(A7&lt;&gt;"",VLOOKUP(A7,juin!$L$49:$M$101,2,FALSE),"")</f>
        <v/>
      </c>
      <c r="C7" s="112">
        <f t="shared" si="21"/>
        <v>43925</v>
      </c>
      <c r="D7" s="642"/>
      <c r="E7" s="637" t="str">
        <f t="shared" si="6"/>
        <v/>
      </c>
      <c r="F7" s="638" t="str">
        <f t="shared" si="7"/>
        <v/>
      </c>
      <c r="G7" s="626"/>
      <c r="H7" s="128" t="str">
        <f t="shared" si="0"/>
        <v/>
      </c>
      <c r="I7" s="127" t="str">
        <f t="shared" si="8"/>
        <v/>
      </c>
      <c r="J7" s="299"/>
      <c r="K7" s="86"/>
      <c r="L7" s="11"/>
      <c r="M7" s="11"/>
      <c r="N7" s="369"/>
      <c r="O7" s="371">
        <f t="shared" si="9"/>
        <v>0</v>
      </c>
      <c r="P7" s="73">
        <f t="shared" si="10"/>
        <v>0</v>
      </c>
      <c r="Q7" s="73">
        <f t="shared" si="11"/>
        <v>0</v>
      </c>
      <c r="R7" s="73">
        <f t="shared" si="12"/>
        <v>0</v>
      </c>
      <c r="S7" s="73">
        <v>0.2</v>
      </c>
      <c r="T7" s="73">
        <f t="shared" si="13"/>
        <v>0.33333333333333337</v>
      </c>
      <c r="U7" s="12" t="str">
        <f t="shared" si="14"/>
        <v/>
      </c>
      <c r="V7" s="372" t="e">
        <f t="shared" si="15"/>
        <v>#VALUE!</v>
      </c>
      <c r="W7" s="114" t="str">
        <f t="shared" si="16"/>
        <v/>
      </c>
      <c r="X7" s="161" t="str">
        <f>+IF(D7="cp",(I7*'Récapitulatif '!$AJ$3),"")</f>
        <v/>
      </c>
      <c r="Y7" s="163" t="str">
        <f t="shared" si="1"/>
        <v/>
      </c>
      <c r="Z7" s="154" t="str">
        <f t="shared" si="17"/>
        <v/>
      </c>
      <c r="AA7" s="154" t="str">
        <f t="shared" si="2"/>
        <v/>
      </c>
      <c r="AB7" s="479" t="str">
        <f>+IF(WEEKDAY(C7)=1,(SUM(W$4:X7)+(Mars!$AB$35)),"")</f>
        <v/>
      </c>
      <c r="AC7" s="475" t="str">
        <f t="shared" si="18"/>
        <v/>
      </c>
      <c r="AD7" s="118" t="str">
        <f t="shared" si="19"/>
        <v/>
      </c>
      <c r="AE7" s="261" t="str">
        <f t="shared" si="20"/>
        <v/>
      </c>
      <c r="AF7" s="475" t="str">
        <f>+IF(AND(WEEKDAY(C7)=1,$C$4:$C$34=$C$63),"",IF(AND($C$4:$C$34=$C$63,D7=""),'Récapitulatif '!$AJ$3,IF(AND(D7="N",AG7&lt;&gt;""),('Récapitulatif '!$AJ$3-AG7),"")))</f>
        <v/>
      </c>
      <c r="AG7" s="119" t="str">
        <f t="shared" si="3"/>
        <v/>
      </c>
      <c r="AH7" s="218" t="str">
        <f t="shared" si="4"/>
        <v/>
      </c>
      <c r="AI7" s="13" t="str">
        <f t="shared" si="5"/>
        <v/>
      </c>
      <c r="AJ7" s="10"/>
      <c r="AL7" s="92" t="s">
        <v>84</v>
      </c>
    </row>
    <row r="8" spans="1:38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112">
        <f t="shared" si="21"/>
        <v>43926</v>
      </c>
      <c r="D8" s="642"/>
      <c r="E8" s="637" t="str">
        <f t="shared" si="6"/>
        <v/>
      </c>
      <c r="F8" s="638" t="str">
        <f t="shared" si="7"/>
        <v/>
      </c>
      <c r="G8" s="626"/>
      <c r="H8" s="128" t="str">
        <f t="shared" si="0"/>
        <v/>
      </c>
      <c r="I8" s="127" t="str">
        <f t="shared" si="8"/>
        <v/>
      </c>
      <c r="J8" s="299"/>
      <c r="K8" s="86"/>
      <c r="L8" s="11"/>
      <c r="M8" s="11"/>
      <c r="N8" s="369"/>
      <c r="O8" s="371">
        <f t="shared" si="9"/>
        <v>0</v>
      </c>
      <c r="P8" s="73">
        <f t="shared" si="10"/>
        <v>0</v>
      </c>
      <c r="Q8" s="73">
        <f t="shared" si="11"/>
        <v>0</v>
      </c>
      <c r="R8" s="73">
        <f t="shared" si="12"/>
        <v>0</v>
      </c>
      <c r="S8" s="73">
        <v>0.2</v>
      </c>
      <c r="T8" s="73">
        <f t="shared" si="13"/>
        <v>0.33333333333333337</v>
      </c>
      <c r="U8" s="12" t="str">
        <f t="shared" si="14"/>
        <v/>
      </c>
      <c r="V8" s="372" t="e">
        <f t="shared" si="15"/>
        <v>#VALUE!</v>
      </c>
      <c r="W8" s="114" t="str">
        <f t="shared" si="16"/>
        <v/>
      </c>
      <c r="X8" s="161" t="str">
        <f>+IF(D8="cp",(I8*'Récapitulatif '!$AJ$3),"")</f>
        <v/>
      </c>
      <c r="Y8" s="163" t="str">
        <f t="shared" si="1"/>
        <v/>
      </c>
      <c r="Z8" s="154" t="str">
        <f t="shared" si="17"/>
        <v/>
      </c>
      <c r="AA8" s="154" t="str">
        <f t="shared" si="2"/>
        <v/>
      </c>
      <c r="AB8" s="479">
        <f>+IF(WEEKDAY(C8)=1,(SUM(W$4:X8)+(Mars!$AB$35)),"")</f>
        <v>0</v>
      </c>
      <c r="AC8" s="475" t="str">
        <f t="shared" si="18"/>
        <v/>
      </c>
      <c r="AD8" s="118" t="str">
        <f t="shared" si="19"/>
        <v/>
      </c>
      <c r="AE8" s="261" t="str">
        <f t="shared" si="20"/>
        <v/>
      </c>
      <c r="AF8" s="475" t="str">
        <f>+IF(AND(WEEKDAY(C8)=1,$C$4:$C$34=$C$63),"",IF(AND($C$4:$C$34=$C$63,D8=""),'Récapitulatif '!$AJ$3,IF(AND(D8="N",AG8&lt;&gt;""),('Récapitulatif '!$AJ$3-AG8),"")))</f>
        <v/>
      </c>
      <c r="AG8" s="119" t="str">
        <f t="shared" si="3"/>
        <v/>
      </c>
      <c r="AH8" s="218" t="str">
        <f t="shared" si="4"/>
        <v/>
      </c>
      <c r="AI8" s="13" t="str">
        <f t="shared" si="5"/>
        <v/>
      </c>
      <c r="AJ8" s="10"/>
      <c r="AL8" s="92" t="s">
        <v>75</v>
      </c>
    </row>
    <row r="9" spans="1:38">
      <c r="A9" s="482">
        <f>IF(WEEKDAY(C9,2)=1,INT((C9-SUM(MOD(DATE(YEAR(C9-MOD(C9-2,7)+3),1,2),{1E+99;7})*{1;-1})+5)/7),"")</f>
        <v>15</v>
      </c>
      <c r="B9" s="482" t="str">
        <f>IF(A9&lt;&gt;"",VLOOKUP(A9,juin!$L$49:$M$101,2,FALSE),"")</f>
        <v>Matin</v>
      </c>
      <c r="C9" s="112">
        <f t="shared" si="21"/>
        <v>43927</v>
      </c>
      <c r="D9" s="642"/>
      <c r="E9" s="637" t="str">
        <f t="shared" si="6"/>
        <v/>
      </c>
      <c r="F9" s="638" t="str">
        <f t="shared" si="7"/>
        <v/>
      </c>
      <c r="G9" s="626"/>
      <c r="H9" s="128" t="str">
        <f t="shared" si="0"/>
        <v/>
      </c>
      <c r="I9" s="127" t="str">
        <f t="shared" si="8"/>
        <v/>
      </c>
      <c r="J9" s="299"/>
      <c r="K9" s="86"/>
      <c r="L9" s="11"/>
      <c r="M9" s="11"/>
      <c r="N9" s="369"/>
      <c r="O9" s="371">
        <f t="shared" si="9"/>
        <v>0</v>
      </c>
      <c r="P9" s="73">
        <f t="shared" si="10"/>
        <v>0</v>
      </c>
      <c r="Q9" s="73">
        <f t="shared" si="11"/>
        <v>0</v>
      </c>
      <c r="R9" s="73">
        <f t="shared" si="12"/>
        <v>0</v>
      </c>
      <c r="S9" s="73">
        <v>0.2</v>
      </c>
      <c r="T9" s="73">
        <f t="shared" si="13"/>
        <v>0.33333333333333337</v>
      </c>
      <c r="U9" s="12" t="str">
        <f t="shared" si="14"/>
        <v/>
      </c>
      <c r="V9" s="372" t="e">
        <f t="shared" si="15"/>
        <v>#VALUE!</v>
      </c>
      <c r="W9" s="114" t="str">
        <f t="shared" si="16"/>
        <v/>
      </c>
      <c r="X9" s="161" t="str">
        <f>+IF(D9="cp",(I9*'Récapitulatif '!$AJ$3),"")</f>
        <v/>
      </c>
      <c r="Y9" s="163" t="str">
        <f t="shared" si="1"/>
        <v/>
      </c>
      <c r="Z9" s="154" t="str">
        <f t="shared" si="17"/>
        <v/>
      </c>
      <c r="AA9" s="154" t="str">
        <f t="shared" si="2"/>
        <v/>
      </c>
      <c r="AB9" s="479" t="str">
        <f>+IF(WEEKDAY(C9)=1,(SUM(W$4:X9)+(Mars!$AB$35)),"")</f>
        <v/>
      </c>
      <c r="AC9" s="475" t="str">
        <f t="shared" si="18"/>
        <v/>
      </c>
      <c r="AD9" s="118" t="str">
        <f t="shared" si="19"/>
        <v/>
      </c>
      <c r="AE9" s="261" t="str">
        <f t="shared" si="20"/>
        <v/>
      </c>
      <c r="AF9" s="475" t="str">
        <f>+IF(AND(WEEKDAY(C9)=1,$C$4:$C$34=$C$63),"",IF(AND($C$4:$C$34=$C$63,D9=""),'Récapitulatif '!$AJ$3,IF(AND(D9="N",AG9&lt;&gt;""),('Récapitulatif '!$AJ$3-AG9),"")))</f>
        <v/>
      </c>
      <c r="AG9" s="119" t="str">
        <f t="shared" si="3"/>
        <v/>
      </c>
      <c r="AH9" s="218" t="str">
        <f t="shared" si="4"/>
        <v/>
      </c>
      <c r="AI9" s="13" t="str">
        <f t="shared" si="5"/>
        <v/>
      </c>
      <c r="AL9" s="1" t="s">
        <v>59</v>
      </c>
    </row>
    <row r="10" spans="1:38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112">
        <f t="shared" si="21"/>
        <v>43928</v>
      </c>
      <c r="D10" s="643"/>
      <c r="E10" s="637" t="str">
        <f t="shared" si="6"/>
        <v/>
      </c>
      <c r="F10" s="638" t="str">
        <f t="shared" si="7"/>
        <v/>
      </c>
      <c r="G10" s="626"/>
      <c r="H10" s="128" t="str">
        <f t="shared" si="0"/>
        <v/>
      </c>
      <c r="I10" s="127" t="str">
        <f t="shared" si="8"/>
        <v/>
      </c>
      <c r="J10" s="299"/>
      <c r="K10" s="86"/>
      <c r="L10" s="11"/>
      <c r="M10" s="11"/>
      <c r="N10" s="369"/>
      <c r="O10" s="371">
        <f t="shared" si="9"/>
        <v>0</v>
      </c>
      <c r="P10" s="73">
        <f t="shared" si="10"/>
        <v>0</v>
      </c>
      <c r="Q10" s="73">
        <f t="shared" si="11"/>
        <v>0</v>
      </c>
      <c r="R10" s="73">
        <f t="shared" si="12"/>
        <v>0</v>
      </c>
      <c r="S10" s="73">
        <v>0.2</v>
      </c>
      <c r="T10" s="73">
        <f t="shared" si="13"/>
        <v>0.33333333333333337</v>
      </c>
      <c r="U10" s="12" t="str">
        <f t="shared" si="14"/>
        <v/>
      </c>
      <c r="V10" s="372" t="e">
        <f t="shared" si="15"/>
        <v>#VALUE!</v>
      </c>
      <c r="W10" s="114" t="str">
        <f t="shared" si="16"/>
        <v/>
      </c>
      <c r="X10" s="161" t="str">
        <f>+IF(D10="cp",(I10*'Récapitulatif '!$AJ$3),"")</f>
        <v/>
      </c>
      <c r="Y10" s="163" t="str">
        <f t="shared" si="1"/>
        <v/>
      </c>
      <c r="Z10" s="154" t="str">
        <f t="shared" si="17"/>
        <v/>
      </c>
      <c r="AA10" s="154" t="str">
        <f t="shared" si="2"/>
        <v/>
      </c>
      <c r="AB10" s="479" t="str">
        <f>+IF(WEEKDAY(C10)=1,SUM(W4:X10),"")</f>
        <v/>
      </c>
      <c r="AC10" s="475" t="str">
        <f t="shared" si="18"/>
        <v/>
      </c>
      <c r="AD10" s="118" t="str">
        <f t="shared" si="19"/>
        <v/>
      </c>
      <c r="AE10" s="261" t="str">
        <f t="shared" si="20"/>
        <v/>
      </c>
      <c r="AF10" s="475" t="str">
        <f>+IF(AND(WEEKDAY(C10)=1,$C$4:$C$34=$C$63),"",IF(AND($C$4:$C$34=$C$63,D10=""),'Récapitulatif '!$AJ$3,IF(AND(D10="N",AG10&lt;&gt;""),('Récapitulatif '!$AJ$3-AG10),"")))</f>
        <v/>
      </c>
      <c r="AG10" s="119" t="str">
        <f t="shared" si="3"/>
        <v/>
      </c>
      <c r="AH10" s="218" t="str">
        <f t="shared" si="4"/>
        <v/>
      </c>
      <c r="AI10" s="13" t="str">
        <f t="shared" si="5"/>
        <v/>
      </c>
      <c r="AJ10" s="10"/>
      <c r="AL10" s="92" t="s">
        <v>158</v>
      </c>
    </row>
    <row r="11" spans="1:38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112">
        <f t="shared" si="21"/>
        <v>43929</v>
      </c>
      <c r="D11" s="646"/>
      <c r="E11" s="637" t="str">
        <f t="shared" si="6"/>
        <v/>
      </c>
      <c r="F11" s="638" t="str">
        <f t="shared" si="7"/>
        <v/>
      </c>
      <c r="G11" s="626"/>
      <c r="H11" s="128" t="str">
        <f t="shared" si="0"/>
        <v/>
      </c>
      <c r="I11" s="127" t="str">
        <f t="shared" si="8"/>
        <v/>
      </c>
      <c r="J11" s="299"/>
      <c r="K11" s="86"/>
      <c r="L11" s="11"/>
      <c r="M11" s="11"/>
      <c r="N11" s="369"/>
      <c r="O11" s="371">
        <f t="shared" si="9"/>
        <v>0</v>
      </c>
      <c r="P11" s="73">
        <f t="shared" si="10"/>
        <v>0</v>
      </c>
      <c r="Q11" s="73">
        <f t="shared" si="11"/>
        <v>0</v>
      </c>
      <c r="R11" s="73">
        <f t="shared" si="12"/>
        <v>0</v>
      </c>
      <c r="S11" s="73">
        <v>0.2</v>
      </c>
      <c r="T11" s="73">
        <f t="shared" si="13"/>
        <v>0.33333333333333337</v>
      </c>
      <c r="U11" s="12" t="str">
        <f t="shared" si="14"/>
        <v/>
      </c>
      <c r="V11" s="372" t="e">
        <f t="shared" si="15"/>
        <v>#VALUE!</v>
      </c>
      <c r="W11" s="114" t="str">
        <f t="shared" si="16"/>
        <v/>
      </c>
      <c r="X11" s="161" t="str">
        <f>+IF(D11="cp",(I11*'Récapitulatif '!$AJ$3),"")</f>
        <v/>
      </c>
      <c r="Y11" s="163" t="str">
        <f t="shared" si="1"/>
        <v/>
      </c>
      <c r="Z11" s="154" t="str">
        <f t="shared" si="17"/>
        <v/>
      </c>
      <c r="AA11" s="154" t="str">
        <f t="shared" si="2"/>
        <v/>
      </c>
      <c r="AB11" s="479" t="str">
        <f t="shared" ref="AB11:AB34" si="22">+IF(WEEKDAY(C11)=1,SUM(W5:X11),"")</f>
        <v/>
      </c>
      <c r="AC11" s="475" t="str">
        <f t="shared" si="18"/>
        <v/>
      </c>
      <c r="AD11" s="118" t="str">
        <f t="shared" si="19"/>
        <v/>
      </c>
      <c r="AE11" s="261" t="str">
        <f t="shared" si="20"/>
        <v/>
      </c>
      <c r="AF11" s="475" t="str">
        <f>+IF(AND(WEEKDAY(C11)=1,$C$4:$C$34=$C$63),"",IF(AND($C$4:$C$34=$C$63,D11=""),'Récapitulatif '!$AJ$3,IF(AND(D11="N",AG11&lt;&gt;""),('Récapitulatif '!$AJ$3-AG11),"")))</f>
        <v/>
      </c>
      <c r="AG11" s="119" t="str">
        <f t="shared" si="3"/>
        <v/>
      </c>
      <c r="AH11" s="218" t="str">
        <f t="shared" si="4"/>
        <v/>
      </c>
      <c r="AI11" s="13" t="str">
        <f t="shared" si="5"/>
        <v/>
      </c>
      <c r="AJ11" s="10"/>
      <c r="AL11" s="1" t="s">
        <v>60</v>
      </c>
    </row>
    <row r="12" spans="1:38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112">
        <f t="shared" si="21"/>
        <v>43930</v>
      </c>
      <c r="D12" s="647"/>
      <c r="E12" s="637" t="str">
        <f t="shared" si="6"/>
        <v/>
      </c>
      <c r="F12" s="638" t="str">
        <f t="shared" si="7"/>
        <v/>
      </c>
      <c r="G12" s="626"/>
      <c r="H12" s="128" t="str">
        <f t="shared" si="0"/>
        <v/>
      </c>
      <c r="I12" s="127" t="str">
        <f t="shared" si="8"/>
        <v/>
      </c>
      <c r="J12" s="299"/>
      <c r="K12" s="86"/>
      <c r="L12" s="11"/>
      <c r="M12" s="11"/>
      <c r="N12" s="369"/>
      <c r="O12" s="371">
        <f t="shared" si="9"/>
        <v>0</v>
      </c>
      <c r="P12" s="73">
        <f t="shared" si="10"/>
        <v>0</v>
      </c>
      <c r="Q12" s="73">
        <f t="shared" si="11"/>
        <v>0</v>
      </c>
      <c r="R12" s="73">
        <f t="shared" si="12"/>
        <v>0</v>
      </c>
      <c r="S12" s="73">
        <v>0.2</v>
      </c>
      <c r="T12" s="73">
        <f t="shared" si="13"/>
        <v>0.33333333333333337</v>
      </c>
      <c r="U12" s="12" t="str">
        <f t="shared" si="14"/>
        <v/>
      </c>
      <c r="V12" s="372" t="e">
        <f t="shared" si="15"/>
        <v>#VALUE!</v>
      </c>
      <c r="W12" s="114" t="str">
        <f t="shared" si="16"/>
        <v/>
      </c>
      <c r="X12" s="161" t="str">
        <f>+IF(D12="cp",(I12*'Récapitulatif '!$AJ$3),"")</f>
        <v/>
      </c>
      <c r="Y12" s="163" t="str">
        <f t="shared" si="1"/>
        <v/>
      </c>
      <c r="Z12" s="154" t="str">
        <f t="shared" si="17"/>
        <v/>
      </c>
      <c r="AA12" s="154" t="str">
        <f t="shared" si="2"/>
        <v/>
      </c>
      <c r="AB12" s="479" t="str">
        <f t="shared" si="22"/>
        <v/>
      </c>
      <c r="AC12" s="475" t="str">
        <f t="shared" si="18"/>
        <v/>
      </c>
      <c r="AD12" s="118" t="str">
        <f t="shared" si="19"/>
        <v/>
      </c>
      <c r="AE12" s="261" t="str">
        <f t="shared" si="20"/>
        <v/>
      </c>
      <c r="AF12" s="475" t="str">
        <f>+IF(AND(WEEKDAY(C12)=1,$C$4:$C$34=$C$63),"",IF(AND($C$4:$C$34=$C$63,D12=""),'Récapitulatif '!$AJ$3,IF(AND(D12="N",AG12&lt;&gt;""),('Récapitulatif '!$AJ$3-AG12),"")))</f>
        <v/>
      </c>
      <c r="AG12" s="119" t="str">
        <f t="shared" si="3"/>
        <v/>
      </c>
      <c r="AH12" s="218" t="str">
        <f t="shared" si="4"/>
        <v/>
      </c>
      <c r="AI12" s="13" t="str">
        <f t="shared" si="5"/>
        <v/>
      </c>
      <c r="AL12" s="92" t="s">
        <v>68</v>
      </c>
    </row>
    <row r="13" spans="1:38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112">
        <f t="shared" si="21"/>
        <v>43931</v>
      </c>
      <c r="D13" s="647"/>
      <c r="E13" s="637" t="str">
        <f t="shared" si="6"/>
        <v/>
      </c>
      <c r="F13" s="638" t="str">
        <f t="shared" si="7"/>
        <v/>
      </c>
      <c r="G13" s="626"/>
      <c r="H13" s="128" t="str">
        <f t="shared" si="0"/>
        <v/>
      </c>
      <c r="I13" s="127" t="str">
        <f t="shared" si="8"/>
        <v/>
      </c>
      <c r="J13" s="299"/>
      <c r="K13" s="86"/>
      <c r="L13" s="11"/>
      <c r="M13" s="11"/>
      <c r="N13" s="369"/>
      <c r="O13" s="371">
        <f t="shared" si="9"/>
        <v>0</v>
      </c>
      <c r="P13" s="73">
        <f t="shared" si="10"/>
        <v>0</v>
      </c>
      <c r="Q13" s="73">
        <f t="shared" si="11"/>
        <v>0</v>
      </c>
      <c r="R13" s="73">
        <f t="shared" si="12"/>
        <v>0</v>
      </c>
      <c r="S13" s="73">
        <v>0.2</v>
      </c>
      <c r="T13" s="73">
        <f t="shared" si="13"/>
        <v>0.33333333333333337</v>
      </c>
      <c r="U13" s="12" t="str">
        <f t="shared" si="14"/>
        <v/>
      </c>
      <c r="V13" s="372" t="e">
        <f t="shared" si="15"/>
        <v>#VALUE!</v>
      </c>
      <c r="W13" s="114" t="str">
        <f t="shared" si="16"/>
        <v/>
      </c>
      <c r="X13" s="161" t="str">
        <f>+IF(D13="cp",(I13*'Récapitulatif '!$AJ$3),"")</f>
        <v/>
      </c>
      <c r="Y13" s="163" t="str">
        <f t="shared" si="1"/>
        <v/>
      </c>
      <c r="Z13" s="154" t="str">
        <f t="shared" si="17"/>
        <v/>
      </c>
      <c r="AA13" s="154" t="str">
        <f t="shared" si="2"/>
        <v/>
      </c>
      <c r="AB13" s="479" t="str">
        <f t="shared" si="22"/>
        <v/>
      </c>
      <c r="AC13" s="475" t="str">
        <f t="shared" si="18"/>
        <v/>
      </c>
      <c r="AD13" s="118" t="str">
        <f t="shared" si="19"/>
        <v/>
      </c>
      <c r="AE13" s="261" t="str">
        <f t="shared" si="20"/>
        <v/>
      </c>
      <c r="AF13" s="475" t="str">
        <f>+IF(AND(WEEKDAY(C13)=1,$C$4:$C$34=$C$63),"",IF(AND($C$4:$C$34=$C$63,D13=""),'Récapitulatif '!$AJ$3,IF(AND(D13="N",AG13&lt;&gt;""),('Récapitulatif '!$AJ$3-AG13),"")))</f>
        <v/>
      </c>
      <c r="AG13" s="119" t="str">
        <f t="shared" si="3"/>
        <v/>
      </c>
      <c r="AH13" s="218" t="str">
        <f t="shared" si="4"/>
        <v/>
      </c>
      <c r="AI13" s="13" t="str">
        <f t="shared" si="5"/>
        <v/>
      </c>
      <c r="AL13" s="91" t="s">
        <v>61</v>
      </c>
    </row>
    <row r="14" spans="1:38">
      <c r="A14" s="482" t="str">
        <f>IF(WEEKDAY(C14,2)=1,INT((C14-SUM(MOD(DATE(YEAR(C14-MOD(C14-2,7)+3),1,2),{1E+99;7})*{1;-1})+5)/7),"")</f>
        <v/>
      </c>
      <c r="B14" s="482" t="str">
        <f>IF(A14&lt;&gt;"",VLOOKUP(A14,juin!$L$49:$M$101,2,FALSE),"")</f>
        <v/>
      </c>
      <c r="C14" s="112">
        <f t="shared" si="21"/>
        <v>43932</v>
      </c>
      <c r="D14" s="646"/>
      <c r="E14" s="637" t="str">
        <f t="shared" si="6"/>
        <v/>
      </c>
      <c r="F14" s="638" t="str">
        <f t="shared" si="7"/>
        <v/>
      </c>
      <c r="G14" s="626"/>
      <c r="H14" s="128" t="str">
        <f t="shared" si="0"/>
        <v/>
      </c>
      <c r="I14" s="127" t="str">
        <f t="shared" si="8"/>
        <v/>
      </c>
      <c r="J14" s="299"/>
      <c r="K14" s="86"/>
      <c r="L14" s="11"/>
      <c r="M14" s="11"/>
      <c r="N14" s="369"/>
      <c r="O14" s="371">
        <f t="shared" si="9"/>
        <v>0</v>
      </c>
      <c r="P14" s="73">
        <f t="shared" si="10"/>
        <v>0</v>
      </c>
      <c r="Q14" s="73">
        <f t="shared" si="11"/>
        <v>0</v>
      </c>
      <c r="R14" s="73">
        <f t="shared" si="12"/>
        <v>0</v>
      </c>
      <c r="S14" s="73">
        <v>0.2</v>
      </c>
      <c r="T14" s="73">
        <f t="shared" si="13"/>
        <v>0.33333333333333337</v>
      </c>
      <c r="U14" s="12" t="str">
        <f t="shared" si="14"/>
        <v/>
      </c>
      <c r="V14" s="372" t="e">
        <f t="shared" si="15"/>
        <v>#VALUE!</v>
      </c>
      <c r="W14" s="114" t="str">
        <f t="shared" si="16"/>
        <v/>
      </c>
      <c r="X14" s="161" t="str">
        <f>+IF(D14="cp",(I14*'Récapitulatif '!$AJ$3),"")</f>
        <v/>
      </c>
      <c r="Y14" s="163" t="str">
        <f t="shared" si="1"/>
        <v/>
      </c>
      <c r="Z14" s="154" t="str">
        <f t="shared" si="17"/>
        <v/>
      </c>
      <c r="AA14" s="154" t="str">
        <f t="shared" si="2"/>
        <v/>
      </c>
      <c r="AB14" s="479" t="str">
        <f t="shared" si="22"/>
        <v/>
      </c>
      <c r="AC14" s="475" t="str">
        <f t="shared" si="18"/>
        <v/>
      </c>
      <c r="AD14" s="118" t="str">
        <f t="shared" si="19"/>
        <v/>
      </c>
      <c r="AE14" s="261" t="str">
        <f t="shared" si="20"/>
        <v/>
      </c>
      <c r="AF14" s="475" t="str">
        <f>+IF(AND(WEEKDAY(C14)=1,$C$4:$C$34=$C$63),"",IF(AND($C$4:$C$34=$C$63,D14=""),'Récapitulatif '!$AJ$3,IF(AND(D14="N",AG14&lt;&gt;""),('Récapitulatif '!$AJ$3-AG14),"")))</f>
        <v/>
      </c>
      <c r="AG14" s="119" t="str">
        <f t="shared" si="3"/>
        <v/>
      </c>
      <c r="AH14" s="218" t="str">
        <f t="shared" si="4"/>
        <v/>
      </c>
      <c r="AI14" s="13" t="str">
        <f t="shared" si="5"/>
        <v/>
      </c>
    </row>
    <row r="15" spans="1:38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112">
        <f t="shared" si="21"/>
        <v>43933</v>
      </c>
      <c r="D15" s="647"/>
      <c r="E15" s="637" t="str">
        <f t="shared" si="6"/>
        <v/>
      </c>
      <c r="F15" s="638" t="str">
        <f t="shared" si="7"/>
        <v/>
      </c>
      <c r="G15" s="626"/>
      <c r="H15" s="128" t="str">
        <f t="shared" si="0"/>
        <v/>
      </c>
      <c r="I15" s="127" t="str">
        <f t="shared" si="8"/>
        <v/>
      </c>
      <c r="J15" s="299"/>
      <c r="K15" s="86"/>
      <c r="L15" s="11"/>
      <c r="M15" s="11"/>
      <c r="N15" s="369"/>
      <c r="O15" s="371">
        <f t="shared" si="9"/>
        <v>0</v>
      </c>
      <c r="P15" s="73">
        <f t="shared" si="10"/>
        <v>0</v>
      </c>
      <c r="Q15" s="73">
        <f t="shared" si="11"/>
        <v>0</v>
      </c>
      <c r="R15" s="73">
        <f t="shared" si="12"/>
        <v>0</v>
      </c>
      <c r="S15" s="73">
        <v>0.2</v>
      </c>
      <c r="T15" s="73">
        <f t="shared" si="13"/>
        <v>0.33333333333333337</v>
      </c>
      <c r="U15" s="12" t="str">
        <f t="shared" si="14"/>
        <v/>
      </c>
      <c r="V15" s="372" t="e">
        <f t="shared" si="15"/>
        <v>#VALUE!</v>
      </c>
      <c r="W15" s="114" t="str">
        <f t="shared" si="16"/>
        <v/>
      </c>
      <c r="X15" s="161" t="str">
        <f>+IF(D15="cp",(I15*'Récapitulatif '!$AJ$3),"")</f>
        <v/>
      </c>
      <c r="Y15" s="163" t="str">
        <f t="shared" si="1"/>
        <v/>
      </c>
      <c r="Z15" s="154" t="str">
        <f t="shared" si="17"/>
        <v/>
      </c>
      <c r="AA15" s="154" t="str">
        <f t="shared" si="2"/>
        <v/>
      </c>
      <c r="AB15" s="479">
        <f t="shared" si="22"/>
        <v>0</v>
      </c>
      <c r="AC15" s="475" t="str">
        <f t="shared" si="18"/>
        <v/>
      </c>
      <c r="AD15" s="118" t="str">
        <f t="shared" si="19"/>
        <v/>
      </c>
      <c r="AE15" s="261" t="str">
        <f t="shared" si="20"/>
        <v/>
      </c>
      <c r="AF15" s="475" t="str">
        <f>+IF(AND(WEEKDAY(C15)=1,$C$4:$C$34=$C$63),"",IF(AND($C$4:$C$34=$C$63,D15=""),'Récapitulatif '!$AJ$3,IF(AND(D15="N",AG15&lt;&gt;""),('Récapitulatif '!$AJ$3-AG15),"")))</f>
        <v/>
      </c>
      <c r="AG15" s="119" t="str">
        <f t="shared" si="3"/>
        <v/>
      </c>
      <c r="AH15" s="218" t="str">
        <f t="shared" si="4"/>
        <v/>
      </c>
      <c r="AI15" s="13" t="str">
        <f t="shared" si="5"/>
        <v/>
      </c>
      <c r="AL15" s="92"/>
    </row>
    <row r="16" spans="1:38">
      <c r="A16" s="482">
        <f>IF(WEEKDAY(C16,2)=1,INT((C16-SUM(MOD(DATE(YEAR(C16-MOD(C16-2,7)+3),1,2),{1E+99;7})*{1;-1})+5)/7),"")</f>
        <v>16</v>
      </c>
      <c r="B16" s="482" t="str">
        <f>IF(A16&lt;&gt;"",VLOOKUP(A16,juin!$L$49:$M$101,2,FALSE),"")</f>
        <v>Mystère</v>
      </c>
      <c r="C16" s="112">
        <f t="shared" si="21"/>
        <v>43934</v>
      </c>
      <c r="D16" s="646"/>
      <c r="E16" s="637" t="str">
        <f t="shared" si="6"/>
        <v/>
      </c>
      <c r="F16" s="638" t="str">
        <f t="shared" si="7"/>
        <v/>
      </c>
      <c r="G16" s="626"/>
      <c r="H16" s="128" t="str">
        <f t="shared" si="0"/>
        <v/>
      </c>
      <c r="I16" s="127" t="str">
        <f t="shared" si="8"/>
        <v/>
      </c>
      <c r="J16" s="299"/>
      <c r="K16" s="86"/>
      <c r="L16" s="11"/>
      <c r="M16" s="11"/>
      <c r="N16" s="369"/>
      <c r="O16" s="371">
        <f t="shared" si="9"/>
        <v>0</v>
      </c>
      <c r="P16" s="73">
        <f t="shared" si="10"/>
        <v>0</v>
      </c>
      <c r="Q16" s="73">
        <f t="shared" si="11"/>
        <v>0</v>
      </c>
      <c r="R16" s="73">
        <f t="shared" si="12"/>
        <v>0</v>
      </c>
      <c r="S16" s="73">
        <v>0.2</v>
      </c>
      <c r="T16" s="73">
        <f t="shared" si="13"/>
        <v>0.33333333333333337</v>
      </c>
      <c r="U16" s="12" t="str">
        <f t="shared" si="14"/>
        <v/>
      </c>
      <c r="V16" s="372" t="e">
        <f t="shared" si="15"/>
        <v>#VALUE!</v>
      </c>
      <c r="W16" s="114" t="str">
        <f t="shared" si="16"/>
        <v/>
      </c>
      <c r="X16" s="161" t="str">
        <f>+IF(D16="cp",(I16*'Récapitulatif '!$AJ$3),"")</f>
        <v/>
      </c>
      <c r="Y16" s="163" t="str">
        <f t="shared" si="1"/>
        <v/>
      </c>
      <c r="Z16" s="154" t="str">
        <f t="shared" si="17"/>
        <v/>
      </c>
      <c r="AA16" s="154" t="str">
        <f t="shared" si="2"/>
        <v/>
      </c>
      <c r="AB16" s="479" t="str">
        <f t="shared" si="22"/>
        <v/>
      </c>
      <c r="AC16" s="475" t="str">
        <f t="shared" si="18"/>
        <v/>
      </c>
      <c r="AD16" s="118" t="str">
        <f t="shared" si="19"/>
        <v/>
      </c>
      <c r="AE16" s="261" t="str">
        <f t="shared" si="20"/>
        <v/>
      </c>
      <c r="AF16" s="475">
        <f>+IF(AND(WEEKDAY(C16)=1,$C$4:$C$34=$C$63),"",IF(AND($C$4:$C$34=$C$63,D16=""),'Récapitulatif '!$AJ$3,IF(AND(D16="N",AG16&lt;&gt;""),('Récapitulatif '!$AJ$3-AG16),"")))</f>
        <v>6.9</v>
      </c>
      <c r="AG16" s="119" t="str">
        <f t="shared" si="3"/>
        <v/>
      </c>
      <c r="AH16" s="218" t="str">
        <f t="shared" si="4"/>
        <v/>
      </c>
      <c r="AI16" s="13" t="str">
        <f t="shared" si="5"/>
        <v/>
      </c>
    </row>
    <row r="17" spans="1:38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112">
        <f t="shared" si="21"/>
        <v>43935</v>
      </c>
      <c r="D17" s="646" t="s">
        <v>18</v>
      </c>
      <c r="E17" s="637" t="str">
        <f t="shared" si="6"/>
        <v/>
      </c>
      <c r="F17" s="638" t="str">
        <f t="shared" si="7"/>
        <v/>
      </c>
      <c r="G17" s="626"/>
      <c r="H17" s="128" t="str">
        <f t="shared" si="0"/>
        <v/>
      </c>
      <c r="I17" s="127">
        <f t="shared" si="8"/>
        <v>1</v>
      </c>
      <c r="J17" s="299"/>
      <c r="K17" s="86"/>
      <c r="L17" s="11"/>
      <c r="M17" s="11"/>
      <c r="N17" s="369"/>
      <c r="O17" s="371">
        <f t="shared" si="9"/>
        <v>0</v>
      </c>
      <c r="P17" s="73">
        <f t="shared" si="10"/>
        <v>0</v>
      </c>
      <c r="Q17" s="73">
        <f t="shared" si="11"/>
        <v>0</v>
      </c>
      <c r="R17" s="73">
        <f t="shared" si="12"/>
        <v>0</v>
      </c>
      <c r="S17" s="73">
        <v>0.2</v>
      </c>
      <c r="T17" s="73">
        <f t="shared" si="13"/>
        <v>0.33333333333333337</v>
      </c>
      <c r="U17" s="12" t="str">
        <f t="shared" si="14"/>
        <v/>
      </c>
      <c r="V17" s="372" t="e">
        <f t="shared" si="15"/>
        <v>#VALUE!</v>
      </c>
      <c r="W17" s="114" t="str">
        <f t="shared" si="16"/>
        <v/>
      </c>
      <c r="X17" s="161">
        <f>+IF(D17="cp",(I17*'Récapitulatif '!$AJ$3),"")</f>
        <v>6.9</v>
      </c>
      <c r="Y17" s="163" t="str">
        <f t="shared" si="1"/>
        <v/>
      </c>
      <c r="Z17" s="154">
        <f t="shared" si="17"/>
        <v>1</v>
      </c>
      <c r="AA17" s="154">
        <f t="shared" si="2"/>
        <v>1</v>
      </c>
      <c r="AB17" s="479" t="str">
        <f t="shared" si="22"/>
        <v/>
      </c>
      <c r="AC17" s="475" t="str">
        <f t="shared" si="18"/>
        <v/>
      </c>
      <c r="AD17" s="118" t="str">
        <f t="shared" si="19"/>
        <v/>
      </c>
      <c r="AE17" s="261" t="str">
        <f t="shared" si="20"/>
        <v/>
      </c>
      <c r="AF17" s="475" t="str">
        <f>+IF(AND(WEEKDAY(C17)=1,$C$4:$C$34=$C$63),"",IF(AND($C$4:$C$34=$C$63,D17=""),'Récapitulatif '!$AJ$3,IF(AND(D17="N",AG17&lt;&gt;""),('Récapitulatif '!$AJ$3-AG17),"")))</f>
        <v/>
      </c>
      <c r="AG17" s="119" t="str">
        <f t="shared" si="3"/>
        <v/>
      </c>
      <c r="AH17" s="218" t="str">
        <f t="shared" si="4"/>
        <v/>
      </c>
      <c r="AI17" s="13" t="str">
        <f t="shared" si="5"/>
        <v/>
      </c>
      <c r="AL17" s="1" t="s">
        <v>70</v>
      </c>
    </row>
    <row r="18" spans="1:38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112">
        <f t="shared" si="21"/>
        <v>43936</v>
      </c>
      <c r="D18" s="646" t="s">
        <v>18</v>
      </c>
      <c r="E18" s="637" t="str">
        <f t="shared" si="6"/>
        <v/>
      </c>
      <c r="F18" s="638" t="str">
        <f t="shared" si="7"/>
        <v/>
      </c>
      <c r="G18" s="626"/>
      <c r="H18" s="128" t="str">
        <f t="shared" si="0"/>
        <v/>
      </c>
      <c r="I18" s="127">
        <f t="shared" si="8"/>
        <v>1</v>
      </c>
      <c r="J18" s="299"/>
      <c r="K18" s="86"/>
      <c r="L18" s="11"/>
      <c r="M18" s="11"/>
      <c r="N18" s="369"/>
      <c r="O18" s="371">
        <f t="shared" si="9"/>
        <v>0</v>
      </c>
      <c r="P18" s="73">
        <f t="shared" si="10"/>
        <v>0</v>
      </c>
      <c r="Q18" s="73">
        <f t="shared" si="11"/>
        <v>0</v>
      </c>
      <c r="R18" s="73">
        <f t="shared" si="12"/>
        <v>0</v>
      </c>
      <c r="S18" s="73">
        <v>0.2</v>
      </c>
      <c r="T18" s="73">
        <f t="shared" si="13"/>
        <v>0.33333333333333337</v>
      </c>
      <c r="U18" s="12" t="str">
        <f t="shared" si="14"/>
        <v/>
      </c>
      <c r="V18" s="372" t="e">
        <f t="shared" si="15"/>
        <v>#VALUE!</v>
      </c>
      <c r="W18" s="114" t="str">
        <f t="shared" si="16"/>
        <v/>
      </c>
      <c r="X18" s="161">
        <f>+IF(D18="cp",(I18*'Récapitulatif '!$AJ$3),"")</f>
        <v>6.9</v>
      </c>
      <c r="Y18" s="163" t="str">
        <f t="shared" si="1"/>
        <v/>
      </c>
      <c r="Z18" s="154">
        <f t="shared" si="17"/>
        <v>1</v>
      </c>
      <c r="AA18" s="154">
        <f t="shared" si="2"/>
        <v>1</v>
      </c>
      <c r="AB18" s="479" t="str">
        <f t="shared" si="22"/>
        <v/>
      </c>
      <c r="AC18" s="475" t="str">
        <f t="shared" si="18"/>
        <v/>
      </c>
      <c r="AD18" s="118" t="str">
        <f t="shared" si="19"/>
        <v/>
      </c>
      <c r="AE18" s="261" t="str">
        <f t="shared" si="20"/>
        <v/>
      </c>
      <c r="AF18" s="475" t="str">
        <f>+IF(AND(WEEKDAY(C18)=1,$C$4:$C$34=$C$63),"",IF(AND($C$4:$C$34=$C$63,D18=""),'Récapitulatif '!$AJ$3,IF(AND(D18="N",AG18&lt;&gt;""),('Récapitulatif '!$AJ$3-AG18),"")))</f>
        <v/>
      </c>
      <c r="AG18" s="119" t="str">
        <f t="shared" si="3"/>
        <v/>
      </c>
      <c r="AH18" s="218" t="str">
        <f t="shared" si="4"/>
        <v/>
      </c>
      <c r="AI18" s="13" t="str">
        <f t="shared" si="5"/>
        <v/>
      </c>
      <c r="AL18" s="1" t="s">
        <v>71</v>
      </c>
    </row>
    <row r="19" spans="1:38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112">
        <f t="shared" si="21"/>
        <v>43937</v>
      </c>
      <c r="D19" s="646" t="s">
        <v>18</v>
      </c>
      <c r="E19" s="637" t="str">
        <f t="shared" si="6"/>
        <v/>
      </c>
      <c r="F19" s="638" t="str">
        <f t="shared" si="7"/>
        <v/>
      </c>
      <c r="G19" s="626"/>
      <c r="H19" s="128" t="str">
        <f t="shared" si="0"/>
        <v/>
      </c>
      <c r="I19" s="127">
        <f t="shared" si="8"/>
        <v>1</v>
      </c>
      <c r="J19" s="299"/>
      <c r="K19" s="86"/>
      <c r="L19" s="11"/>
      <c r="M19" s="11"/>
      <c r="N19" s="369"/>
      <c r="O19" s="371">
        <f t="shared" si="9"/>
        <v>0</v>
      </c>
      <c r="P19" s="73">
        <f t="shared" si="10"/>
        <v>0</v>
      </c>
      <c r="Q19" s="73">
        <f t="shared" si="11"/>
        <v>0</v>
      </c>
      <c r="R19" s="73">
        <f t="shared" si="12"/>
        <v>0</v>
      </c>
      <c r="S19" s="73">
        <v>0.2</v>
      </c>
      <c r="T19" s="73">
        <f t="shared" si="13"/>
        <v>0.33333333333333337</v>
      </c>
      <c r="U19" s="12" t="str">
        <f t="shared" si="14"/>
        <v/>
      </c>
      <c r="V19" s="372" t="e">
        <f t="shared" si="15"/>
        <v>#VALUE!</v>
      </c>
      <c r="W19" s="114" t="str">
        <f t="shared" si="16"/>
        <v/>
      </c>
      <c r="X19" s="161">
        <f>+IF(D19="cp",(I19*'Récapitulatif '!$AJ$3),"")</f>
        <v>6.9</v>
      </c>
      <c r="Y19" s="163" t="str">
        <f t="shared" si="1"/>
        <v/>
      </c>
      <c r="Z19" s="154">
        <f t="shared" si="17"/>
        <v>1</v>
      </c>
      <c r="AA19" s="154">
        <f t="shared" si="2"/>
        <v>1</v>
      </c>
      <c r="AB19" s="479" t="str">
        <f t="shared" si="22"/>
        <v/>
      </c>
      <c r="AC19" s="475" t="str">
        <f t="shared" si="18"/>
        <v/>
      </c>
      <c r="AD19" s="118" t="str">
        <f t="shared" si="19"/>
        <v/>
      </c>
      <c r="AE19" s="261" t="str">
        <f t="shared" si="20"/>
        <v/>
      </c>
      <c r="AF19" s="475" t="str">
        <f>+IF(AND(WEEKDAY(C19)=1,$C$4:$C$34=$C$63),"",IF(AND($C$4:$C$34=$C$63,D19=""),'Récapitulatif '!$AJ$3,IF(AND(D19="N",AG19&lt;&gt;""),('Récapitulatif '!$AJ$3-AG19),"")))</f>
        <v/>
      </c>
      <c r="AG19" s="119" t="str">
        <f t="shared" si="3"/>
        <v/>
      </c>
      <c r="AH19" s="218" t="str">
        <f t="shared" si="4"/>
        <v/>
      </c>
      <c r="AI19" s="13" t="str">
        <f t="shared" si="5"/>
        <v/>
      </c>
      <c r="AL19" s="92"/>
    </row>
    <row r="20" spans="1:38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112">
        <f t="shared" si="21"/>
        <v>43938</v>
      </c>
      <c r="D20" s="646" t="s">
        <v>18</v>
      </c>
      <c r="E20" s="637" t="str">
        <f t="shared" si="6"/>
        <v/>
      </c>
      <c r="F20" s="638" t="str">
        <f t="shared" si="7"/>
        <v/>
      </c>
      <c r="G20" s="626"/>
      <c r="H20" s="128" t="str">
        <f t="shared" si="0"/>
        <v/>
      </c>
      <c r="I20" s="127">
        <f t="shared" si="8"/>
        <v>1</v>
      </c>
      <c r="J20" s="299"/>
      <c r="K20" s="86"/>
      <c r="L20" s="11"/>
      <c r="M20" s="11"/>
      <c r="N20" s="369"/>
      <c r="O20" s="371">
        <f t="shared" si="9"/>
        <v>0</v>
      </c>
      <c r="P20" s="73">
        <f t="shared" si="10"/>
        <v>0</v>
      </c>
      <c r="Q20" s="73">
        <f t="shared" si="11"/>
        <v>0</v>
      </c>
      <c r="R20" s="73">
        <f t="shared" si="12"/>
        <v>0</v>
      </c>
      <c r="S20" s="73">
        <v>0.2</v>
      </c>
      <c r="T20" s="73">
        <f t="shared" si="13"/>
        <v>0.33333333333333337</v>
      </c>
      <c r="U20" s="12" t="str">
        <f t="shared" si="14"/>
        <v/>
      </c>
      <c r="V20" s="372" t="e">
        <f t="shared" si="15"/>
        <v>#VALUE!</v>
      </c>
      <c r="W20" s="114" t="str">
        <f t="shared" si="16"/>
        <v/>
      </c>
      <c r="X20" s="161">
        <f>+IF(D20="cp",(I20*'Récapitulatif '!$AJ$3),"")</f>
        <v>6.9</v>
      </c>
      <c r="Y20" s="163" t="str">
        <f t="shared" si="1"/>
        <v/>
      </c>
      <c r="Z20" s="154">
        <f t="shared" si="17"/>
        <v>1</v>
      </c>
      <c r="AA20" s="154">
        <f t="shared" si="2"/>
        <v>1</v>
      </c>
      <c r="AB20" s="479" t="str">
        <f t="shared" si="22"/>
        <v/>
      </c>
      <c r="AC20" s="475" t="str">
        <f t="shared" si="18"/>
        <v/>
      </c>
      <c r="AD20" s="118" t="str">
        <f t="shared" si="19"/>
        <v/>
      </c>
      <c r="AE20" s="261" t="str">
        <f t="shared" si="20"/>
        <v/>
      </c>
      <c r="AF20" s="475" t="str">
        <f>+IF(AND(WEEKDAY(C20)=1,$C$4:$C$34=$C$63),"",IF(AND($C$4:$C$34=$C$63,D20=""),'Récapitulatif '!$AJ$3,IF(AND(D20="N",AG20&lt;&gt;""),('Récapitulatif '!$AJ$3-AG20),"")))</f>
        <v/>
      </c>
      <c r="AG20" s="119" t="str">
        <f t="shared" si="3"/>
        <v/>
      </c>
      <c r="AH20" s="218" t="str">
        <f t="shared" si="4"/>
        <v/>
      </c>
      <c r="AI20" s="13" t="str">
        <f t="shared" si="5"/>
        <v/>
      </c>
    </row>
    <row r="21" spans="1:38">
      <c r="A21" s="482" t="str">
        <f>IF(WEEKDAY(C21,2)=1,INT((C21-SUM(MOD(DATE(YEAR(C21-MOD(C21-2,7)+3),1,2),{1E+99;7})*{1;-1})+5)/7),"")</f>
        <v/>
      </c>
      <c r="B21" s="482" t="str">
        <f>IF(A21&lt;&gt;"",VLOOKUP(A21,juin!$L$49:$M$101,2,FALSE),"")</f>
        <v/>
      </c>
      <c r="C21" s="112">
        <f t="shared" si="21"/>
        <v>43939</v>
      </c>
      <c r="D21" s="646"/>
      <c r="E21" s="637" t="str">
        <f t="shared" si="6"/>
        <v/>
      </c>
      <c r="F21" s="638" t="str">
        <f t="shared" si="7"/>
        <v/>
      </c>
      <c r="G21" s="626"/>
      <c r="H21" s="128" t="str">
        <f t="shared" si="0"/>
        <v/>
      </c>
      <c r="I21" s="127" t="str">
        <f t="shared" si="8"/>
        <v/>
      </c>
      <c r="J21" s="299"/>
      <c r="K21" s="86"/>
      <c r="L21" s="11"/>
      <c r="M21" s="11"/>
      <c r="N21" s="369"/>
      <c r="O21" s="371">
        <f t="shared" si="9"/>
        <v>0</v>
      </c>
      <c r="P21" s="73">
        <f t="shared" si="10"/>
        <v>0</v>
      </c>
      <c r="Q21" s="73">
        <f t="shared" si="11"/>
        <v>0</v>
      </c>
      <c r="R21" s="73">
        <f t="shared" si="12"/>
        <v>0</v>
      </c>
      <c r="S21" s="73">
        <v>0.2</v>
      </c>
      <c r="T21" s="73">
        <f t="shared" si="13"/>
        <v>0.33333333333333337</v>
      </c>
      <c r="U21" s="12" t="str">
        <f t="shared" si="14"/>
        <v/>
      </c>
      <c r="V21" s="372" t="e">
        <f t="shared" si="15"/>
        <v>#VALUE!</v>
      </c>
      <c r="W21" s="114" t="str">
        <f t="shared" si="16"/>
        <v/>
      </c>
      <c r="X21" s="161" t="str">
        <f>+IF(D21="cp",(I21*'Récapitulatif '!$AJ$3),"")</f>
        <v/>
      </c>
      <c r="Y21" s="163" t="str">
        <f t="shared" si="1"/>
        <v/>
      </c>
      <c r="Z21" s="154" t="str">
        <f t="shared" si="17"/>
        <v/>
      </c>
      <c r="AA21" s="154" t="str">
        <f t="shared" si="2"/>
        <v/>
      </c>
      <c r="AB21" s="479" t="str">
        <f t="shared" si="22"/>
        <v/>
      </c>
      <c r="AC21" s="475" t="str">
        <f t="shared" si="18"/>
        <v/>
      </c>
      <c r="AD21" s="118" t="str">
        <f t="shared" si="19"/>
        <v/>
      </c>
      <c r="AE21" s="261" t="str">
        <f t="shared" si="20"/>
        <v/>
      </c>
      <c r="AF21" s="475" t="str">
        <f>+IF(AND(WEEKDAY(C21)=1,$C$4:$C$34=$C$63),"",IF(AND($C$4:$C$34=$C$63,D21=""),'Récapitulatif '!$AJ$3,IF(AND(D21="N",AG21&lt;&gt;""),('Récapitulatif '!$AJ$3-AG21),"")))</f>
        <v/>
      </c>
      <c r="AG21" s="119" t="str">
        <f t="shared" si="3"/>
        <v/>
      </c>
      <c r="AH21" s="218" t="str">
        <f t="shared" si="4"/>
        <v/>
      </c>
      <c r="AI21" s="13" t="str">
        <f t="shared" si="5"/>
        <v/>
      </c>
    </row>
    <row r="22" spans="1:38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112">
        <f t="shared" si="21"/>
        <v>43940</v>
      </c>
      <c r="D22" s="647"/>
      <c r="E22" s="637" t="str">
        <f t="shared" si="6"/>
        <v/>
      </c>
      <c r="F22" s="638" t="str">
        <f t="shared" si="7"/>
        <v/>
      </c>
      <c r="G22" s="626"/>
      <c r="H22" s="128" t="str">
        <f t="shared" si="0"/>
        <v/>
      </c>
      <c r="I22" s="127" t="str">
        <f t="shared" si="8"/>
        <v/>
      </c>
      <c r="J22" s="299"/>
      <c r="K22" s="86"/>
      <c r="L22" s="11"/>
      <c r="M22" s="11"/>
      <c r="N22" s="369"/>
      <c r="O22" s="371">
        <f t="shared" si="9"/>
        <v>0</v>
      </c>
      <c r="P22" s="73">
        <f t="shared" si="10"/>
        <v>0</v>
      </c>
      <c r="Q22" s="73">
        <f t="shared" si="11"/>
        <v>0</v>
      </c>
      <c r="R22" s="73">
        <f t="shared" si="12"/>
        <v>0</v>
      </c>
      <c r="S22" s="73">
        <v>0.2</v>
      </c>
      <c r="T22" s="73">
        <f t="shared" si="13"/>
        <v>0.33333333333333337</v>
      </c>
      <c r="U22" s="12" t="str">
        <f t="shared" si="14"/>
        <v/>
      </c>
      <c r="V22" s="372" t="e">
        <f t="shared" si="15"/>
        <v>#VALUE!</v>
      </c>
      <c r="W22" s="114" t="str">
        <f t="shared" si="16"/>
        <v/>
      </c>
      <c r="X22" s="161" t="str">
        <f>+IF(D22="cp",(I22*'Récapitulatif '!$AJ$3),"")</f>
        <v/>
      </c>
      <c r="Y22" s="163" t="str">
        <f t="shared" si="1"/>
        <v/>
      </c>
      <c r="Z22" s="154" t="str">
        <f t="shared" si="17"/>
        <v/>
      </c>
      <c r="AA22" s="154" t="str">
        <f t="shared" si="2"/>
        <v/>
      </c>
      <c r="AB22" s="479">
        <f t="shared" si="22"/>
        <v>27.6</v>
      </c>
      <c r="AC22" s="475" t="str">
        <f t="shared" si="18"/>
        <v/>
      </c>
      <c r="AD22" s="118" t="str">
        <f t="shared" si="19"/>
        <v/>
      </c>
      <c r="AE22" s="261" t="str">
        <f t="shared" si="20"/>
        <v/>
      </c>
      <c r="AF22" s="475" t="str">
        <f>+IF(AND(WEEKDAY(C22)=1,$C$4:$C$34=$C$63),"",IF(AND($C$4:$C$34=$C$63,D22=""),'Récapitulatif '!$AJ$3,IF(AND(D22="N",AG22&lt;&gt;""),('Récapitulatif '!$AJ$3-AG22),"")))</f>
        <v/>
      </c>
      <c r="AG22" s="119" t="str">
        <f t="shared" si="3"/>
        <v/>
      </c>
      <c r="AH22" s="218" t="str">
        <f t="shared" si="4"/>
        <v/>
      </c>
      <c r="AI22" s="13" t="str">
        <f t="shared" si="5"/>
        <v/>
      </c>
    </row>
    <row r="23" spans="1:38">
      <c r="A23" s="482">
        <f>IF(WEEKDAY(C23,2)=1,INT((C23-SUM(MOD(DATE(YEAR(C23-MOD(C23-2,7)+3),1,2),{1E+99;7})*{1;-1})+5)/7),"")</f>
        <v>17</v>
      </c>
      <c r="B23" s="482" t="str">
        <f>IF(A23&lt;&gt;"",VLOOKUP(A23,juin!$L$49:$M$101,2,FALSE),"")</f>
        <v>Nuit</v>
      </c>
      <c r="C23" s="112">
        <f t="shared" si="21"/>
        <v>43941</v>
      </c>
      <c r="D23" s="647"/>
      <c r="E23" s="637" t="str">
        <f t="shared" si="6"/>
        <v/>
      </c>
      <c r="F23" s="638" t="str">
        <f t="shared" si="7"/>
        <v/>
      </c>
      <c r="G23" s="626"/>
      <c r="H23" s="128" t="str">
        <f t="shared" si="0"/>
        <v/>
      </c>
      <c r="I23" s="127" t="str">
        <f t="shared" si="8"/>
        <v/>
      </c>
      <c r="J23" s="299"/>
      <c r="K23" s="86"/>
      <c r="L23" s="11"/>
      <c r="M23" s="11"/>
      <c r="N23" s="369"/>
      <c r="O23" s="371">
        <f t="shared" si="9"/>
        <v>0</v>
      </c>
      <c r="P23" s="73">
        <f t="shared" si="10"/>
        <v>0</v>
      </c>
      <c r="Q23" s="73">
        <f t="shared" si="11"/>
        <v>0</v>
      </c>
      <c r="R23" s="73">
        <f t="shared" si="12"/>
        <v>0</v>
      </c>
      <c r="S23" s="73">
        <v>0.2</v>
      </c>
      <c r="T23" s="73">
        <f t="shared" si="13"/>
        <v>0.33333333333333337</v>
      </c>
      <c r="U23" s="12" t="str">
        <f t="shared" si="14"/>
        <v/>
      </c>
      <c r="V23" s="372" t="e">
        <f t="shared" si="15"/>
        <v>#VALUE!</v>
      </c>
      <c r="W23" s="114" t="str">
        <f t="shared" si="16"/>
        <v/>
      </c>
      <c r="X23" s="161" t="str">
        <f>+IF(D23="cp",(I23*'Récapitulatif '!$AJ$3),"")</f>
        <v/>
      </c>
      <c r="Y23" s="163" t="str">
        <f t="shared" si="1"/>
        <v/>
      </c>
      <c r="Z23" s="154" t="str">
        <f t="shared" si="17"/>
        <v/>
      </c>
      <c r="AA23" s="154" t="str">
        <f t="shared" si="2"/>
        <v/>
      </c>
      <c r="AB23" s="479" t="str">
        <f t="shared" si="22"/>
        <v/>
      </c>
      <c r="AC23" s="475" t="str">
        <f t="shared" si="18"/>
        <v/>
      </c>
      <c r="AD23" s="118" t="str">
        <f t="shared" si="19"/>
        <v/>
      </c>
      <c r="AE23" s="261" t="str">
        <f t="shared" si="20"/>
        <v/>
      </c>
      <c r="AF23" s="475" t="str">
        <f>+IF(AND(WEEKDAY(C23)=1,$C$4:$C$34=$C$63),"",IF(AND($C$4:$C$34=$C$63,D23=""),'Récapitulatif '!$AJ$3,IF(AND(D23="N",AG23&lt;&gt;""),('Récapitulatif '!$AJ$3-AG23),"")))</f>
        <v/>
      </c>
      <c r="AG23" s="119" t="str">
        <f t="shared" si="3"/>
        <v/>
      </c>
      <c r="AH23" s="218" t="str">
        <f t="shared" si="4"/>
        <v/>
      </c>
      <c r="AI23" s="13" t="str">
        <f t="shared" si="5"/>
        <v/>
      </c>
    </row>
    <row r="24" spans="1:38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112">
        <f t="shared" si="21"/>
        <v>43942</v>
      </c>
      <c r="D24" s="646"/>
      <c r="E24" s="637" t="str">
        <f t="shared" si="6"/>
        <v/>
      </c>
      <c r="F24" s="638" t="str">
        <f t="shared" si="7"/>
        <v/>
      </c>
      <c r="G24" s="626"/>
      <c r="H24" s="128" t="str">
        <f t="shared" si="0"/>
        <v/>
      </c>
      <c r="I24" s="127" t="str">
        <f t="shared" si="8"/>
        <v/>
      </c>
      <c r="J24" s="299"/>
      <c r="K24" s="86"/>
      <c r="L24" s="11"/>
      <c r="M24" s="11"/>
      <c r="N24" s="369"/>
      <c r="O24" s="371">
        <f t="shared" si="9"/>
        <v>0</v>
      </c>
      <c r="P24" s="73">
        <f t="shared" si="10"/>
        <v>0</v>
      </c>
      <c r="Q24" s="73">
        <f t="shared" si="11"/>
        <v>0</v>
      </c>
      <c r="R24" s="73">
        <f t="shared" si="12"/>
        <v>0</v>
      </c>
      <c r="S24" s="73">
        <v>0.2</v>
      </c>
      <c r="T24" s="73">
        <f t="shared" si="13"/>
        <v>0.33333333333333337</v>
      </c>
      <c r="U24" s="12" t="str">
        <f t="shared" si="14"/>
        <v/>
      </c>
      <c r="V24" s="372" t="e">
        <f t="shared" si="15"/>
        <v>#VALUE!</v>
      </c>
      <c r="W24" s="114" t="str">
        <f t="shared" si="16"/>
        <v/>
      </c>
      <c r="X24" s="161" t="str">
        <f>+IF(D24="cp",(I24*'Récapitulatif '!$AJ$3),"")</f>
        <v/>
      </c>
      <c r="Y24" s="163" t="str">
        <f t="shared" si="1"/>
        <v/>
      </c>
      <c r="Z24" s="154" t="str">
        <f t="shared" si="17"/>
        <v/>
      </c>
      <c r="AA24" s="154" t="str">
        <f t="shared" si="2"/>
        <v/>
      </c>
      <c r="AB24" s="479" t="str">
        <f t="shared" si="22"/>
        <v/>
      </c>
      <c r="AC24" s="475" t="str">
        <f t="shared" si="18"/>
        <v/>
      </c>
      <c r="AD24" s="118" t="str">
        <f t="shared" si="19"/>
        <v/>
      </c>
      <c r="AE24" s="261" t="str">
        <f t="shared" si="20"/>
        <v/>
      </c>
      <c r="AF24" s="475" t="str">
        <f>+IF(AND(WEEKDAY(C24)=1,$C$4:$C$34=$C$63),"",IF(AND($C$4:$C$34=$C$63,D24=""),'Récapitulatif '!$AJ$3,IF(AND(D24="N",AG24&lt;&gt;""),('Récapitulatif '!$AJ$3-AG24),"")))</f>
        <v/>
      </c>
      <c r="AG24" s="119" t="str">
        <f t="shared" si="3"/>
        <v/>
      </c>
      <c r="AH24" s="218" t="str">
        <f t="shared" si="4"/>
        <v/>
      </c>
      <c r="AI24" s="13" t="str">
        <f t="shared" si="5"/>
        <v/>
      </c>
    </row>
    <row r="25" spans="1:38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112">
        <f t="shared" si="21"/>
        <v>43943</v>
      </c>
      <c r="D25" s="646"/>
      <c r="E25" s="637" t="str">
        <f t="shared" si="6"/>
        <v/>
      </c>
      <c r="F25" s="638" t="str">
        <f t="shared" si="7"/>
        <v/>
      </c>
      <c r="G25" s="626"/>
      <c r="H25" s="128" t="str">
        <f t="shared" si="0"/>
        <v/>
      </c>
      <c r="I25" s="127" t="str">
        <f t="shared" si="8"/>
        <v/>
      </c>
      <c r="J25" s="299"/>
      <c r="K25" s="86"/>
      <c r="L25" s="11"/>
      <c r="M25" s="11"/>
      <c r="N25" s="369"/>
      <c r="O25" s="371">
        <f t="shared" si="9"/>
        <v>0</v>
      </c>
      <c r="P25" s="73">
        <f t="shared" si="10"/>
        <v>0</v>
      </c>
      <c r="Q25" s="73">
        <f t="shared" si="11"/>
        <v>0</v>
      </c>
      <c r="R25" s="73">
        <f t="shared" si="12"/>
        <v>0</v>
      </c>
      <c r="S25" s="73">
        <v>0.2</v>
      </c>
      <c r="T25" s="73">
        <f t="shared" si="13"/>
        <v>0.33333333333333337</v>
      </c>
      <c r="U25" s="12" t="str">
        <f t="shared" si="14"/>
        <v/>
      </c>
      <c r="V25" s="372" t="e">
        <f t="shared" si="15"/>
        <v>#VALUE!</v>
      </c>
      <c r="W25" s="114" t="str">
        <f t="shared" si="16"/>
        <v/>
      </c>
      <c r="X25" s="161" t="str">
        <f>+IF(D25="cp",(I25*'Récapitulatif '!$AJ$3),"")</f>
        <v/>
      </c>
      <c r="Y25" s="163" t="str">
        <f t="shared" si="1"/>
        <v/>
      </c>
      <c r="Z25" s="154" t="str">
        <f t="shared" si="17"/>
        <v/>
      </c>
      <c r="AA25" s="154" t="str">
        <f t="shared" si="2"/>
        <v/>
      </c>
      <c r="AB25" s="479" t="str">
        <f t="shared" si="22"/>
        <v/>
      </c>
      <c r="AC25" s="475" t="str">
        <f t="shared" si="18"/>
        <v/>
      </c>
      <c r="AD25" s="118" t="str">
        <f t="shared" si="19"/>
        <v/>
      </c>
      <c r="AE25" s="261" t="str">
        <f t="shared" si="20"/>
        <v/>
      </c>
      <c r="AF25" s="475" t="str">
        <f>+IF(AND(WEEKDAY(C25)=1,$C$4:$C$34=$C$63),"",IF(AND($C$4:$C$34=$C$63,D25=""),'Récapitulatif '!$AJ$3,IF(AND(D25="N",AG25&lt;&gt;""),('Récapitulatif '!$AJ$3-AG25),"")))</f>
        <v/>
      </c>
      <c r="AG25" s="119" t="str">
        <f t="shared" si="3"/>
        <v/>
      </c>
      <c r="AH25" s="218" t="str">
        <f t="shared" si="4"/>
        <v/>
      </c>
      <c r="AI25" s="13" t="str">
        <f t="shared" si="5"/>
        <v/>
      </c>
    </row>
    <row r="26" spans="1:38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112">
        <f t="shared" si="21"/>
        <v>43944</v>
      </c>
      <c r="D26" s="647"/>
      <c r="E26" s="637" t="str">
        <f t="shared" si="6"/>
        <v/>
      </c>
      <c r="F26" s="638" t="str">
        <f t="shared" si="7"/>
        <v/>
      </c>
      <c r="G26" s="626"/>
      <c r="H26" s="128" t="str">
        <f t="shared" si="0"/>
        <v/>
      </c>
      <c r="I26" s="127" t="str">
        <f t="shared" si="8"/>
        <v/>
      </c>
      <c r="J26" s="299"/>
      <c r="K26" s="86"/>
      <c r="L26" s="11"/>
      <c r="M26" s="11"/>
      <c r="N26" s="369"/>
      <c r="O26" s="371">
        <f t="shared" si="9"/>
        <v>0</v>
      </c>
      <c r="P26" s="73">
        <f t="shared" si="10"/>
        <v>0</v>
      </c>
      <c r="Q26" s="73">
        <f t="shared" si="11"/>
        <v>0</v>
      </c>
      <c r="R26" s="73">
        <f t="shared" si="12"/>
        <v>0</v>
      </c>
      <c r="S26" s="73">
        <v>0.2</v>
      </c>
      <c r="T26" s="73">
        <f t="shared" si="13"/>
        <v>0.33333333333333337</v>
      </c>
      <c r="U26" s="12" t="str">
        <f t="shared" si="14"/>
        <v/>
      </c>
      <c r="V26" s="372" t="e">
        <f t="shared" si="15"/>
        <v>#VALUE!</v>
      </c>
      <c r="W26" s="114" t="str">
        <f t="shared" si="16"/>
        <v/>
      </c>
      <c r="X26" s="161" t="str">
        <f>+IF(D26="cp",(I26*'Récapitulatif '!$AJ$3),"")</f>
        <v/>
      </c>
      <c r="Y26" s="163" t="str">
        <f t="shared" si="1"/>
        <v/>
      </c>
      <c r="Z26" s="154" t="str">
        <f t="shared" si="17"/>
        <v/>
      </c>
      <c r="AA26" s="154" t="str">
        <f t="shared" si="2"/>
        <v/>
      </c>
      <c r="AB26" s="479" t="str">
        <f t="shared" si="22"/>
        <v/>
      </c>
      <c r="AC26" s="475" t="str">
        <f t="shared" si="18"/>
        <v/>
      </c>
      <c r="AD26" s="118" t="str">
        <f t="shared" si="19"/>
        <v/>
      </c>
      <c r="AE26" s="261" t="str">
        <f t="shared" si="20"/>
        <v/>
      </c>
      <c r="AF26" s="475" t="str">
        <f>+IF(AND(WEEKDAY(C26)=1,$C$4:$C$34=$C$63),"",IF(AND($C$4:$C$34=$C$63,D26=""),'Récapitulatif '!$AJ$3,IF(AND(D26="N",AG26&lt;&gt;""),('Récapitulatif '!$AJ$3-AG26),"")))</f>
        <v/>
      </c>
      <c r="AG26" s="119" t="str">
        <f t="shared" si="3"/>
        <v/>
      </c>
      <c r="AH26" s="218" t="str">
        <f t="shared" si="4"/>
        <v/>
      </c>
      <c r="AI26" s="13" t="str">
        <f t="shared" si="5"/>
        <v/>
      </c>
    </row>
    <row r="27" spans="1:38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112">
        <f t="shared" si="21"/>
        <v>43945</v>
      </c>
      <c r="D27" s="647"/>
      <c r="E27" s="637" t="str">
        <f t="shared" si="6"/>
        <v/>
      </c>
      <c r="F27" s="638" t="str">
        <f t="shared" si="7"/>
        <v/>
      </c>
      <c r="G27" s="626"/>
      <c r="H27" s="128" t="str">
        <f t="shared" si="0"/>
        <v/>
      </c>
      <c r="I27" s="127" t="str">
        <f t="shared" si="8"/>
        <v/>
      </c>
      <c r="J27" s="299"/>
      <c r="K27" s="86"/>
      <c r="L27" s="11"/>
      <c r="M27" s="11"/>
      <c r="N27" s="369"/>
      <c r="O27" s="371">
        <f t="shared" si="9"/>
        <v>0</v>
      </c>
      <c r="P27" s="73">
        <f t="shared" si="10"/>
        <v>0</v>
      </c>
      <c r="Q27" s="73">
        <f t="shared" si="11"/>
        <v>0</v>
      </c>
      <c r="R27" s="73">
        <f t="shared" si="12"/>
        <v>0</v>
      </c>
      <c r="S27" s="73">
        <v>0.2</v>
      </c>
      <c r="T27" s="73">
        <f t="shared" si="13"/>
        <v>0.33333333333333337</v>
      </c>
      <c r="U27" s="12" t="str">
        <f t="shared" si="14"/>
        <v/>
      </c>
      <c r="V27" s="372" t="e">
        <f t="shared" si="15"/>
        <v>#VALUE!</v>
      </c>
      <c r="W27" s="114" t="str">
        <f t="shared" si="16"/>
        <v/>
      </c>
      <c r="X27" s="161" t="str">
        <f>+IF(D27="cp",(I27*'Récapitulatif '!$AJ$3),"")</f>
        <v/>
      </c>
      <c r="Y27" s="163" t="str">
        <f t="shared" si="1"/>
        <v/>
      </c>
      <c r="Z27" s="154" t="str">
        <f t="shared" si="17"/>
        <v/>
      </c>
      <c r="AA27" s="154" t="str">
        <f t="shared" si="2"/>
        <v/>
      </c>
      <c r="AB27" s="479" t="str">
        <f t="shared" si="22"/>
        <v/>
      </c>
      <c r="AC27" s="475" t="str">
        <f t="shared" si="18"/>
        <v/>
      </c>
      <c r="AD27" s="118" t="str">
        <f t="shared" si="19"/>
        <v/>
      </c>
      <c r="AE27" s="261" t="str">
        <f t="shared" si="20"/>
        <v/>
      </c>
      <c r="AF27" s="475" t="str">
        <f>+IF(AND(WEEKDAY(C27)=1,$C$4:$C$34=$C$63),"",IF(AND($C$4:$C$34=$C$63,D27=""),'Récapitulatif '!$AJ$3,IF(AND(D27="N",AG27&lt;&gt;""),('Récapitulatif '!$AJ$3-AG27),"")))</f>
        <v/>
      </c>
      <c r="AG27" s="119" t="str">
        <f t="shared" si="3"/>
        <v/>
      </c>
      <c r="AH27" s="218" t="str">
        <f t="shared" si="4"/>
        <v/>
      </c>
      <c r="AI27" s="13" t="str">
        <f t="shared" si="5"/>
        <v/>
      </c>
    </row>
    <row r="28" spans="1:38">
      <c r="A28" s="482" t="str">
        <f>IF(WEEKDAY(C28,2)=1,INT((C28-SUM(MOD(DATE(YEAR(C28-MOD(C28-2,7)+3),1,2),{1E+99;7})*{1;-1})+5)/7),"")</f>
        <v/>
      </c>
      <c r="B28" s="482" t="str">
        <f>IF(A28&lt;&gt;"",VLOOKUP(A28,juin!$L$49:$M$101,2,FALSE),"")</f>
        <v/>
      </c>
      <c r="C28" s="112">
        <f t="shared" si="21"/>
        <v>43946</v>
      </c>
      <c r="D28" s="646"/>
      <c r="E28" s="637" t="str">
        <f t="shared" si="6"/>
        <v/>
      </c>
      <c r="F28" s="638" t="str">
        <f t="shared" si="7"/>
        <v/>
      </c>
      <c r="G28" s="626"/>
      <c r="H28" s="128" t="str">
        <f t="shared" si="0"/>
        <v/>
      </c>
      <c r="I28" s="127" t="str">
        <f t="shared" si="8"/>
        <v/>
      </c>
      <c r="J28" s="299"/>
      <c r="K28" s="86"/>
      <c r="L28" s="11"/>
      <c r="M28" s="11"/>
      <c r="N28" s="369"/>
      <c r="O28" s="371">
        <f t="shared" si="9"/>
        <v>0</v>
      </c>
      <c r="P28" s="73">
        <f t="shared" si="10"/>
        <v>0</v>
      </c>
      <c r="Q28" s="73">
        <f t="shared" si="11"/>
        <v>0</v>
      </c>
      <c r="R28" s="73">
        <f t="shared" si="12"/>
        <v>0</v>
      </c>
      <c r="S28" s="73">
        <v>0.2</v>
      </c>
      <c r="T28" s="73">
        <f t="shared" si="13"/>
        <v>0.33333333333333337</v>
      </c>
      <c r="U28" s="12" t="str">
        <f t="shared" si="14"/>
        <v/>
      </c>
      <c r="V28" s="372" t="e">
        <f t="shared" si="15"/>
        <v>#VALUE!</v>
      </c>
      <c r="W28" s="114" t="str">
        <f t="shared" si="16"/>
        <v/>
      </c>
      <c r="X28" s="161" t="str">
        <f>+IF(D28="cp",(I28*'Récapitulatif '!$AJ$3),"")</f>
        <v/>
      </c>
      <c r="Y28" s="163" t="str">
        <f t="shared" si="1"/>
        <v/>
      </c>
      <c r="Z28" s="154" t="str">
        <f t="shared" si="17"/>
        <v/>
      </c>
      <c r="AA28" s="154" t="str">
        <f t="shared" si="2"/>
        <v/>
      </c>
      <c r="AB28" s="479" t="str">
        <f t="shared" si="22"/>
        <v/>
      </c>
      <c r="AC28" s="475" t="str">
        <f t="shared" si="18"/>
        <v/>
      </c>
      <c r="AD28" s="118" t="str">
        <f t="shared" si="19"/>
        <v/>
      </c>
      <c r="AE28" s="261" t="str">
        <f t="shared" si="20"/>
        <v/>
      </c>
      <c r="AF28" s="475" t="str">
        <f>+IF(AND(WEEKDAY(C28)=1,$C$4:$C$34=$C$63),"",IF(AND($C$4:$C$34=$C$63,D28=""),'Récapitulatif '!$AJ$3,IF(AND(D28="N",AG28&lt;&gt;""),('Récapitulatif '!$AJ$3-AG28),"")))</f>
        <v/>
      </c>
      <c r="AG28" s="119" t="str">
        <f t="shared" si="3"/>
        <v/>
      </c>
      <c r="AH28" s="218" t="str">
        <f t="shared" si="4"/>
        <v/>
      </c>
      <c r="AI28" s="13" t="str">
        <f t="shared" si="5"/>
        <v/>
      </c>
    </row>
    <row r="29" spans="1:38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112">
        <f t="shared" si="21"/>
        <v>43947</v>
      </c>
      <c r="D29" s="647"/>
      <c r="E29" s="637" t="str">
        <f t="shared" si="6"/>
        <v/>
      </c>
      <c r="F29" s="638" t="str">
        <f t="shared" si="7"/>
        <v/>
      </c>
      <c r="G29" s="626"/>
      <c r="H29" s="128" t="str">
        <f t="shared" si="0"/>
        <v/>
      </c>
      <c r="I29" s="127" t="str">
        <f t="shared" si="8"/>
        <v/>
      </c>
      <c r="J29" s="299"/>
      <c r="K29" s="86"/>
      <c r="L29" s="11"/>
      <c r="M29" s="11"/>
      <c r="N29" s="369"/>
      <c r="O29" s="371">
        <f t="shared" si="9"/>
        <v>0</v>
      </c>
      <c r="P29" s="73">
        <f t="shared" si="10"/>
        <v>0</v>
      </c>
      <c r="Q29" s="73">
        <f t="shared" si="11"/>
        <v>0</v>
      </c>
      <c r="R29" s="73">
        <f t="shared" si="12"/>
        <v>0</v>
      </c>
      <c r="S29" s="73">
        <v>0.2</v>
      </c>
      <c r="T29" s="73">
        <f t="shared" si="13"/>
        <v>0.33333333333333337</v>
      </c>
      <c r="U29" s="12" t="str">
        <f t="shared" si="14"/>
        <v/>
      </c>
      <c r="V29" s="372" t="e">
        <f t="shared" si="15"/>
        <v>#VALUE!</v>
      </c>
      <c r="W29" s="114" t="str">
        <f t="shared" si="16"/>
        <v/>
      </c>
      <c r="X29" s="161" t="str">
        <f>+IF(D29="cp",(I29*'Récapitulatif '!$AJ$3),"")</f>
        <v/>
      </c>
      <c r="Y29" s="163" t="str">
        <f t="shared" si="1"/>
        <v/>
      </c>
      <c r="Z29" s="154" t="str">
        <f t="shared" si="17"/>
        <v/>
      </c>
      <c r="AA29" s="154" t="str">
        <f t="shared" si="2"/>
        <v/>
      </c>
      <c r="AB29" s="479">
        <f t="shared" si="22"/>
        <v>0</v>
      </c>
      <c r="AC29" s="475" t="str">
        <f t="shared" si="18"/>
        <v/>
      </c>
      <c r="AD29" s="118" t="str">
        <f t="shared" si="19"/>
        <v/>
      </c>
      <c r="AE29" s="261" t="str">
        <f t="shared" si="20"/>
        <v/>
      </c>
      <c r="AF29" s="475" t="str">
        <f>+IF(AND(WEEKDAY(C29)=1,$C$4:$C$34=$C$63),"",IF(AND($C$4:$C$34=$C$63,D29=""),'Récapitulatif '!$AJ$3,IF(AND(D29="N",AG29&lt;&gt;""),('Récapitulatif '!$AJ$3-AG29),"")))</f>
        <v/>
      </c>
      <c r="AG29" s="119" t="str">
        <f t="shared" si="3"/>
        <v/>
      </c>
      <c r="AH29" s="218" t="str">
        <f t="shared" si="4"/>
        <v/>
      </c>
      <c r="AI29" s="13" t="str">
        <f t="shared" si="5"/>
        <v/>
      </c>
    </row>
    <row r="30" spans="1:38">
      <c r="A30" s="482">
        <f>IF(WEEKDAY(C30,2)=1,INT((C30-SUM(MOD(DATE(YEAR(C30-MOD(C30-2,7)+3),1,2),{1E+99;7})*{1;-1})+5)/7),"")</f>
        <v>18</v>
      </c>
      <c r="B30" s="482" t="str">
        <f>IF(A30&lt;&gt;"",VLOOKUP(A30,juin!$L$49:$M$101,2,FALSE),"")</f>
        <v>A - Midi</v>
      </c>
      <c r="C30" s="112">
        <f t="shared" si="21"/>
        <v>43948</v>
      </c>
      <c r="D30" s="647"/>
      <c r="E30" s="637" t="str">
        <f t="shared" si="6"/>
        <v/>
      </c>
      <c r="F30" s="638" t="str">
        <f t="shared" si="7"/>
        <v/>
      </c>
      <c r="G30" s="626"/>
      <c r="H30" s="128" t="str">
        <f t="shared" si="0"/>
        <v/>
      </c>
      <c r="I30" s="127" t="str">
        <f t="shared" si="8"/>
        <v/>
      </c>
      <c r="J30" s="299"/>
      <c r="K30" s="86"/>
      <c r="L30" s="11"/>
      <c r="M30" s="11"/>
      <c r="N30" s="369"/>
      <c r="O30" s="371">
        <f t="shared" si="9"/>
        <v>0</v>
      </c>
      <c r="P30" s="73">
        <f t="shared" si="10"/>
        <v>0</v>
      </c>
      <c r="Q30" s="73">
        <f t="shared" si="11"/>
        <v>0</v>
      </c>
      <c r="R30" s="73">
        <f t="shared" si="12"/>
        <v>0</v>
      </c>
      <c r="S30" s="73">
        <v>0.2</v>
      </c>
      <c r="T30" s="73">
        <f t="shared" si="13"/>
        <v>0.33333333333333337</v>
      </c>
      <c r="U30" s="12" t="str">
        <f t="shared" si="14"/>
        <v/>
      </c>
      <c r="V30" s="372" t="e">
        <f t="shared" si="15"/>
        <v>#VALUE!</v>
      </c>
      <c r="W30" s="114" t="str">
        <f t="shared" si="16"/>
        <v/>
      </c>
      <c r="X30" s="161" t="str">
        <f>+IF(D30="cp",(I30*'Récapitulatif '!$AJ$3),"")</f>
        <v/>
      </c>
      <c r="Y30" s="163" t="str">
        <f t="shared" si="1"/>
        <v/>
      </c>
      <c r="Z30" s="154" t="str">
        <f t="shared" si="17"/>
        <v/>
      </c>
      <c r="AA30" s="154" t="str">
        <f t="shared" si="2"/>
        <v/>
      </c>
      <c r="AB30" s="479" t="str">
        <f t="shared" si="22"/>
        <v/>
      </c>
      <c r="AC30" s="475" t="str">
        <f t="shared" si="18"/>
        <v/>
      </c>
      <c r="AD30" s="118" t="str">
        <f t="shared" si="19"/>
        <v/>
      </c>
      <c r="AE30" s="261" t="str">
        <f t="shared" si="20"/>
        <v/>
      </c>
      <c r="AF30" s="475" t="str">
        <f>+IF(AND(WEEKDAY(C30)=1,$C$4:$C$34=$C$63),"",IF(AND($C$4:$C$34=$C$63,D30=""),'Récapitulatif '!$AJ$3,IF(AND(D30="N",AG30&lt;&gt;""),('Récapitulatif '!$AJ$3-AG30),"")))</f>
        <v/>
      </c>
      <c r="AG30" s="119" t="str">
        <f t="shared" si="3"/>
        <v/>
      </c>
      <c r="AH30" s="218" t="str">
        <f t="shared" si="4"/>
        <v/>
      </c>
      <c r="AI30" s="13" t="str">
        <f t="shared" si="5"/>
        <v/>
      </c>
    </row>
    <row r="31" spans="1:38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112">
        <f t="shared" si="21"/>
        <v>43949</v>
      </c>
      <c r="D31" s="647"/>
      <c r="E31" s="637" t="str">
        <f t="shared" si="6"/>
        <v/>
      </c>
      <c r="F31" s="638" t="str">
        <f t="shared" si="7"/>
        <v/>
      </c>
      <c r="G31" s="626"/>
      <c r="H31" s="128" t="str">
        <f t="shared" si="0"/>
        <v/>
      </c>
      <c r="I31" s="127" t="str">
        <f t="shared" si="8"/>
        <v/>
      </c>
      <c r="J31" s="299"/>
      <c r="K31" s="86"/>
      <c r="L31" s="11"/>
      <c r="M31" s="11"/>
      <c r="N31" s="369"/>
      <c r="O31" s="371">
        <f t="shared" si="9"/>
        <v>0</v>
      </c>
      <c r="P31" s="73">
        <f t="shared" si="10"/>
        <v>0</v>
      </c>
      <c r="Q31" s="73">
        <f t="shared" si="11"/>
        <v>0</v>
      </c>
      <c r="R31" s="73">
        <f t="shared" si="12"/>
        <v>0</v>
      </c>
      <c r="S31" s="73">
        <v>0.2</v>
      </c>
      <c r="T31" s="73">
        <f t="shared" si="13"/>
        <v>0.33333333333333337</v>
      </c>
      <c r="U31" s="12" t="str">
        <f t="shared" si="14"/>
        <v/>
      </c>
      <c r="V31" s="372" t="e">
        <f t="shared" si="15"/>
        <v>#VALUE!</v>
      </c>
      <c r="W31" s="114" t="str">
        <f t="shared" si="16"/>
        <v/>
      </c>
      <c r="X31" s="161" t="str">
        <f>+IF(D31="cp",(I31*'Récapitulatif '!$AJ$3),"")</f>
        <v/>
      </c>
      <c r="Y31" s="163" t="str">
        <f t="shared" si="1"/>
        <v/>
      </c>
      <c r="Z31" s="154" t="str">
        <f t="shared" si="17"/>
        <v/>
      </c>
      <c r="AA31" s="154" t="str">
        <f t="shared" si="2"/>
        <v/>
      </c>
      <c r="AB31" s="479" t="str">
        <f t="shared" si="22"/>
        <v/>
      </c>
      <c r="AC31" s="475" t="str">
        <f t="shared" si="18"/>
        <v/>
      </c>
      <c r="AD31" s="118" t="str">
        <f t="shared" si="19"/>
        <v/>
      </c>
      <c r="AE31" s="261" t="str">
        <f t="shared" si="20"/>
        <v/>
      </c>
      <c r="AF31" s="475" t="str">
        <f>+IF(AND(WEEKDAY(C31)=1,$C$4:$C$34=$C$63),"",IF(AND($C$4:$C$34=$C$63,D31=""),'Récapitulatif '!$AJ$3,IF(AND(D31="N",AG31&lt;&gt;""),('Récapitulatif '!$AJ$3-AG31),"")))</f>
        <v/>
      </c>
      <c r="AG31" s="119" t="str">
        <f t="shared" si="3"/>
        <v/>
      </c>
      <c r="AH31" s="218" t="str">
        <f t="shared" si="4"/>
        <v/>
      </c>
      <c r="AI31" s="13" t="str">
        <f t="shared" si="5"/>
        <v/>
      </c>
    </row>
    <row r="32" spans="1:38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112">
        <f>+IF(MONTH(C$31+1)=MONTH(C$31)+1,"",C$31+1)</f>
        <v>43950</v>
      </c>
      <c r="D32" s="647"/>
      <c r="E32" s="637" t="str">
        <f t="shared" si="6"/>
        <v/>
      </c>
      <c r="F32" s="638" t="str">
        <f t="shared" si="7"/>
        <v/>
      </c>
      <c r="G32" s="626"/>
      <c r="H32" s="128" t="str">
        <f t="shared" si="0"/>
        <v/>
      </c>
      <c r="I32" s="127" t="str">
        <f t="shared" si="8"/>
        <v/>
      </c>
      <c r="J32" s="299"/>
      <c r="K32" s="86"/>
      <c r="L32" s="11"/>
      <c r="M32" s="11"/>
      <c r="N32" s="369"/>
      <c r="O32" s="371">
        <f t="shared" si="9"/>
        <v>0</v>
      </c>
      <c r="P32" s="73">
        <f t="shared" si="10"/>
        <v>0</v>
      </c>
      <c r="Q32" s="73">
        <f t="shared" si="11"/>
        <v>0</v>
      </c>
      <c r="R32" s="73">
        <f t="shared" si="12"/>
        <v>0</v>
      </c>
      <c r="S32" s="73">
        <v>0.2</v>
      </c>
      <c r="T32" s="73">
        <f t="shared" si="13"/>
        <v>0.33333333333333337</v>
      </c>
      <c r="U32" s="12" t="str">
        <f t="shared" si="14"/>
        <v/>
      </c>
      <c r="V32" s="372" t="e">
        <f t="shared" si="15"/>
        <v>#VALUE!</v>
      </c>
      <c r="W32" s="114" t="str">
        <f t="shared" si="16"/>
        <v/>
      </c>
      <c r="X32" s="161" t="str">
        <f>+IF(D32="cp",(I32*'Récapitulatif '!$AJ$3),"")</f>
        <v/>
      </c>
      <c r="Y32" s="163" t="str">
        <f t="shared" si="1"/>
        <v/>
      </c>
      <c r="Z32" s="154" t="str">
        <f t="shared" si="17"/>
        <v/>
      </c>
      <c r="AA32" s="154" t="str">
        <f t="shared" si="2"/>
        <v/>
      </c>
      <c r="AB32" s="479" t="str">
        <f t="shared" si="22"/>
        <v/>
      </c>
      <c r="AC32" s="475" t="str">
        <f t="shared" si="18"/>
        <v/>
      </c>
      <c r="AD32" s="118" t="str">
        <f t="shared" si="19"/>
        <v/>
      </c>
      <c r="AE32" s="261" t="str">
        <f t="shared" si="20"/>
        <v/>
      </c>
      <c r="AF32" s="475" t="str">
        <f>+IF(AND(WEEKDAY(C32)=1,$C$4:$C$34=$C$63),"",IF(AND($C$4:$C$34=$C$63,D32=""),'Récapitulatif '!$AJ$3,IF(AND(D32="N",AG32&lt;&gt;""),('Récapitulatif '!$AJ$3-AG32),"")))</f>
        <v/>
      </c>
      <c r="AG32" s="119" t="str">
        <f t="shared" si="3"/>
        <v/>
      </c>
      <c r="AH32" s="218" t="str">
        <f t="shared" si="4"/>
        <v/>
      </c>
      <c r="AI32" s="13" t="str">
        <f t="shared" si="5"/>
        <v/>
      </c>
    </row>
    <row r="33" spans="1:39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112">
        <f>+IF(MONTH(C$31+2)=MONTH(C$31)+1,"",C$31+2)</f>
        <v>43951</v>
      </c>
      <c r="D33" s="646"/>
      <c r="E33" s="637" t="str">
        <f t="shared" si="6"/>
        <v/>
      </c>
      <c r="F33" s="638" t="str">
        <f t="shared" si="7"/>
        <v/>
      </c>
      <c r="G33" s="626"/>
      <c r="H33" s="128" t="str">
        <f t="shared" si="0"/>
        <v/>
      </c>
      <c r="I33" s="127" t="str">
        <f t="shared" si="8"/>
        <v/>
      </c>
      <c r="J33" s="299"/>
      <c r="K33" s="86"/>
      <c r="L33" s="11"/>
      <c r="M33" s="11"/>
      <c r="N33" s="369"/>
      <c r="O33" s="371">
        <f t="shared" si="9"/>
        <v>0</v>
      </c>
      <c r="P33" s="73">
        <f t="shared" si="10"/>
        <v>0</v>
      </c>
      <c r="Q33" s="73">
        <f t="shared" si="11"/>
        <v>0</v>
      </c>
      <c r="R33" s="73">
        <f t="shared" si="12"/>
        <v>0</v>
      </c>
      <c r="S33" s="73">
        <v>0.2</v>
      </c>
      <c r="T33" s="73">
        <f t="shared" si="13"/>
        <v>0.33333333333333337</v>
      </c>
      <c r="U33" s="12" t="str">
        <f t="shared" si="14"/>
        <v/>
      </c>
      <c r="V33" s="372" t="e">
        <f t="shared" si="15"/>
        <v>#VALUE!</v>
      </c>
      <c r="W33" s="114" t="str">
        <f t="shared" si="16"/>
        <v/>
      </c>
      <c r="X33" s="161" t="str">
        <f>+IF(D33="cp",(I33*'Récapitulatif '!$AJ$3),"")</f>
        <v/>
      </c>
      <c r="Y33" s="163" t="str">
        <f t="shared" si="1"/>
        <v/>
      </c>
      <c r="Z33" s="154" t="str">
        <f t="shared" si="17"/>
        <v/>
      </c>
      <c r="AA33" s="154" t="str">
        <f t="shared" si="2"/>
        <v/>
      </c>
      <c r="AB33" s="479" t="str">
        <f t="shared" si="22"/>
        <v/>
      </c>
      <c r="AC33" s="475" t="str">
        <f t="shared" si="18"/>
        <v/>
      </c>
      <c r="AD33" s="118" t="str">
        <f t="shared" si="19"/>
        <v/>
      </c>
      <c r="AE33" s="261" t="str">
        <f t="shared" si="20"/>
        <v/>
      </c>
      <c r="AF33" s="475" t="str">
        <f>+IF(AND(WEEKDAY(C33)=1,$C$4:$C$34=$C$63),"",IF(AND($C$4:$C$34=$C$63,D33=""),'Récapitulatif '!$AJ$3,IF(AND(D33="N",AG33&lt;&gt;""),('Récapitulatif '!$AJ$3-AG33),"")))</f>
        <v/>
      </c>
      <c r="AG33" s="119" t="str">
        <f t="shared" si="3"/>
        <v/>
      </c>
      <c r="AH33" s="218" t="str">
        <f t="shared" si="4"/>
        <v/>
      </c>
      <c r="AI33" s="13" t="str">
        <f t="shared" si="5"/>
        <v/>
      </c>
    </row>
    <row r="34" spans="1:39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142"/>
      <c r="D34" s="648"/>
      <c r="E34" s="639" t="str">
        <f t="shared" si="6"/>
        <v/>
      </c>
      <c r="F34" s="640" t="str">
        <f t="shared" si="7"/>
        <v/>
      </c>
      <c r="G34" s="627"/>
      <c r="H34" s="128" t="str">
        <f t="shared" si="0"/>
        <v/>
      </c>
      <c r="I34" s="127" t="str">
        <f t="shared" si="8"/>
        <v/>
      </c>
      <c r="J34" s="300"/>
      <c r="K34" s="87"/>
      <c r="L34" s="14"/>
      <c r="M34" s="14"/>
      <c r="N34" s="370"/>
      <c r="O34" s="373"/>
      <c r="P34" s="202"/>
      <c r="Q34" s="202"/>
      <c r="R34" s="202"/>
      <c r="S34" s="202"/>
      <c r="T34" s="202"/>
      <c r="U34" s="203"/>
      <c r="V34" s="374" t="e">
        <f t="shared" si="15"/>
        <v>#VALUE!</v>
      </c>
      <c r="W34" s="115"/>
      <c r="X34" s="204" t="str">
        <f>+IF(D34="cp",(I34*'Récapitulatif '!$AJ$3),"")</f>
        <v/>
      </c>
      <c r="Y34" s="164"/>
      <c r="Z34" s="154" t="str">
        <f t="shared" si="17"/>
        <v/>
      </c>
      <c r="AA34" s="154" t="str">
        <f t="shared" si="2"/>
        <v/>
      </c>
      <c r="AB34" s="480" t="str">
        <f t="shared" si="22"/>
        <v/>
      </c>
      <c r="AC34" s="476"/>
      <c r="AD34" s="120" t="str">
        <f t="shared" si="19"/>
        <v/>
      </c>
      <c r="AE34" s="262" t="str">
        <f t="shared" si="20"/>
        <v/>
      </c>
      <c r="AF34" s="476" t="str">
        <f>+IF(AND(WEEKDAY(C34)=1,$C$4:$C$34=$C$63),"",IF(AND($C$4:$C$34=$C$63,D34=""),'Récapitulatif '!$AJ$3,IF(AND(D34="N",AG34&lt;&gt;""),('Récapitulatif '!$AJ$3-AG34),"")))</f>
        <v/>
      </c>
      <c r="AG34" s="131" t="str">
        <f t="shared" si="3"/>
        <v/>
      </c>
      <c r="AH34" s="219"/>
      <c r="AI34" s="15"/>
    </row>
    <row r="35" spans="1:39" ht="13.5" hidden="1" thickBot="1">
      <c r="A35" s="481" t="str">
        <f>IF(WEEKDAY(C35,2)=1,NO.SEMAINE(C35),"")</f>
        <v/>
      </c>
      <c r="B35" s="482" t="str">
        <f>IF(A35&lt;&gt;"",VLOOKUP(A35,juin!$L$49:$M$101,2,FALSE),"")</f>
        <v/>
      </c>
      <c r="C35" s="191"/>
      <c r="D35" s="192"/>
      <c r="E35" s="192"/>
      <c r="F35" s="557" t="str">
        <f t="shared" si="7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96"/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+IF(WEEKDAY(C27)=1,SUM(W28:X34),IF(WEEKDAY(C28)=1,SUM(W29:X34),IF(WEEKDAY(C29)=1,SUM(W30:X34),IF(WEEKDAY(C30)=1,SUM(W31:X34),IF(WEEKDAY(C31)=1,SUM(W32:X34),IF(WEEKDAY(C32)=1,SUM(W33:X34),IF(WEEKDAY(C33)=1,SUM(W33:X33),"")))))))</f>
        <v>0</v>
      </c>
      <c r="AC35" s="199"/>
      <c r="AD35" s="199"/>
      <c r="AE35" s="384" t="e">
        <f>+IF(OR($C$4:$C$34=C99),W35,"")</f>
        <v>#VALUE!</v>
      </c>
      <c r="AF35" s="474" t="e">
        <f>+IF(AND(WEEKDAY(C35)=1,$C$4:$C$34=$C$63),"",IF(AND($C$4:$C$34=$C$63,D35=""),'Récapitulatif '!$AJ$3,IF(AND(D35="N",AG35&lt;&gt;""),('Récapitulatif '!$AJ$3-AG35),"")))</f>
        <v>#VALUE!</v>
      </c>
      <c r="AG35" s="296" t="str">
        <f>+IF(AND($C$4:$C$43=($C$63-1),$D$4:$D$43="N"),(L35-T35),IF(AND($C$4:$C$43=($C$63),$D$4:$D$43="N"),(24-K35),IF($C$4:$C$43=$C$63,$W35,"")))</f>
        <v/>
      </c>
      <c r="AH35" s="200"/>
      <c r="AI35" s="200"/>
    </row>
    <row r="36" spans="1:39" ht="10.5" customHeight="1" thickBot="1">
      <c r="A36" s="16"/>
      <c r="B36" s="16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76"/>
      <c r="AF36" s="76"/>
      <c r="AG36" s="76"/>
    </row>
    <row r="37" spans="1:39" ht="18.75" thickBot="1">
      <c r="A37" s="16"/>
      <c r="B37" s="16"/>
      <c r="C37" s="158" t="s">
        <v>85</v>
      </c>
      <c r="D37" s="18">
        <f>+SUM(I4:I33)</f>
        <v>4</v>
      </c>
      <c r="E37" s="609"/>
      <c r="F37" s="609"/>
      <c r="G37" s="836" t="s">
        <v>206</v>
      </c>
      <c r="H37" s="837"/>
      <c r="I37" s="837"/>
      <c r="J37" s="837"/>
      <c r="K37" s="616">
        <f>SUM(E4:E34)</f>
        <v>0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+SUM(U4:U33)</f>
        <v>0</v>
      </c>
      <c r="X37" s="151">
        <f>SUM(X4:X34)</f>
        <v>27.6</v>
      </c>
      <c r="Y37" s="117">
        <f>SUM(Y4:Y33)</f>
        <v>0</v>
      </c>
      <c r="Z37" s="155">
        <f>SUM(Z4:Z34)</f>
        <v>4</v>
      </c>
      <c r="AA37" s="155">
        <f>SUM(AA4:AA34)-Z37</f>
        <v>0</v>
      </c>
      <c r="AC37" s="121">
        <f>SUM(AC4:AC33)</f>
        <v>0</v>
      </c>
      <c r="AD37" s="122">
        <f>SUM(AD4:AD33)</f>
        <v>0</v>
      </c>
      <c r="AE37" s="123">
        <f>SUM(AE4:AE33)</f>
        <v>0</v>
      </c>
      <c r="AF37" s="121">
        <f>SUM(AF4:AF34)</f>
        <v>6.9</v>
      </c>
      <c r="AG37" s="123">
        <f>SUM(AG4:AG34)</f>
        <v>0</v>
      </c>
      <c r="AH37" s="314">
        <f>SUM(AH4:AH33)</f>
        <v>0</v>
      </c>
      <c r="AI37" s="23">
        <f>SUM(AI4:AI33)</f>
        <v>0</v>
      </c>
    </row>
    <row r="38" spans="1:39" ht="6" customHeight="1" thickBot="1">
      <c r="A38" s="16"/>
      <c r="B38" s="16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L38" s="7"/>
    </row>
    <row r="39" spans="1:39" ht="18" customHeight="1" thickBot="1">
      <c r="A39" s="16"/>
      <c r="B39" s="16"/>
      <c r="C39" s="158" t="s">
        <v>92</v>
      </c>
      <c r="D39" s="18">
        <f>+SUM(H4:H34)</f>
        <v>0</v>
      </c>
      <c r="E39" s="609"/>
      <c r="F39" s="609"/>
      <c r="G39" s="836" t="s">
        <v>207</v>
      </c>
      <c r="H39" s="837"/>
      <c r="I39" s="837"/>
      <c r="J39" s="837"/>
      <c r="K39" s="616">
        <f>SUM(F4:F34)</f>
        <v>0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</row>
    <row r="40" spans="1:39" ht="13.5" thickBot="1">
      <c r="A40" s="16"/>
      <c r="B40" s="16"/>
      <c r="C40" s="309"/>
      <c r="D40" s="310"/>
      <c r="E40" s="310"/>
      <c r="F40" s="310"/>
      <c r="G40" s="310"/>
      <c r="AJ40" s="7"/>
      <c r="AK40" s="7"/>
      <c r="AM40" s="7"/>
    </row>
    <row r="41" spans="1:39" ht="13.5" thickBot="1">
      <c r="A41" s="16"/>
      <c r="B41" s="16"/>
      <c r="C41" s="455" t="s">
        <v>187</v>
      </c>
      <c r="D41" s="456">
        <f ca="1">SUMIF(G4:J34,"Pasto",W4:W34)</f>
        <v>0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0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+Mars!AE41+Y41-AC41</f>
        <v>55.896666666666675</v>
      </c>
      <c r="AF41" s="108"/>
      <c r="AG41" s="108"/>
      <c r="AH41" s="139"/>
    </row>
    <row r="42" spans="1:39" s="7" customFormat="1">
      <c r="A42" s="16"/>
      <c r="B42" s="16"/>
      <c r="C42" s="457" t="s">
        <v>188</v>
      </c>
      <c r="D42" s="458">
        <f>SUMIF(G4:G34,"Prépa",W4:W34)</f>
        <v>0</v>
      </c>
      <c r="E42" s="619"/>
      <c r="F42" s="619"/>
      <c r="G42" s="27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J42" s="1"/>
      <c r="AK42" s="1"/>
      <c r="AL42" s="1"/>
      <c r="AM42" s="1"/>
    </row>
    <row r="43" spans="1:39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0</v>
      </c>
      <c r="M43" s="505">
        <f>COUNTIF($D$4:$D$34,"M")</f>
        <v>0</v>
      </c>
    </row>
    <row r="44" spans="1:39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0</v>
      </c>
      <c r="M44" s="504">
        <f>COUNTIF($D$4:$D$34,"aM")</f>
        <v>0</v>
      </c>
      <c r="AB44" s="24"/>
      <c r="AE44" s="1"/>
      <c r="AF44" s="1"/>
      <c r="AG44" s="1"/>
    </row>
    <row r="45" spans="1:39">
      <c r="K45" s="506" t="s">
        <v>5</v>
      </c>
      <c r="L45" s="507">
        <f>SUMIF($D$4:$D$34,"n",$W$4:$W$34)</f>
        <v>0</v>
      </c>
      <c r="M45" s="506">
        <f>COUNTIF($D$4:$D$34,"n")</f>
        <v>0</v>
      </c>
    </row>
    <row r="46" spans="1:39">
      <c r="AB46" s="177"/>
      <c r="AC46" s="177"/>
      <c r="AD46" s="177"/>
      <c r="AE46" s="308"/>
    </row>
    <row r="47" spans="1:39">
      <c r="AD47" s="24"/>
      <c r="AE47" s="1"/>
      <c r="AF47" s="1"/>
      <c r="AG47" s="1"/>
    </row>
    <row r="48" spans="1:39">
      <c r="G48" s="26"/>
      <c r="H48" s="26"/>
      <c r="I48" s="26"/>
      <c r="J48" s="26"/>
    </row>
    <row r="52" spans="3:14">
      <c r="L52" s="10"/>
      <c r="M52" s="10"/>
      <c r="N52" s="10"/>
    </row>
    <row r="60" spans="3:14" ht="15" hidden="1" customHeight="1">
      <c r="C60" s="813" t="s">
        <v>108</v>
      </c>
      <c r="D60" s="814"/>
      <c r="E60" s="814"/>
      <c r="F60" s="814"/>
      <c r="G60" s="815"/>
    </row>
    <row r="61" spans="3:14" ht="12.75" hidden="1" customHeight="1" thickBot="1">
      <c r="C61" s="816">
        <f>+Janvier!C61</f>
        <v>2020</v>
      </c>
      <c r="D61" s="817"/>
      <c r="E61" s="817"/>
      <c r="F61" s="817"/>
      <c r="G61" s="818"/>
    </row>
    <row r="62" spans="3:14" ht="15" hidden="1">
      <c r="C62" s="666">
        <f>+DATE(C61,1,1)</f>
        <v>43831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C61-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43934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43952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43959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43972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43983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44026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44058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44136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44146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44190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 hidden="1">
      <c r="D77" s="26"/>
      <c r="E77" s="26"/>
      <c r="F77" s="26"/>
      <c r="G77" s="26"/>
    </row>
  </sheetData>
  <sheetProtection password="C7D4" sheet="1" objects="1" scenarios="1"/>
  <mergeCells count="21">
    <mergeCell ref="C60:G60"/>
    <mergeCell ref="C61:G61"/>
    <mergeCell ref="AH1:AI1"/>
    <mergeCell ref="O3:P3"/>
    <mergeCell ref="S3:T3"/>
    <mergeCell ref="K1:Y1"/>
    <mergeCell ref="AF1:AG1"/>
    <mergeCell ref="AF2:AG2"/>
    <mergeCell ref="K2:L2"/>
    <mergeCell ref="Q2:R2"/>
    <mergeCell ref="M2:N2"/>
    <mergeCell ref="O2:P2"/>
    <mergeCell ref="AC1:AE1"/>
    <mergeCell ref="N41:W41"/>
    <mergeCell ref="K41:M41"/>
    <mergeCell ref="N39:Y39"/>
    <mergeCell ref="A1:D1"/>
    <mergeCell ref="A2:D2"/>
    <mergeCell ref="A3:B3"/>
    <mergeCell ref="G37:J37"/>
    <mergeCell ref="G39:J39"/>
  </mergeCells>
  <phoneticPr fontId="0" type="noConversion"/>
  <conditionalFormatting sqref="C4:AA35">
    <cfRule type="expression" dxfId="21" priority="6" stopIfTrue="1">
      <formula>OR(WEEKDAY($C4)=1)</formula>
    </cfRule>
  </conditionalFormatting>
  <conditionalFormatting sqref="AB4:AB34">
    <cfRule type="expression" dxfId="20" priority="7" stopIfTrue="1">
      <formula>OR(WEEKDAY($C4)=1)</formula>
    </cfRule>
  </conditionalFormatting>
  <conditionalFormatting sqref="A35:B35">
    <cfRule type="expression" dxfId="19" priority="8" stopIfTrue="1">
      <formula>OR(WEEKDAY($C35)=1)</formula>
    </cfRule>
  </conditionalFormatting>
  <conditionalFormatting sqref="A4:B34 B5:B35">
    <cfRule type="expression" dxfId="18" priority="3" stopIfTrue="1">
      <formula>OR(WEEKDAY($C4)=1)</formula>
    </cfRule>
  </conditionalFormatting>
  <conditionalFormatting sqref="A4:B34 B5:B35">
    <cfRule type="expression" dxfId="17" priority="2" stopIfTrue="1">
      <formula>OR(WEEKDAY($C4)=1)</formula>
    </cfRule>
  </conditionalFormatting>
  <conditionalFormatting sqref="C4:C34">
    <cfRule type="cellIs" dxfId="16" priority="1" operator="equal">
      <formula>$C$63</formula>
    </cfRule>
  </conditionalFormatting>
  <dataValidations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AN77"/>
  <sheetViews>
    <sheetView showGridLines="0" view="pageBreakPreview" zoomScaleNormal="75" zoomScaleSheetLayoutView="100" workbookViewId="0">
      <selection activeCell="A28" sqref="A28"/>
    </sheetView>
  </sheetViews>
  <sheetFormatPr baseColWidth="10" defaultRowHeight="12.75"/>
  <cols>
    <col min="1" max="1" width="7.85546875" style="7" customWidth="1"/>
    <col min="2" max="2" width="7.85546875" style="579" customWidth="1"/>
    <col min="3" max="3" width="13.7109375" style="1" customWidth="1"/>
    <col min="4" max="4" width="8.42578125" style="16" customWidth="1"/>
    <col min="5" max="6" width="8.42578125" style="16" hidden="1" customWidth="1"/>
    <col min="7" max="7" width="7.28515625" style="16" customWidth="1"/>
    <col min="8" max="8" width="3.7109375" style="16" hidden="1" customWidth="1"/>
    <col min="9" max="9" width="6.5703125" style="16" hidden="1" customWidth="1"/>
    <col min="10" max="10" width="6.5703125" style="16" customWidth="1"/>
    <col min="11" max="14" width="8.7109375" style="1" customWidth="1"/>
    <col min="15" max="22" width="6.7109375" style="1" hidden="1" customWidth="1"/>
    <col min="23" max="23" width="10.7109375" style="1" customWidth="1"/>
    <col min="24" max="24" width="6.7109375" style="1" hidden="1" customWidth="1"/>
    <col min="25" max="25" width="10.5703125" style="1" customWidth="1"/>
    <col min="26" max="27" width="10.5703125" style="1" hidden="1" customWidth="1"/>
    <col min="28" max="28" width="9.28515625" style="1" customWidth="1"/>
    <col min="29" max="30" width="8.7109375" style="1" customWidth="1"/>
    <col min="31" max="31" width="8.7109375" style="24" customWidth="1"/>
    <col min="32" max="34" width="8.7109375" style="24" hidden="1" customWidth="1"/>
    <col min="35" max="35" width="8.7109375" style="1" customWidth="1"/>
    <col min="36" max="36" width="10.7109375" style="1" customWidth="1"/>
    <col min="37" max="16384" width="11.42578125" style="1"/>
  </cols>
  <sheetData>
    <row r="1" spans="1:39" ht="16.5" thickBot="1">
      <c r="A1" s="839" t="s">
        <v>86</v>
      </c>
      <c r="B1" s="839"/>
      <c r="C1" s="839"/>
      <c r="D1" s="840"/>
      <c r="E1" s="608"/>
      <c r="F1" s="608"/>
      <c r="G1" s="453"/>
      <c r="H1" s="311"/>
      <c r="I1" s="311"/>
      <c r="J1" s="311"/>
      <c r="K1" s="841" t="s">
        <v>15</v>
      </c>
      <c r="L1" s="842"/>
      <c r="M1" s="842"/>
      <c r="N1" s="842"/>
      <c r="O1" s="842"/>
      <c r="P1" s="842"/>
      <c r="Q1" s="842"/>
      <c r="R1" s="842"/>
      <c r="S1" s="842"/>
      <c r="T1" s="842"/>
      <c r="U1" s="842"/>
      <c r="V1" s="842"/>
      <c r="W1" s="842"/>
      <c r="X1" s="842"/>
      <c r="Y1" s="842"/>
      <c r="Z1" s="100" t="s">
        <v>18</v>
      </c>
      <c r="AA1" s="100" t="s">
        <v>28</v>
      </c>
      <c r="AB1" s="149" t="s">
        <v>91</v>
      </c>
      <c r="AC1" s="843" t="s">
        <v>6</v>
      </c>
      <c r="AD1" s="844"/>
      <c r="AE1" s="845"/>
      <c r="AF1" s="846"/>
      <c r="AG1" s="847"/>
      <c r="AH1" s="330"/>
      <c r="AI1" s="848" t="s">
        <v>9</v>
      </c>
      <c r="AJ1" s="849"/>
    </row>
    <row r="2" spans="1:39" ht="16.5" thickBot="1">
      <c r="A2" s="822">
        <f>+Avril!C33+1</f>
        <v>43952</v>
      </c>
      <c r="B2" s="822"/>
      <c r="C2" s="822"/>
      <c r="D2" s="823"/>
      <c r="E2" s="606"/>
      <c r="F2" s="606"/>
      <c r="G2" s="443"/>
      <c r="H2" s="311"/>
      <c r="I2" s="311"/>
      <c r="J2" s="311"/>
      <c r="K2" s="824" t="s">
        <v>79</v>
      </c>
      <c r="L2" s="825"/>
      <c r="M2" s="825" t="s">
        <v>80</v>
      </c>
      <c r="N2" s="826"/>
      <c r="O2" s="827" t="s">
        <v>79</v>
      </c>
      <c r="P2" s="828"/>
      <c r="Q2" s="829" t="s">
        <v>80</v>
      </c>
      <c r="R2" s="828"/>
      <c r="S2" s="100"/>
      <c r="T2" s="100"/>
      <c r="U2" s="100"/>
      <c r="V2" s="100"/>
      <c r="W2" s="103"/>
      <c r="X2" s="103"/>
      <c r="Y2" s="103"/>
      <c r="Z2" s="147"/>
      <c r="AA2" s="147"/>
      <c r="AB2" s="150" t="s">
        <v>90</v>
      </c>
      <c r="AC2" s="148"/>
      <c r="AD2" s="106"/>
      <c r="AE2" s="107"/>
      <c r="AF2" s="819" t="s">
        <v>152</v>
      </c>
      <c r="AG2" s="820"/>
      <c r="AH2" s="821"/>
      <c r="AI2" s="105"/>
      <c r="AJ2" s="107"/>
    </row>
    <row r="3" spans="1:39" s="7" customFormat="1" ht="16.5" thickBot="1">
      <c r="A3" s="830" t="s">
        <v>104</v>
      </c>
      <c r="B3" s="831"/>
      <c r="C3" s="140"/>
      <c r="D3" s="495" t="s">
        <v>2</v>
      </c>
      <c r="E3" s="631"/>
      <c r="F3" s="632"/>
      <c r="G3" s="624" t="s">
        <v>185</v>
      </c>
      <c r="H3" s="4" t="s">
        <v>20</v>
      </c>
      <c r="I3" s="5" t="s">
        <v>18</v>
      </c>
      <c r="J3" s="297" t="s">
        <v>28</v>
      </c>
      <c r="K3" s="489" t="s">
        <v>3</v>
      </c>
      <c r="L3" s="490" t="s">
        <v>4</v>
      </c>
      <c r="M3" s="491" t="s">
        <v>3</v>
      </c>
      <c r="N3" s="491" t="s">
        <v>4</v>
      </c>
      <c r="O3" s="832" t="s">
        <v>22</v>
      </c>
      <c r="P3" s="833"/>
      <c r="Q3" s="101"/>
      <c r="R3" s="102"/>
      <c r="S3" s="834" t="s">
        <v>17</v>
      </c>
      <c r="T3" s="835"/>
      <c r="U3" s="6" t="s">
        <v>52</v>
      </c>
      <c r="V3" s="3" t="s">
        <v>5</v>
      </c>
      <c r="W3" s="2" t="s">
        <v>16</v>
      </c>
      <c r="X3" s="102" t="s">
        <v>18</v>
      </c>
      <c r="Y3" s="3" t="s">
        <v>5</v>
      </c>
      <c r="Z3" s="102"/>
      <c r="AA3" s="102"/>
      <c r="AB3" s="206"/>
      <c r="AC3" s="33" t="s">
        <v>0</v>
      </c>
      <c r="AD3" s="34" t="s">
        <v>1</v>
      </c>
      <c r="AE3" s="35" t="s">
        <v>7</v>
      </c>
      <c r="AF3" s="378" t="s">
        <v>150</v>
      </c>
      <c r="AG3" s="379" t="s">
        <v>159</v>
      </c>
      <c r="AH3" s="272" t="s">
        <v>160</v>
      </c>
      <c r="AI3" s="2" t="s">
        <v>10</v>
      </c>
      <c r="AJ3" s="3" t="s">
        <v>5</v>
      </c>
    </row>
    <row r="4" spans="1:39">
      <c r="A4" s="482" t="str">
        <f>IF(WEEKDAY(C4,2)=1,INT((C4-SUM(MOD(DATE(YEAR(C4-MOD(C4-2,7)+3),1,2),{1E+99;7})*{1;-1})+5)/7),"")</f>
        <v/>
      </c>
      <c r="B4" s="482" t="str">
        <f>IF(A4&lt;&gt;"",VLOOKUP(A4,juin!$L$49:$M$101,2,FALSE),"")</f>
        <v/>
      </c>
      <c r="C4" s="263">
        <f>+A2</f>
        <v>43952</v>
      </c>
      <c r="D4" s="641"/>
      <c r="E4" s="633" t="str">
        <f>+IF(AND(WEEKDAY(C4)=1,D4="M"),1,"")</f>
        <v/>
      </c>
      <c r="F4" s="634" t="str">
        <f>+IF(AND(WEEKDAY(C4)=1,D4="N"),1,"")</f>
        <v/>
      </c>
      <c r="G4" s="625"/>
      <c r="H4" s="128" t="str">
        <f t="shared" ref="H4:H34" si="0">+IF(OR(D4="",D4="CP"),"",1)</f>
        <v/>
      </c>
      <c r="I4" s="127" t="str">
        <f>+IF(D4="CP",1,"")</f>
        <v/>
      </c>
      <c r="J4" s="298"/>
      <c r="K4" s="85"/>
      <c r="L4" s="8"/>
      <c r="M4" s="8"/>
      <c r="N4" s="368"/>
      <c r="O4" s="371">
        <f t="shared" ref="O4:O33" si="1">+((K4-INT(K4))/60*100)+INT(K4)</f>
        <v>0</v>
      </c>
      <c r="P4" s="73">
        <f t="shared" ref="P4:P33" si="2">+((L4-INT(L4))/60*100)+INT(L4)</f>
        <v>0</v>
      </c>
      <c r="Q4" s="73">
        <f t="shared" ref="Q4:Q33" si="3">+((M4-INT(M4))/60*100)+INT(M4)</f>
        <v>0</v>
      </c>
      <c r="R4" s="73">
        <f t="shared" ref="R4:R33" si="4">+((N4-INT(N4))/60*100)+INT(N4)</f>
        <v>0</v>
      </c>
      <c r="S4" s="73">
        <v>0.2</v>
      </c>
      <c r="T4" s="73">
        <f t="shared" ref="T4:T34" si="5">+(S4/60*100)</f>
        <v>0.33333333333333337</v>
      </c>
      <c r="U4" s="12" t="str">
        <f>+IF(D4="","",IF(D4="CP","",IF(D4="J2",((N4-M4)+(L4-K4)),IF(O4&lt;P4,P4-O4,P4+24-O4)-T4)))</f>
        <v/>
      </c>
      <c r="V4" s="372" t="e">
        <f>IF(O4&lt;P4,IF(K4="","",IF(O4&gt;$D$75,24-O4,IF(O4&lt;$D$76,$D$76-O4,0)))+IF(P4&lt;$D$76,P4,IF(P4&gt;$D$75,P4-$D$75,0)),IF(K4="","",IF(O4&gt;$D$75,24-O4,IF(O4&lt;$D$76,$D$76-O4,3)))+IF(P4&lt;$D$76,P4,IF(P4&gt;$D$75,24-P4,P4)))</f>
        <v>#VALUE!</v>
      </c>
      <c r="W4" s="113" t="str">
        <f>+IF(U4&gt;=6,U4,IF(D4="J2",((N4-M4)+(L4-K4)),IF(O4&lt;P4,P4-O4,P4+24-O4)))</f>
        <v/>
      </c>
      <c r="X4" s="249" t="str">
        <f>+IF(D4="cp",(I4*'Récapitulatif '!$AJ$3),"")</f>
        <v/>
      </c>
      <c r="Y4" s="162" t="str">
        <f t="shared" ref="Y4:Y33" si="6">+IF(OR(D4="CP",D4=""),"",(IF(V4&gt;6,V4-T4,V4)))</f>
        <v/>
      </c>
      <c r="Z4" s="154" t="str">
        <f>+IF(D4="CP",1,"")</f>
        <v/>
      </c>
      <c r="AA4" s="154" t="str">
        <f t="shared" ref="AA4:AA34" si="7">+IF(AND(Y4&gt;=3,D4&lt;&gt;""),1,"")</f>
        <v/>
      </c>
      <c r="AB4" s="478" t="str">
        <f>+IF(WEEKDAY(C4)=1,(SUM(W$4:X4)+(Avril!$AB$35)),"")</f>
        <v/>
      </c>
      <c r="AC4" s="474" t="str">
        <f>+IF(AND(WEEKDAY(C4)=7,D4="N"),(24-O4),IF(WEEKDAY(C4)=7,W4,IF(AND(WEEKDAY(C4)=6,D4="N"),(L4-0.33),IF(WEEKDAY(C4)=7,W4,""))))</f>
        <v/>
      </c>
      <c r="AD4" s="130" t="str">
        <f>+IF(AND(WEEKDAY(C4)=1,D4="N"),(24-O4),IF(WEEKDAY(C4)=1,W4,IF(AND(WEEKDAY(C4)=7,D4="N"),(L4-0.33),IF(WEEKDAY(C4)=1,W4,""))))</f>
        <v/>
      </c>
      <c r="AE4" s="295" t="str">
        <f>IF(OR(AG4&lt;&gt;"",AH4&lt;&gt;""),SUM(AG4:AH4),"")</f>
        <v/>
      </c>
      <c r="AF4" s="260">
        <f>+IF(AND(WEEKDAY(C4)=7,$C$4:$C$43=$C$64),"",IF(AND(WEEKDAY(C4)=1,$C$4:$C$43=$C$64),"",IF($C$4:$C$43=$C$64,'Récapitulatif '!$AJ$3,IF(AND(WEEKDAY(C4)=7,$C$4:$C$43=$C$64),"",IF(AND(WEEKDAY(C4)=1,$C$4:$C$43=$C$65),"",IF($C$4:$C$43=$C$65,'Récapitulatif '!$AJ$3,IF($C$4:$C$43=$C$66,'Récapitulatif '!$AJ$3,"")))))))</f>
        <v>6.9</v>
      </c>
      <c r="AG4" s="130" t="str">
        <f>+IF(AND($C$4:$C$43=($C$64-1),$D$4:$D$43="N"),($L4-$T4),IF(AND($C$4:$C$43=($C$64),$D$4:$D$43="N"),(24-$K4),IF(AND($C$4:$C$43=($C$65-1),$D$4:$D$43="N"),($L4-$T4),IF(AND($C$4:$C$43=($C$65),$D$4:$D$43="N"),(24-$K4),IF(OR($C$4:$C$43=($C$64),$C$4:$C$43=$C$65),$W4,"")))))</f>
        <v/>
      </c>
      <c r="AH4" s="295" t="str">
        <f>+IF(AND($C$4:$C$43=($C$66-1),$D$4:$D$43="N"),($L4-$T4),IF(AND($C$4:$C$43=($C$66),$D$4:$D$43="N"),(24-$K4),IF(AND($C$4:$C$43=($C$67-1),$D$4:$D$43="N"),($L4-$T4),IF(AND($C$4:$C$43=($C$67),$D$4:$D$43="N"),(24-$K4),IF(OR($C$4:$C$43=($C$66),$C$4:$C$43=$C$67),$W4,"")))))</f>
        <v/>
      </c>
      <c r="AI4" s="327" t="str">
        <f t="shared" ref="AI4:AI34" si="8">IF(K4="","",IF(D4="J2","",IF(AJ4=1,"",IF(U4&gt;=6,1,""))))</f>
        <v/>
      </c>
      <c r="AJ4" s="9" t="str">
        <f t="shared" ref="AJ4:AJ34" si="9">+IF(K4="","",IF(Y4&gt;=4,1,""))</f>
        <v/>
      </c>
      <c r="AK4" s="10"/>
      <c r="AM4" s="1" t="s">
        <v>63</v>
      </c>
    </row>
    <row r="5" spans="1:39">
      <c r="A5" s="482" t="str">
        <f>IF(WEEKDAY(C5,2)=1,INT((C5-SUM(MOD(DATE(YEAR(C5-MOD(C5-2,7)+3),1,2),{1E+99;7})*{1;-1})+5)/7),"")</f>
        <v/>
      </c>
      <c r="B5" s="482" t="str">
        <f>IF(A5&lt;&gt;"",VLOOKUP(A5,juin!$L$49:$M$101,2,FALSE),"")</f>
        <v/>
      </c>
      <c r="C5" s="215">
        <f>+C4+1</f>
        <v>43953</v>
      </c>
      <c r="D5" s="642"/>
      <c r="E5" s="633" t="str">
        <f t="shared" ref="E5:E34" si="10">+IF(AND(WEEKDAY(C5)=1,D5="M"),1,"")</f>
        <v/>
      </c>
      <c r="F5" s="634" t="str">
        <f t="shared" ref="F5:F35" si="11">+IF(AND(WEEKDAY(C5)=1,D5="N"),1,"")</f>
        <v/>
      </c>
      <c r="G5" s="626"/>
      <c r="H5" s="128" t="str">
        <f t="shared" si="0"/>
        <v/>
      </c>
      <c r="I5" s="127" t="str">
        <f t="shared" ref="I5:I34" si="12">+IF(D5="CP",1,"")</f>
        <v/>
      </c>
      <c r="J5" s="299"/>
      <c r="K5" s="86"/>
      <c r="L5" s="11"/>
      <c r="M5" s="11"/>
      <c r="N5" s="369"/>
      <c r="O5" s="371">
        <f t="shared" si="1"/>
        <v>0</v>
      </c>
      <c r="P5" s="73">
        <f t="shared" si="2"/>
        <v>0</v>
      </c>
      <c r="Q5" s="73">
        <f t="shared" si="3"/>
        <v>0</v>
      </c>
      <c r="R5" s="73">
        <f t="shared" si="4"/>
        <v>0</v>
      </c>
      <c r="S5" s="73">
        <v>0.2</v>
      </c>
      <c r="T5" s="73">
        <f t="shared" si="5"/>
        <v>0.33333333333333337</v>
      </c>
      <c r="U5" s="12" t="str">
        <f t="shared" ref="U5:U33" si="13">+IF(D5="","",IF(D5="CP","",IF(D5="J2",((N5-M5)+(L5-K5)),IF(O5&lt;P5,P5-O5,P5+24-O5)-T5)))</f>
        <v/>
      </c>
      <c r="V5" s="372" t="e">
        <f t="shared" ref="V5:V35" si="14">IF(O5&lt;P5,IF(K5="","",IF(O5&gt;$D$75,24-O5,IF(O5&lt;$D$76,$D$76-O5,0)))+IF(P5&lt;$D$76,P5,IF(P5&gt;$D$75,P5-$D$75,0)),IF(K5="","",IF(O5&gt;$D$75,24-O5,IF(O5&lt;$D$76,$D$76-O5,3)))+IF(P5&lt;$D$76,P5,IF(P5&gt;$D$75,24-P5,P5)))</f>
        <v>#VALUE!</v>
      </c>
      <c r="W5" s="114" t="str">
        <f t="shared" ref="W5:W33" si="15">+IF(U5&gt;=6,U5,IF(D5="J2",((N5-M5)+(L5-K5)),IF(O5&lt;P5,P5-O5,P5+24-O5)))</f>
        <v/>
      </c>
      <c r="X5" s="161" t="str">
        <f>+IF(D5="cp",(I5*'Récapitulatif '!$AJ$3),"")</f>
        <v/>
      </c>
      <c r="Y5" s="163" t="str">
        <f t="shared" si="6"/>
        <v/>
      </c>
      <c r="Z5" s="154" t="str">
        <f t="shared" ref="Z5:Z34" si="16">+IF(D5="CP",1,"")</f>
        <v/>
      </c>
      <c r="AA5" s="154" t="str">
        <f t="shared" si="7"/>
        <v/>
      </c>
      <c r="AB5" s="479" t="str">
        <f>+IF(WEEKDAY(C5)=1,(SUM(W$4:X5)+(Avril!$AB$35)),"")</f>
        <v/>
      </c>
      <c r="AC5" s="475" t="str">
        <f t="shared" ref="AC5:AC34" si="17">+IF(AND(WEEKDAY(C5)=7,D5="N"),(24-O5),IF(WEEKDAY(C5)=7,W5,IF(AND(WEEKDAY(C5)=6,D5="N"),(L5-0.33),IF(WEEKDAY(C5)=7,W5,""))))</f>
        <v/>
      </c>
      <c r="AD5" s="118" t="str">
        <f t="shared" ref="AD5:AD34" si="18">+IF(AND(WEEKDAY(C5)=1,D5="N"),(24-O5),IF(WEEKDAY(C5)=1,W5,IF(AND(WEEKDAY(C5)=7,D5="N"),(L5-0.33),IF(WEEKDAY(C5)=1,W5,""))))</f>
        <v/>
      </c>
      <c r="AE5" s="261" t="str">
        <f t="shared" ref="AE5:AE35" si="19">IF(OR(AG5&lt;&gt;"",AH5&lt;&gt;""),SUM(AG5:AH5),"")</f>
        <v/>
      </c>
      <c r="AF5" s="220" t="str">
        <f>+IF(AND(WEEKDAY(C5)=7,$C$4:$C$43=$C$64),"",IF(AND(WEEKDAY(C5)=1,$C$4:$C$43=$C$64),"",IF($C$4:$C$43=$C$64,'Récapitulatif '!$AJ$3,IF(AND(WEEKDAY(C5)=7,$C$4:$C$43=$C$64),"",IF(AND(WEEKDAY(C5)=1,$C$4:$C$43=$C$65),"",IF($C$4:$C$43=$C$65,'Récapitulatif '!$AJ$3,IF($C$4:$C$43=$C$66,'Récapitulatif '!$AJ$3,"")))))))</f>
        <v/>
      </c>
      <c r="AG5" s="118" t="str">
        <f t="shared" ref="AG5:AG34" si="20">+IF(AND($C$4:$C$43=($C$64-1),$D$4:$D$43="N"),($L5-$T5),IF(AND($C$4:$C$43=($C$64),$D$4:$D$43="N"),(24-$K5),IF(AND($C$4:$C$43=($C$65-1),$D$4:$D$43="N"),($L5-$T5),IF(AND($C$4:$C$43=($C$65),$D$4:$D$43="N"),(24-$K5),IF(OR($C$4:$C$43=($C$64),$C$4:$C$43=$C$65),$W5,"")))))</f>
        <v/>
      </c>
      <c r="AH5" s="261" t="str">
        <f t="shared" ref="AH5:AH34" si="21">+IF(AND($C$4:$C$43=($C$66-1),$D$4:$D$43="N"),($L5-$T5),IF(AND($C$4:$C$43=($C$66),$D$4:$D$43="N"),(24-$K5),IF(AND($C$4:$C$43=($C$67-1),$D$4:$D$43="N"),($L5-$T5),IF(AND($C$4:$C$43=($C$67),$D$4:$D$43="N"),(24-$K5),IF(OR($C$4:$C$43=($C$66),$C$4:$C$43=$C$67),$W5,"")))))</f>
        <v/>
      </c>
      <c r="AI5" s="328" t="str">
        <f t="shared" si="8"/>
        <v/>
      </c>
      <c r="AJ5" s="13" t="str">
        <f t="shared" si="9"/>
        <v/>
      </c>
      <c r="AK5" s="10"/>
      <c r="AM5" s="1" t="s">
        <v>65</v>
      </c>
    </row>
    <row r="6" spans="1:39">
      <c r="A6" s="482" t="str">
        <f>IF(WEEKDAY(C6,2)=1,INT((C6-SUM(MOD(DATE(YEAR(C6-MOD(C6-2,7)+3),1,2),{1E+99;7})*{1;-1})+5)/7),"")</f>
        <v/>
      </c>
      <c r="B6" s="482" t="str">
        <f>IF(A6&lt;&gt;"",VLOOKUP(A6,juin!$L$49:$M$101,2,FALSE),"")</f>
        <v/>
      </c>
      <c r="C6" s="215">
        <f t="shared" ref="C6:C31" si="22">+C5+1</f>
        <v>43954</v>
      </c>
      <c r="D6" s="642"/>
      <c r="E6" s="633" t="str">
        <f t="shared" si="10"/>
        <v/>
      </c>
      <c r="F6" s="634" t="str">
        <f t="shared" si="11"/>
        <v/>
      </c>
      <c r="G6" s="626"/>
      <c r="H6" s="128" t="str">
        <f t="shared" si="0"/>
        <v/>
      </c>
      <c r="I6" s="127" t="str">
        <f t="shared" si="12"/>
        <v/>
      </c>
      <c r="J6" s="299"/>
      <c r="K6" s="86"/>
      <c r="L6" s="11"/>
      <c r="M6" s="11"/>
      <c r="N6" s="369"/>
      <c r="O6" s="371">
        <f t="shared" si="1"/>
        <v>0</v>
      </c>
      <c r="P6" s="73">
        <f t="shared" si="2"/>
        <v>0</v>
      </c>
      <c r="Q6" s="73">
        <f t="shared" si="3"/>
        <v>0</v>
      </c>
      <c r="R6" s="73">
        <f t="shared" si="4"/>
        <v>0</v>
      </c>
      <c r="S6" s="73">
        <v>0.2</v>
      </c>
      <c r="T6" s="73">
        <f t="shared" si="5"/>
        <v>0.33333333333333337</v>
      </c>
      <c r="U6" s="12" t="str">
        <f t="shared" si="13"/>
        <v/>
      </c>
      <c r="V6" s="372" t="e">
        <f t="shared" si="14"/>
        <v>#VALUE!</v>
      </c>
      <c r="W6" s="114" t="str">
        <f t="shared" si="15"/>
        <v/>
      </c>
      <c r="X6" s="161" t="str">
        <f>+IF(D6="cp",(I6*'Récapitulatif '!$AJ$3),"")</f>
        <v/>
      </c>
      <c r="Y6" s="163" t="str">
        <f t="shared" si="6"/>
        <v/>
      </c>
      <c r="Z6" s="154" t="str">
        <f t="shared" si="16"/>
        <v/>
      </c>
      <c r="AA6" s="154" t="str">
        <f t="shared" si="7"/>
        <v/>
      </c>
      <c r="AB6" s="479">
        <f>+IF(WEEKDAY(C6)=1,(SUM(W$4:X6)+(Avril!$AB$35)),"")</f>
        <v>0</v>
      </c>
      <c r="AC6" s="475" t="str">
        <f t="shared" si="17"/>
        <v/>
      </c>
      <c r="AD6" s="118" t="str">
        <f t="shared" si="18"/>
        <v/>
      </c>
      <c r="AE6" s="261" t="str">
        <f t="shared" si="19"/>
        <v/>
      </c>
      <c r="AF6" s="220" t="str">
        <f>+IF(AND(WEEKDAY(C6)=7,$C$4:$C$43=$C$64),"",IF(AND(WEEKDAY(C6)=1,$C$4:$C$43=$C$64),"",IF($C$4:$C$43=$C$64,'Récapitulatif '!$AJ$3,IF(AND(WEEKDAY(C6)=7,$C$4:$C$43=$C$64),"",IF(AND(WEEKDAY(C6)=1,$C$4:$C$43=$C$65),"",IF($C$4:$C$43=$C$65,'Récapitulatif '!$AJ$3,IF($C$4:$C$43=$C$66,'Récapitulatif '!$AJ$3,"")))))))</f>
        <v/>
      </c>
      <c r="AG6" s="118" t="str">
        <f t="shared" si="20"/>
        <v/>
      </c>
      <c r="AH6" s="261" t="str">
        <f t="shared" si="21"/>
        <v/>
      </c>
      <c r="AI6" s="328" t="str">
        <f t="shared" si="8"/>
        <v/>
      </c>
      <c r="AJ6" s="13" t="str">
        <f t="shared" si="9"/>
        <v/>
      </c>
      <c r="AK6" s="10"/>
      <c r="AM6" s="1" t="s">
        <v>82</v>
      </c>
    </row>
    <row r="7" spans="1:39">
      <c r="A7" s="482">
        <f>IF(WEEKDAY(C7,2)=1,INT((C7-SUM(MOD(DATE(YEAR(C7-MOD(C7-2,7)+3),1,2),{1E+99;7})*{1;-1})+5)/7),"")</f>
        <v>19</v>
      </c>
      <c r="B7" s="482" t="str">
        <f>IF(A7&lt;&gt;"",VLOOKUP(A7,juin!$L$49:$M$101,2,FALSE),"")</f>
        <v>Matin</v>
      </c>
      <c r="C7" s="215">
        <f t="shared" si="22"/>
        <v>43955</v>
      </c>
      <c r="D7" s="643" t="s">
        <v>18</v>
      </c>
      <c r="E7" s="633" t="str">
        <f t="shared" si="10"/>
        <v/>
      </c>
      <c r="F7" s="634" t="str">
        <f t="shared" si="11"/>
        <v/>
      </c>
      <c r="G7" s="626"/>
      <c r="H7" s="128" t="str">
        <f t="shared" si="0"/>
        <v/>
      </c>
      <c r="I7" s="127">
        <f t="shared" si="12"/>
        <v>1</v>
      </c>
      <c r="J7" s="299"/>
      <c r="K7" s="86"/>
      <c r="L7" s="11"/>
      <c r="M7" s="11"/>
      <c r="N7" s="369"/>
      <c r="O7" s="371">
        <f t="shared" si="1"/>
        <v>0</v>
      </c>
      <c r="P7" s="73">
        <f t="shared" si="2"/>
        <v>0</v>
      </c>
      <c r="Q7" s="73">
        <f t="shared" si="3"/>
        <v>0</v>
      </c>
      <c r="R7" s="73">
        <f t="shared" si="4"/>
        <v>0</v>
      </c>
      <c r="S7" s="73">
        <v>0.2</v>
      </c>
      <c r="T7" s="73">
        <f t="shared" si="5"/>
        <v>0.33333333333333337</v>
      </c>
      <c r="U7" s="12" t="str">
        <f t="shared" si="13"/>
        <v/>
      </c>
      <c r="V7" s="372" t="e">
        <f t="shared" si="14"/>
        <v>#VALUE!</v>
      </c>
      <c r="W7" s="114" t="str">
        <f t="shared" si="15"/>
        <v/>
      </c>
      <c r="X7" s="161">
        <f>+IF(D7="cp",(I7*'Récapitulatif '!$AJ$3),"")</f>
        <v>6.9</v>
      </c>
      <c r="Y7" s="163" t="str">
        <f t="shared" si="6"/>
        <v/>
      </c>
      <c r="Z7" s="154">
        <f t="shared" si="16"/>
        <v>1</v>
      </c>
      <c r="AA7" s="154">
        <f t="shared" si="7"/>
        <v>1</v>
      </c>
      <c r="AB7" s="479" t="str">
        <f>+IF(WEEKDAY(C7)=1,(SUM(W$4:X7)+(Avril!$AB$35)),"")</f>
        <v/>
      </c>
      <c r="AC7" s="475" t="str">
        <f t="shared" si="17"/>
        <v/>
      </c>
      <c r="AD7" s="118" t="str">
        <f t="shared" si="18"/>
        <v/>
      </c>
      <c r="AE7" s="261" t="str">
        <f t="shared" si="19"/>
        <v/>
      </c>
      <c r="AF7" s="220" t="str">
        <f>+IF(AND(WEEKDAY(C7)=7,$C$4:$C$43=$C$64),"",IF(AND(WEEKDAY(C7)=1,$C$4:$C$43=$C$64),"",IF($C$4:$C$43=$C$64,'Récapitulatif '!$AJ$3,IF(AND(WEEKDAY(C7)=7,$C$4:$C$43=$C$64),"",IF(AND(WEEKDAY(C7)=1,$C$4:$C$43=$C$65),"",IF($C$4:$C$43=$C$65,'Récapitulatif '!$AJ$3,IF($C$4:$C$43=$C$66,'Récapitulatif '!$AJ$3,"")))))))</f>
        <v/>
      </c>
      <c r="AG7" s="118" t="str">
        <f t="shared" si="20"/>
        <v/>
      </c>
      <c r="AH7" s="261" t="str">
        <f t="shared" si="21"/>
        <v/>
      </c>
      <c r="AI7" s="328" t="str">
        <f t="shared" si="8"/>
        <v/>
      </c>
      <c r="AJ7" s="13" t="str">
        <f t="shared" si="9"/>
        <v/>
      </c>
      <c r="AK7" s="10"/>
      <c r="AM7" s="92" t="s">
        <v>84</v>
      </c>
    </row>
    <row r="8" spans="1:39">
      <c r="A8" s="482" t="str">
        <f>IF(WEEKDAY(C8,2)=1,INT((C8-SUM(MOD(DATE(YEAR(C8-MOD(C8-2,7)+3),1,2),{1E+99;7})*{1;-1})+5)/7),"")</f>
        <v/>
      </c>
      <c r="B8" s="482" t="str">
        <f>IF(A8&lt;&gt;"",VLOOKUP(A8,juin!$L$49:$M$101,2,FALSE),"")</f>
        <v/>
      </c>
      <c r="C8" s="215">
        <f t="shared" si="22"/>
        <v>43956</v>
      </c>
      <c r="D8" s="643" t="s">
        <v>18</v>
      </c>
      <c r="E8" s="633" t="str">
        <f t="shared" si="10"/>
        <v/>
      </c>
      <c r="F8" s="634" t="str">
        <f t="shared" si="11"/>
        <v/>
      </c>
      <c r="G8" s="626"/>
      <c r="H8" s="128" t="str">
        <f t="shared" si="0"/>
        <v/>
      </c>
      <c r="I8" s="127">
        <f t="shared" si="12"/>
        <v>1</v>
      </c>
      <c r="J8" s="299"/>
      <c r="K8" s="86"/>
      <c r="L8" s="11"/>
      <c r="M8" s="11"/>
      <c r="N8" s="369"/>
      <c r="O8" s="371">
        <f t="shared" si="1"/>
        <v>0</v>
      </c>
      <c r="P8" s="73">
        <f t="shared" si="2"/>
        <v>0</v>
      </c>
      <c r="Q8" s="73">
        <f t="shared" si="3"/>
        <v>0</v>
      </c>
      <c r="R8" s="73">
        <f t="shared" si="4"/>
        <v>0</v>
      </c>
      <c r="S8" s="73">
        <v>0.2</v>
      </c>
      <c r="T8" s="73">
        <f t="shared" si="5"/>
        <v>0.33333333333333337</v>
      </c>
      <c r="U8" s="12" t="str">
        <f t="shared" si="13"/>
        <v/>
      </c>
      <c r="V8" s="372" t="e">
        <f t="shared" si="14"/>
        <v>#VALUE!</v>
      </c>
      <c r="W8" s="114" t="str">
        <f t="shared" si="15"/>
        <v/>
      </c>
      <c r="X8" s="161">
        <f>+IF(D8="cp",(I8*'Récapitulatif '!$AJ$3),"")</f>
        <v>6.9</v>
      </c>
      <c r="Y8" s="163" t="str">
        <f t="shared" si="6"/>
        <v/>
      </c>
      <c r="Z8" s="154">
        <f t="shared" si="16"/>
        <v>1</v>
      </c>
      <c r="AA8" s="154">
        <f t="shared" si="7"/>
        <v>1</v>
      </c>
      <c r="AB8" s="479" t="str">
        <f>+IF(WEEKDAY(C8)=1,(SUM(W$4:X8)+(Avril!$AB$35)),"")</f>
        <v/>
      </c>
      <c r="AC8" s="475" t="str">
        <f t="shared" si="17"/>
        <v/>
      </c>
      <c r="AD8" s="118" t="str">
        <f t="shared" si="18"/>
        <v/>
      </c>
      <c r="AE8" s="261" t="str">
        <f t="shared" si="19"/>
        <v/>
      </c>
      <c r="AF8" s="220" t="str">
        <f>+IF(AND(WEEKDAY(C8)=7,$C$4:$C$43=$C$64),"",IF(AND(WEEKDAY(C8)=1,$C$4:$C$43=$C$64),"",IF($C$4:$C$43=$C$64,'Récapitulatif '!$AJ$3,IF(AND(WEEKDAY(C8)=7,$C$4:$C$43=$C$64),"",IF(AND(WEEKDAY(C8)=1,$C$4:$C$43=$C$65),"",IF($C$4:$C$43=$C$65,'Récapitulatif '!$AJ$3,IF($C$4:$C$43=$C$66,'Récapitulatif '!$AJ$3,"")))))))</f>
        <v/>
      </c>
      <c r="AG8" s="118" t="str">
        <f t="shared" si="20"/>
        <v/>
      </c>
      <c r="AH8" s="261" t="str">
        <f t="shared" si="21"/>
        <v/>
      </c>
      <c r="AI8" s="328" t="str">
        <f t="shared" si="8"/>
        <v/>
      </c>
      <c r="AJ8" s="13" t="str">
        <f t="shared" si="9"/>
        <v/>
      </c>
      <c r="AK8" s="10"/>
      <c r="AM8" s="92" t="s">
        <v>75</v>
      </c>
    </row>
    <row r="9" spans="1:39">
      <c r="A9" s="482" t="str">
        <f>IF(WEEKDAY(C9,2)=1,INT((C9-SUM(MOD(DATE(YEAR(C9-MOD(C9-2,7)+3),1,2),{1E+99;7})*{1;-1})+5)/7),"")</f>
        <v/>
      </c>
      <c r="B9" s="482" t="str">
        <f>IF(A9&lt;&gt;"",VLOOKUP(A9,juin!$L$49:$M$101,2,FALSE),"")</f>
        <v/>
      </c>
      <c r="C9" s="215">
        <f t="shared" si="22"/>
        <v>43957</v>
      </c>
      <c r="D9" s="643" t="s">
        <v>18</v>
      </c>
      <c r="E9" s="633" t="str">
        <f t="shared" si="10"/>
        <v/>
      </c>
      <c r="F9" s="634" t="str">
        <f t="shared" si="11"/>
        <v/>
      </c>
      <c r="G9" s="626"/>
      <c r="H9" s="128" t="str">
        <f t="shared" si="0"/>
        <v/>
      </c>
      <c r="I9" s="127">
        <f t="shared" si="12"/>
        <v>1</v>
      </c>
      <c r="J9" s="299"/>
      <c r="K9" s="86"/>
      <c r="L9" s="11"/>
      <c r="M9" s="11"/>
      <c r="N9" s="369"/>
      <c r="O9" s="371">
        <f t="shared" si="1"/>
        <v>0</v>
      </c>
      <c r="P9" s="73">
        <f t="shared" si="2"/>
        <v>0</v>
      </c>
      <c r="Q9" s="73">
        <f t="shared" si="3"/>
        <v>0</v>
      </c>
      <c r="R9" s="73">
        <f t="shared" si="4"/>
        <v>0</v>
      </c>
      <c r="S9" s="73">
        <v>0.2</v>
      </c>
      <c r="T9" s="73">
        <f t="shared" si="5"/>
        <v>0.33333333333333337</v>
      </c>
      <c r="U9" s="12" t="str">
        <f t="shared" si="13"/>
        <v/>
      </c>
      <c r="V9" s="372" t="e">
        <f t="shared" si="14"/>
        <v>#VALUE!</v>
      </c>
      <c r="W9" s="114" t="str">
        <f t="shared" si="15"/>
        <v/>
      </c>
      <c r="X9" s="161">
        <f>+IF(D9="cp",(I9*'Récapitulatif '!$AJ$3),"")</f>
        <v>6.9</v>
      </c>
      <c r="Y9" s="163" t="str">
        <f t="shared" si="6"/>
        <v/>
      </c>
      <c r="Z9" s="154">
        <f t="shared" si="16"/>
        <v>1</v>
      </c>
      <c r="AA9" s="154">
        <f t="shared" si="7"/>
        <v>1</v>
      </c>
      <c r="AB9" s="479" t="str">
        <f>+IF(WEEKDAY(C9)=1,(SUM(W$4:X9)+(Avril!$AB$35)),"")</f>
        <v/>
      </c>
      <c r="AC9" s="475" t="str">
        <f t="shared" si="17"/>
        <v/>
      </c>
      <c r="AD9" s="118" t="str">
        <f t="shared" si="18"/>
        <v/>
      </c>
      <c r="AE9" s="261" t="str">
        <f t="shared" si="19"/>
        <v/>
      </c>
      <c r="AF9" s="220" t="str">
        <f>+IF(AND(WEEKDAY(C9)=7,$C$4:$C$43=$C$64),"",IF(AND(WEEKDAY(C9)=1,$C$4:$C$43=$C$64),"",IF($C$4:$C$43=$C$64,'Récapitulatif '!$AJ$3,IF(AND(WEEKDAY(C9)=7,$C$4:$C$43=$C$64),"",IF(AND(WEEKDAY(C9)=1,$C$4:$C$43=$C$65),"",IF($C$4:$C$43=$C$65,'Récapitulatif '!$AJ$3,IF($C$4:$C$43=$C$66,'Récapitulatif '!$AJ$3,"")))))))</f>
        <v/>
      </c>
      <c r="AG9" s="118" t="str">
        <f t="shared" si="20"/>
        <v/>
      </c>
      <c r="AH9" s="261" t="str">
        <f t="shared" si="21"/>
        <v/>
      </c>
      <c r="AI9" s="328" t="str">
        <f t="shared" si="8"/>
        <v/>
      </c>
      <c r="AJ9" s="13" t="str">
        <f t="shared" si="9"/>
        <v/>
      </c>
      <c r="AM9" s="1" t="s">
        <v>59</v>
      </c>
    </row>
    <row r="10" spans="1:39">
      <c r="A10" s="482" t="str">
        <f>IF(WEEKDAY(C10,2)=1,INT((C10-SUM(MOD(DATE(YEAR(C10-MOD(C10-2,7)+3),1,2),{1E+99;7})*{1;-1})+5)/7),"")</f>
        <v/>
      </c>
      <c r="B10" s="482" t="str">
        <f>IF(A10&lt;&gt;"",VLOOKUP(A10,juin!$L$49:$M$101,2,FALSE),"")</f>
        <v/>
      </c>
      <c r="C10" s="215">
        <f t="shared" si="22"/>
        <v>43958</v>
      </c>
      <c r="D10" s="643" t="s">
        <v>18</v>
      </c>
      <c r="E10" s="633" t="str">
        <f t="shared" si="10"/>
        <v/>
      </c>
      <c r="F10" s="634" t="str">
        <f t="shared" si="11"/>
        <v/>
      </c>
      <c r="G10" s="626"/>
      <c r="H10" s="128" t="str">
        <f t="shared" si="0"/>
        <v/>
      </c>
      <c r="I10" s="127">
        <f t="shared" si="12"/>
        <v>1</v>
      </c>
      <c r="J10" s="299"/>
      <c r="K10" s="86"/>
      <c r="L10" s="11"/>
      <c r="M10" s="11"/>
      <c r="N10" s="369"/>
      <c r="O10" s="371">
        <f t="shared" si="1"/>
        <v>0</v>
      </c>
      <c r="P10" s="73">
        <f t="shared" si="2"/>
        <v>0</v>
      </c>
      <c r="Q10" s="73">
        <f t="shared" si="3"/>
        <v>0</v>
      </c>
      <c r="R10" s="73">
        <f t="shared" si="4"/>
        <v>0</v>
      </c>
      <c r="S10" s="73">
        <v>0.2</v>
      </c>
      <c r="T10" s="73">
        <f t="shared" si="5"/>
        <v>0.33333333333333337</v>
      </c>
      <c r="U10" s="12" t="str">
        <f t="shared" si="13"/>
        <v/>
      </c>
      <c r="V10" s="372" t="e">
        <f t="shared" si="14"/>
        <v>#VALUE!</v>
      </c>
      <c r="W10" s="114" t="str">
        <f t="shared" si="15"/>
        <v/>
      </c>
      <c r="X10" s="161">
        <f>+IF(D10="cp",(I10*'Récapitulatif '!$AJ$3),"")</f>
        <v>6.9</v>
      </c>
      <c r="Y10" s="163" t="str">
        <f t="shared" si="6"/>
        <v/>
      </c>
      <c r="Z10" s="154">
        <f t="shared" si="16"/>
        <v>1</v>
      </c>
      <c r="AA10" s="154">
        <f t="shared" si="7"/>
        <v>1</v>
      </c>
      <c r="AB10" s="479" t="str">
        <f>+IF(WEEKDAY(C10)=1,SUM(W4:X10),"")</f>
        <v/>
      </c>
      <c r="AC10" s="475" t="str">
        <f t="shared" si="17"/>
        <v/>
      </c>
      <c r="AD10" s="118" t="str">
        <f t="shared" si="18"/>
        <v/>
      </c>
      <c r="AE10" s="261" t="str">
        <f t="shared" si="19"/>
        <v/>
      </c>
      <c r="AF10" s="220" t="str">
        <f>+IF(AND(WEEKDAY(C10)=7,$C$4:$C$43=$C$64),"",IF(AND(WEEKDAY(C10)=1,$C$4:$C$43=$C$64),"",IF($C$4:$C$43=$C$64,'Récapitulatif '!$AJ$3,IF(AND(WEEKDAY(C10)=7,$C$4:$C$43=$C$64),"",IF(AND(WEEKDAY(C10)=1,$C$4:$C$43=$C$65),"",IF($C$4:$C$43=$C$65,'Récapitulatif '!$AJ$3,IF($C$4:$C$43=$C$66,'Récapitulatif '!$AJ$3,"")))))))</f>
        <v/>
      </c>
      <c r="AG10" s="118" t="str">
        <f t="shared" si="20"/>
        <v/>
      </c>
      <c r="AH10" s="261" t="str">
        <f t="shared" si="21"/>
        <v/>
      </c>
      <c r="AI10" s="328" t="str">
        <f t="shared" si="8"/>
        <v/>
      </c>
      <c r="AJ10" s="13" t="str">
        <f t="shared" si="9"/>
        <v/>
      </c>
      <c r="AK10" s="10"/>
      <c r="AM10" s="92" t="s">
        <v>158</v>
      </c>
    </row>
    <row r="11" spans="1:39">
      <c r="A11" s="482" t="str">
        <f>IF(WEEKDAY(C11,2)=1,INT((C11-SUM(MOD(DATE(YEAR(C11-MOD(C11-2,7)+3),1,2),{1E+99;7})*{1;-1})+5)/7),"")</f>
        <v/>
      </c>
      <c r="B11" s="482" t="str">
        <f>IF(A11&lt;&gt;"",VLOOKUP(A11,juin!$L$49:$M$101,2,FALSE),"")</f>
        <v/>
      </c>
      <c r="C11" s="215">
        <f t="shared" si="22"/>
        <v>43959</v>
      </c>
      <c r="D11" s="643"/>
      <c r="E11" s="633" t="str">
        <f t="shared" si="10"/>
        <v/>
      </c>
      <c r="F11" s="634" t="str">
        <f t="shared" si="11"/>
        <v/>
      </c>
      <c r="G11" s="626"/>
      <c r="H11" s="128" t="str">
        <f t="shared" si="0"/>
        <v/>
      </c>
      <c r="I11" s="127" t="str">
        <f t="shared" si="12"/>
        <v/>
      </c>
      <c r="J11" s="299"/>
      <c r="K11" s="86"/>
      <c r="L11" s="11"/>
      <c r="M11" s="11"/>
      <c r="N11" s="369"/>
      <c r="O11" s="371">
        <f t="shared" si="1"/>
        <v>0</v>
      </c>
      <c r="P11" s="73">
        <f t="shared" si="2"/>
        <v>0</v>
      </c>
      <c r="Q11" s="73">
        <f t="shared" si="3"/>
        <v>0</v>
      </c>
      <c r="R11" s="73">
        <f t="shared" si="4"/>
        <v>0</v>
      </c>
      <c r="S11" s="73">
        <v>0.2</v>
      </c>
      <c r="T11" s="73">
        <f t="shared" si="5"/>
        <v>0.33333333333333337</v>
      </c>
      <c r="U11" s="12" t="str">
        <f t="shared" si="13"/>
        <v/>
      </c>
      <c r="V11" s="372" t="e">
        <f t="shared" si="14"/>
        <v>#VALUE!</v>
      </c>
      <c r="W11" s="114" t="str">
        <f t="shared" si="15"/>
        <v/>
      </c>
      <c r="X11" s="161" t="str">
        <f>+IF(D11="cp",(I11*'Récapitulatif '!$AJ$3),"")</f>
        <v/>
      </c>
      <c r="Y11" s="163" t="str">
        <f t="shared" si="6"/>
        <v/>
      </c>
      <c r="Z11" s="154" t="str">
        <f t="shared" si="16"/>
        <v/>
      </c>
      <c r="AA11" s="154" t="str">
        <f t="shared" si="7"/>
        <v/>
      </c>
      <c r="AB11" s="479" t="str">
        <f t="shared" ref="AB11:AB34" si="23">+IF(WEEKDAY(C11)=1,SUM(W5:X11),"")</f>
        <v/>
      </c>
      <c r="AC11" s="475" t="str">
        <f t="shared" si="17"/>
        <v/>
      </c>
      <c r="AD11" s="118" t="str">
        <f t="shared" si="18"/>
        <v/>
      </c>
      <c r="AE11" s="261" t="str">
        <f t="shared" si="19"/>
        <v/>
      </c>
      <c r="AF11" s="220">
        <f>+IF(AND(WEEKDAY(C11)=7,$C$4:$C$43=$C$64),"",IF(AND(WEEKDAY(C11)=1,$C$4:$C$43=$C$64),"",IF($C$4:$C$43=$C$64,'Récapitulatif '!$AJ$3,IF(AND(WEEKDAY(C11)=7,$C$4:$C$43=$C$64),"",IF(AND(WEEKDAY(C11)=1,$C$4:$C$43=$C$65),"",IF($C$4:$C$43=$C$65,'Récapitulatif '!$AJ$3,IF($C$4:$C$43=$C$66,'Récapitulatif '!$AJ$3,"")))))))</f>
        <v>6.9</v>
      </c>
      <c r="AG11" s="118" t="str">
        <f t="shared" si="20"/>
        <v/>
      </c>
      <c r="AH11" s="261" t="str">
        <f t="shared" si="21"/>
        <v/>
      </c>
      <c r="AI11" s="328" t="str">
        <f t="shared" si="8"/>
        <v/>
      </c>
      <c r="AJ11" s="13" t="str">
        <f t="shared" si="9"/>
        <v/>
      </c>
      <c r="AK11" s="10"/>
      <c r="AM11" s="1" t="s">
        <v>60</v>
      </c>
    </row>
    <row r="12" spans="1:39">
      <c r="A12" s="482" t="str">
        <f>IF(WEEKDAY(C12,2)=1,INT((C12-SUM(MOD(DATE(YEAR(C12-MOD(C12-2,7)+3),1,2),{1E+99;7})*{1;-1})+5)/7),"")</f>
        <v/>
      </c>
      <c r="B12" s="482" t="str">
        <f>IF(A12&lt;&gt;"",VLOOKUP(A12,juin!$L$49:$M$101,2,FALSE),"")</f>
        <v/>
      </c>
      <c r="C12" s="215">
        <f t="shared" si="22"/>
        <v>43960</v>
      </c>
      <c r="D12" s="643"/>
      <c r="E12" s="633" t="str">
        <f t="shared" si="10"/>
        <v/>
      </c>
      <c r="F12" s="634" t="str">
        <f t="shared" si="11"/>
        <v/>
      </c>
      <c r="G12" s="626"/>
      <c r="H12" s="128" t="str">
        <f t="shared" si="0"/>
        <v/>
      </c>
      <c r="I12" s="127" t="str">
        <f t="shared" si="12"/>
        <v/>
      </c>
      <c r="J12" s="299"/>
      <c r="K12" s="86"/>
      <c r="L12" s="11"/>
      <c r="M12" s="11"/>
      <c r="N12" s="369"/>
      <c r="O12" s="371">
        <f t="shared" si="1"/>
        <v>0</v>
      </c>
      <c r="P12" s="73">
        <f t="shared" si="2"/>
        <v>0</v>
      </c>
      <c r="Q12" s="73">
        <f t="shared" si="3"/>
        <v>0</v>
      </c>
      <c r="R12" s="73">
        <f t="shared" si="4"/>
        <v>0</v>
      </c>
      <c r="S12" s="73">
        <v>0.2</v>
      </c>
      <c r="T12" s="73">
        <f t="shared" si="5"/>
        <v>0.33333333333333337</v>
      </c>
      <c r="U12" s="12" t="str">
        <f t="shared" si="13"/>
        <v/>
      </c>
      <c r="V12" s="372" t="e">
        <f t="shared" si="14"/>
        <v>#VALUE!</v>
      </c>
      <c r="W12" s="114" t="str">
        <f t="shared" si="15"/>
        <v/>
      </c>
      <c r="X12" s="161" t="str">
        <f>+IF(D12="cp",(I12*'Récapitulatif '!$AJ$3),"")</f>
        <v/>
      </c>
      <c r="Y12" s="163" t="str">
        <f t="shared" si="6"/>
        <v/>
      </c>
      <c r="Z12" s="154" t="str">
        <f t="shared" si="16"/>
        <v/>
      </c>
      <c r="AA12" s="154" t="str">
        <f t="shared" si="7"/>
        <v/>
      </c>
      <c r="AB12" s="479" t="str">
        <f t="shared" si="23"/>
        <v/>
      </c>
      <c r="AC12" s="475" t="str">
        <f t="shared" si="17"/>
        <v/>
      </c>
      <c r="AD12" s="118" t="str">
        <f t="shared" si="18"/>
        <v/>
      </c>
      <c r="AE12" s="261" t="str">
        <f t="shared" si="19"/>
        <v/>
      </c>
      <c r="AF12" s="220" t="str">
        <f>+IF(AND(WEEKDAY(C12)=7,$C$4:$C$43=$C$64),"",IF(AND(WEEKDAY(C12)=1,$C$4:$C$43=$C$64),"",IF($C$4:$C$43=$C$64,'Récapitulatif '!$AJ$3,IF(AND(WEEKDAY(C12)=7,$C$4:$C$43=$C$64),"",IF(AND(WEEKDAY(C12)=1,$C$4:$C$43=$C$65),"",IF($C$4:$C$43=$C$65,'Récapitulatif '!$AJ$3,IF($C$4:$C$43=$C$66,'Récapitulatif '!$AJ$3,"")))))))</f>
        <v/>
      </c>
      <c r="AG12" s="118" t="str">
        <f t="shared" si="20"/>
        <v/>
      </c>
      <c r="AH12" s="261" t="str">
        <f t="shared" si="21"/>
        <v/>
      </c>
      <c r="AI12" s="328" t="str">
        <f t="shared" si="8"/>
        <v/>
      </c>
      <c r="AJ12" s="13" t="str">
        <f t="shared" si="9"/>
        <v/>
      </c>
      <c r="AM12" s="1" t="s">
        <v>67</v>
      </c>
    </row>
    <row r="13" spans="1:39">
      <c r="A13" s="482" t="str">
        <f>IF(WEEKDAY(C13,2)=1,INT((C13-SUM(MOD(DATE(YEAR(C13-MOD(C13-2,7)+3),1,2),{1E+99;7})*{1;-1})+5)/7),"")</f>
        <v/>
      </c>
      <c r="B13" s="482" t="str">
        <f>IF(A13&lt;&gt;"",VLOOKUP(A13,juin!$L$49:$M$101,2,FALSE),"")</f>
        <v/>
      </c>
      <c r="C13" s="215">
        <f t="shared" si="22"/>
        <v>43961</v>
      </c>
      <c r="D13" s="643"/>
      <c r="E13" s="633" t="str">
        <f t="shared" si="10"/>
        <v/>
      </c>
      <c r="F13" s="634" t="str">
        <f t="shared" si="11"/>
        <v/>
      </c>
      <c r="G13" s="626"/>
      <c r="H13" s="128" t="str">
        <f t="shared" si="0"/>
        <v/>
      </c>
      <c r="I13" s="127" t="str">
        <f t="shared" si="12"/>
        <v/>
      </c>
      <c r="J13" s="299"/>
      <c r="K13" s="86"/>
      <c r="L13" s="11"/>
      <c r="M13" s="11"/>
      <c r="N13" s="369"/>
      <c r="O13" s="371">
        <f t="shared" si="1"/>
        <v>0</v>
      </c>
      <c r="P13" s="73">
        <f t="shared" si="2"/>
        <v>0</v>
      </c>
      <c r="Q13" s="73">
        <f t="shared" si="3"/>
        <v>0</v>
      </c>
      <c r="R13" s="73">
        <f t="shared" si="4"/>
        <v>0</v>
      </c>
      <c r="S13" s="73">
        <v>0.2</v>
      </c>
      <c r="T13" s="73">
        <f t="shared" si="5"/>
        <v>0.33333333333333337</v>
      </c>
      <c r="U13" s="12" t="str">
        <f t="shared" si="13"/>
        <v/>
      </c>
      <c r="V13" s="372" t="e">
        <f t="shared" si="14"/>
        <v>#VALUE!</v>
      </c>
      <c r="W13" s="114" t="str">
        <f t="shared" si="15"/>
        <v/>
      </c>
      <c r="X13" s="161" t="str">
        <f>+IF(D13="cp",(I13*'Récapitulatif '!$AJ$3),"")</f>
        <v/>
      </c>
      <c r="Y13" s="163" t="str">
        <f t="shared" si="6"/>
        <v/>
      </c>
      <c r="Z13" s="154" t="str">
        <f t="shared" si="16"/>
        <v/>
      </c>
      <c r="AA13" s="154" t="str">
        <f t="shared" si="7"/>
        <v/>
      </c>
      <c r="AB13" s="479">
        <f t="shared" si="23"/>
        <v>27.6</v>
      </c>
      <c r="AC13" s="475" t="str">
        <f t="shared" si="17"/>
        <v/>
      </c>
      <c r="AD13" s="118" t="str">
        <f t="shared" si="18"/>
        <v/>
      </c>
      <c r="AE13" s="261" t="str">
        <f t="shared" si="19"/>
        <v/>
      </c>
      <c r="AF13" s="220" t="str">
        <f>+IF(AND(WEEKDAY(C13)=7,$C$4:$C$43=$C$64),"",IF(AND(WEEKDAY(C13)=1,$C$4:$C$43=$C$64),"",IF($C$4:$C$43=$C$64,'Récapitulatif '!$AJ$3,IF(AND(WEEKDAY(C13)=7,$C$4:$C$43=$C$64),"",IF(AND(WEEKDAY(C13)=1,$C$4:$C$43=$C$65),"",IF($C$4:$C$43=$C$65,'Récapitulatif '!$AJ$3,IF($C$4:$C$43=$C$66,'Récapitulatif '!$AJ$3,"")))))))</f>
        <v/>
      </c>
      <c r="AG13" s="118" t="str">
        <f t="shared" si="20"/>
        <v/>
      </c>
      <c r="AH13" s="261" t="str">
        <f t="shared" si="21"/>
        <v/>
      </c>
      <c r="AI13" s="328" t="str">
        <f t="shared" si="8"/>
        <v/>
      </c>
      <c r="AJ13" s="13" t="str">
        <f t="shared" si="9"/>
        <v/>
      </c>
      <c r="AM13" s="91" t="s">
        <v>61</v>
      </c>
    </row>
    <row r="14" spans="1:39">
      <c r="A14" s="482">
        <f>IF(WEEKDAY(C14,2)=1,INT((C14-SUM(MOD(DATE(YEAR(C14-MOD(C14-2,7)+3),1,2),{1E+99;7})*{1;-1})+5)/7),"")</f>
        <v>20</v>
      </c>
      <c r="B14" s="482" t="str">
        <f>IF(A14&lt;&gt;"",VLOOKUP(A14,juin!$L$49:$M$101,2,FALSE),"")</f>
        <v>Mystère</v>
      </c>
      <c r="C14" s="215">
        <f t="shared" si="22"/>
        <v>43962</v>
      </c>
      <c r="D14" s="643"/>
      <c r="E14" s="633" t="str">
        <f t="shared" si="10"/>
        <v/>
      </c>
      <c r="F14" s="634" t="str">
        <f t="shared" si="11"/>
        <v/>
      </c>
      <c r="G14" s="626"/>
      <c r="H14" s="128" t="str">
        <f t="shared" si="0"/>
        <v/>
      </c>
      <c r="I14" s="127" t="str">
        <f t="shared" si="12"/>
        <v/>
      </c>
      <c r="J14" s="299"/>
      <c r="K14" s="86"/>
      <c r="L14" s="11"/>
      <c r="M14" s="11"/>
      <c r="N14" s="369"/>
      <c r="O14" s="371">
        <f t="shared" si="1"/>
        <v>0</v>
      </c>
      <c r="P14" s="73">
        <f t="shared" si="2"/>
        <v>0</v>
      </c>
      <c r="Q14" s="73">
        <f t="shared" si="3"/>
        <v>0</v>
      </c>
      <c r="R14" s="73">
        <f t="shared" si="4"/>
        <v>0</v>
      </c>
      <c r="S14" s="73">
        <v>0.2</v>
      </c>
      <c r="T14" s="73">
        <f t="shared" si="5"/>
        <v>0.33333333333333337</v>
      </c>
      <c r="U14" s="12" t="str">
        <f t="shared" si="13"/>
        <v/>
      </c>
      <c r="V14" s="372" t="e">
        <f t="shared" si="14"/>
        <v>#VALUE!</v>
      </c>
      <c r="W14" s="114" t="str">
        <f t="shared" si="15"/>
        <v/>
      </c>
      <c r="X14" s="161" t="str">
        <f>+IF(D14="cp",(I14*'Récapitulatif '!$AJ$3),"")</f>
        <v/>
      </c>
      <c r="Y14" s="163" t="str">
        <f t="shared" si="6"/>
        <v/>
      </c>
      <c r="Z14" s="154" t="str">
        <f t="shared" si="16"/>
        <v/>
      </c>
      <c r="AA14" s="154" t="str">
        <f t="shared" si="7"/>
        <v/>
      </c>
      <c r="AB14" s="479" t="str">
        <f t="shared" si="23"/>
        <v/>
      </c>
      <c r="AC14" s="475" t="str">
        <f t="shared" si="17"/>
        <v/>
      </c>
      <c r="AD14" s="118" t="str">
        <f t="shared" si="18"/>
        <v/>
      </c>
      <c r="AE14" s="261" t="str">
        <f t="shared" si="19"/>
        <v/>
      </c>
      <c r="AF14" s="220" t="str">
        <f>+IF(AND(WEEKDAY(C14)=7,$C$4:$C$43=$C$64),"",IF(AND(WEEKDAY(C14)=1,$C$4:$C$43=$C$64),"",IF($C$4:$C$43=$C$64,'Récapitulatif '!$AJ$3,IF(AND(WEEKDAY(C14)=7,$C$4:$C$43=$C$64),"",IF(AND(WEEKDAY(C14)=1,$C$4:$C$43=$C$65),"",IF($C$4:$C$43=$C$65,'Récapitulatif '!$AJ$3,IF($C$4:$C$43=$C$66,'Récapitulatif '!$AJ$3,"")))))))</f>
        <v/>
      </c>
      <c r="AG14" s="118" t="str">
        <f t="shared" si="20"/>
        <v/>
      </c>
      <c r="AH14" s="261" t="str">
        <f t="shared" si="21"/>
        <v/>
      </c>
      <c r="AI14" s="328" t="str">
        <f t="shared" si="8"/>
        <v/>
      </c>
      <c r="AJ14" s="13" t="str">
        <f t="shared" si="9"/>
        <v/>
      </c>
    </row>
    <row r="15" spans="1:39">
      <c r="A15" s="482" t="str">
        <f>IF(WEEKDAY(C15,2)=1,INT((C15-SUM(MOD(DATE(YEAR(C15-MOD(C15-2,7)+3),1,2),{1E+99;7})*{1;-1})+5)/7),"")</f>
        <v/>
      </c>
      <c r="B15" s="482" t="str">
        <f>IF(A15&lt;&gt;"",VLOOKUP(A15,juin!$L$49:$M$101,2,FALSE),"")</f>
        <v/>
      </c>
      <c r="C15" s="215">
        <f t="shared" si="22"/>
        <v>43963</v>
      </c>
      <c r="D15" s="643"/>
      <c r="E15" s="633" t="str">
        <f t="shared" si="10"/>
        <v/>
      </c>
      <c r="F15" s="634" t="str">
        <f t="shared" si="11"/>
        <v/>
      </c>
      <c r="G15" s="626"/>
      <c r="H15" s="128" t="str">
        <f t="shared" si="0"/>
        <v/>
      </c>
      <c r="I15" s="127" t="str">
        <f t="shared" si="12"/>
        <v/>
      </c>
      <c r="J15" s="299"/>
      <c r="K15" s="86"/>
      <c r="L15" s="11"/>
      <c r="M15" s="11"/>
      <c r="N15" s="369"/>
      <c r="O15" s="371">
        <f t="shared" si="1"/>
        <v>0</v>
      </c>
      <c r="P15" s="73">
        <f t="shared" si="2"/>
        <v>0</v>
      </c>
      <c r="Q15" s="73">
        <f t="shared" si="3"/>
        <v>0</v>
      </c>
      <c r="R15" s="73">
        <f t="shared" si="4"/>
        <v>0</v>
      </c>
      <c r="S15" s="73">
        <v>0.2</v>
      </c>
      <c r="T15" s="73">
        <f t="shared" si="5"/>
        <v>0.33333333333333337</v>
      </c>
      <c r="U15" s="12" t="str">
        <f t="shared" si="13"/>
        <v/>
      </c>
      <c r="V15" s="372" t="e">
        <f t="shared" si="14"/>
        <v>#VALUE!</v>
      </c>
      <c r="W15" s="114" t="str">
        <f t="shared" si="15"/>
        <v/>
      </c>
      <c r="X15" s="161" t="str">
        <f>+IF(D15="cp",(I15*'Récapitulatif '!$AJ$3),"")</f>
        <v/>
      </c>
      <c r="Y15" s="163" t="str">
        <f t="shared" si="6"/>
        <v/>
      </c>
      <c r="Z15" s="154" t="str">
        <f t="shared" si="16"/>
        <v/>
      </c>
      <c r="AA15" s="154" t="str">
        <f t="shared" si="7"/>
        <v/>
      </c>
      <c r="AB15" s="479" t="str">
        <f t="shared" si="23"/>
        <v/>
      </c>
      <c r="AC15" s="475" t="str">
        <f t="shared" si="17"/>
        <v/>
      </c>
      <c r="AD15" s="118" t="str">
        <f t="shared" si="18"/>
        <v/>
      </c>
      <c r="AE15" s="261" t="str">
        <f t="shared" si="19"/>
        <v/>
      </c>
      <c r="AF15" s="220" t="str">
        <f>+IF(AND(WEEKDAY(C15)=7,$C$4:$C$43=$C$64),"",IF(AND(WEEKDAY(C15)=1,$C$4:$C$43=$C$64),"",IF($C$4:$C$43=$C$64,'Récapitulatif '!$AJ$3,IF(AND(WEEKDAY(C15)=7,$C$4:$C$43=$C$64),"",IF(AND(WEEKDAY(C15)=1,$C$4:$C$43=$C$65),"",IF($C$4:$C$43=$C$65,'Récapitulatif '!$AJ$3,IF($C$4:$C$43=$C$66,'Récapitulatif '!$AJ$3,"")))))))</f>
        <v/>
      </c>
      <c r="AG15" s="118" t="str">
        <f t="shared" si="20"/>
        <v/>
      </c>
      <c r="AH15" s="261" t="str">
        <f t="shared" si="21"/>
        <v/>
      </c>
      <c r="AI15" s="328" t="str">
        <f t="shared" si="8"/>
        <v/>
      </c>
      <c r="AJ15" s="13" t="str">
        <f t="shared" si="9"/>
        <v/>
      </c>
    </row>
    <row r="16" spans="1:39">
      <c r="A16" s="482" t="str">
        <f>IF(WEEKDAY(C16,2)=1,INT((C16-SUM(MOD(DATE(YEAR(C16-MOD(C16-2,7)+3),1,2),{1E+99;7})*{1;-1})+5)/7),"")</f>
        <v/>
      </c>
      <c r="B16" s="482" t="str">
        <f>IF(A16&lt;&gt;"",VLOOKUP(A16,juin!$L$49:$M$101,2,FALSE),"")</f>
        <v/>
      </c>
      <c r="C16" s="215">
        <f t="shared" si="22"/>
        <v>43964</v>
      </c>
      <c r="D16" s="643"/>
      <c r="E16" s="633" t="str">
        <f t="shared" si="10"/>
        <v/>
      </c>
      <c r="F16" s="634" t="str">
        <f t="shared" si="11"/>
        <v/>
      </c>
      <c r="G16" s="626"/>
      <c r="H16" s="128" t="str">
        <f t="shared" si="0"/>
        <v/>
      </c>
      <c r="I16" s="127" t="str">
        <f t="shared" si="12"/>
        <v/>
      </c>
      <c r="J16" s="299"/>
      <c r="K16" s="86"/>
      <c r="L16" s="11"/>
      <c r="M16" s="11"/>
      <c r="N16" s="369"/>
      <c r="O16" s="371">
        <f t="shared" si="1"/>
        <v>0</v>
      </c>
      <c r="P16" s="73">
        <f t="shared" si="2"/>
        <v>0</v>
      </c>
      <c r="Q16" s="73">
        <f t="shared" si="3"/>
        <v>0</v>
      </c>
      <c r="R16" s="73">
        <f t="shared" si="4"/>
        <v>0</v>
      </c>
      <c r="S16" s="73">
        <v>0.2</v>
      </c>
      <c r="T16" s="73">
        <f t="shared" si="5"/>
        <v>0.33333333333333337</v>
      </c>
      <c r="U16" s="12" t="str">
        <f t="shared" si="13"/>
        <v/>
      </c>
      <c r="V16" s="372" t="e">
        <f t="shared" si="14"/>
        <v>#VALUE!</v>
      </c>
      <c r="W16" s="114" t="str">
        <f t="shared" si="15"/>
        <v/>
      </c>
      <c r="X16" s="161" t="str">
        <f>+IF(D16="cp",(I16*'Récapitulatif '!$AJ$3),"")</f>
        <v/>
      </c>
      <c r="Y16" s="163" t="str">
        <f t="shared" si="6"/>
        <v/>
      </c>
      <c r="Z16" s="154" t="str">
        <f t="shared" si="16"/>
        <v/>
      </c>
      <c r="AA16" s="154" t="str">
        <f t="shared" si="7"/>
        <v/>
      </c>
      <c r="AB16" s="479" t="str">
        <f t="shared" si="23"/>
        <v/>
      </c>
      <c r="AC16" s="475" t="str">
        <f t="shared" si="17"/>
        <v/>
      </c>
      <c r="AD16" s="118" t="str">
        <f t="shared" si="18"/>
        <v/>
      </c>
      <c r="AE16" s="261" t="str">
        <f t="shared" si="19"/>
        <v/>
      </c>
      <c r="AF16" s="220" t="str">
        <f>+IF(AND(WEEKDAY(C16)=7,$C$4:$C$43=$C$64),"",IF(AND(WEEKDAY(C16)=1,$C$4:$C$43=$C$64),"",IF($C$4:$C$43=$C$64,'Récapitulatif '!$AJ$3,IF(AND(WEEKDAY(C16)=7,$C$4:$C$43=$C$64),"",IF(AND(WEEKDAY(C16)=1,$C$4:$C$43=$C$65),"",IF($C$4:$C$43=$C$65,'Récapitulatif '!$AJ$3,IF($C$4:$C$43=$C$66,'Récapitulatif '!$AJ$3,"")))))))</f>
        <v/>
      </c>
      <c r="AG16" s="118" t="str">
        <f t="shared" si="20"/>
        <v/>
      </c>
      <c r="AH16" s="261" t="str">
        <f t="shared" si="21"/>
        <v/>
      </c>
      <c r="AI16" s="328" t="str">
        <f t="shared" si="8"/>
        <v/>
      </c>
      <c r="AJ16" s="13" t="str">
        <f t="shared" si="9"/>
        <v/>
      </c>
    </row>
    <row r="17" spans="1:39">
      <c r="A17" s="482" t="str">
        <f>IF(WEEKDAY(C17,2)=1,INT((C17-SUM(MOD(DATE(YEAR(C17-MOD(C17-2,7)+3),1,2),{1E+99;7})*{1;-1})+5)/7),"")</f>
        <v/>
      </c>
      <c r="B17" s="482" t="str">
        <f>IF(A17&lt;&gt;"",VLOOKUP(A17,juin!$L$49:$M$101,2,FALSE),"")</f>
        <v/>
      </c>
      <c r="C17" s="215">
        <f t="shared" si="22"/>
        <v>43965</v>
      </c>
      <c r="D17" s="643"/>
      <c r="E17" s="633" t="str">
        <f t="shared" si="10"/>
        <v/>
      </c>
      <c r="F17" s="634" t="str">
        <f t="shared" si="11"/>
        <v/>
      </c>
      <c r="G17" s="626"/>
      <c r="H17" s="128" t="str">
        <f t="shared" si="0"/>
        <v/>
      </c>
      <c r="I17" s="127" t="str">
        <f t="shared" si="12"/>
        <v/>
      </c>
      <c r="J17" s="299"/>
      <c r="K17" s="86"/>
      <c r="L17" s="11"/>
      <c r="M17" s="11"/>
      <c r="N17" s="369"/>
      <c r="O17" s="371">
        <f t="shared" si="1"/>
        <v>0</v>
      </c>
      <c r="P17" s="73">
        <f t="shared" si="2"/>
        <v>0</v>
      </c>
      <c r="Q17" s="73">
        <f t="shared" si="3"/>
        <v>0</v>
      </c>
      <c r="R17" s="73">
        <f t="shared" si="4"/>
        <v>0</v>
      </c>
      <c r="S17" s="73">
        <v>0.2</v>
      </c>
      <c r="T17" s="73">
        <f t="shared" si="5"/>
        <v>0.33333333333333337</v>
      </c>
      <c r="U17" s="12" t="str">
        <f t="shared" si="13"/>
        <v/>
      </c>
      <c r="V17" s="372" t="e">
        <f t="shared" si="14"/>
        <v>#VALUE!</v>
      </c>
      <c r="W17" s="114" t="str">
        <f t="shared" si="15"/>
        <v/>
      </c>
      <c r="X17" s="161" t="str">
        <f>+IF(D17="cp",(I17*'Récapitulatif '!$AJ$3),"")</f>
        <v/>
      </c>
      <c r="Y17" s="163" t="str">
        <f t="shared" si="6"/>
        <v/>
      </c>
      <c r="Z17" s="154" t="str">
        <f t="shared" si="16"/>
        <v/>
      </c>
      <c r="AA17" s="154" t="str">
        <f t="shared" si="7"/>
        <v/>
      </c>
      <c r="AB17" s="479" t="str">
        <f t="shared" si="23"/>
        <v/>
      </c>
      <c r="AC17" s="475" t="str">
        <f t="shared" si="17"/>
        <v/>
      </c>
      <c r="AD17" s="118" t="str">
        <f t="shared" si="18"/>
        <v/>
      </c>
      <c r="AE17" s="261" t="str">
        <f t="shared" si="19"/>
        <v/>
      </c>
      <c r="AF17" s="220" t="str">
        <f>+IF(AND(WEEKDAY(C17)=7,$C$4:$C$43=$C$64),"",IF(AND(WEEKDAY(C17)=1,$C$4:$C$43=$C$64),"",IF($C$4:$C$43=$C$64,'Récapitulatif '!$AJ$3,IF(AND(WEEKDAY(C17)=7,$C$4:$C$43=$C$64),"",IF(AND(WEEKDAY(C17)=1,$C$4:$C$43=$C$65),"",IF($C$4:$C$43=$C$65,'Récapitulatif '!$AJ$3,IF($C$4:$C$43=$C$66,'Récapitulatif '!$AJ$3,"")))))))</f>
        <v/>
      </c>
      <c r="AG17" s="118" t="str">
        <f t="shared" si="20"/>
        <v/>
      </c>
      <c r="AH17" s="261" t="str">
        <f t="shared" si="21"/>
        <v/>
      </c>
      <c r="AI17" s="328" t="str">
        <f t="shared" si="8"/>
        <v/>
      </c>
      <c r="AJ17" s="13" t="str">
        <f t="shared" si="9"/>
        <v/>
      </c>
      <c r="AM17" s="1" t="s">
        <v>70</v>
      </c>
    </row>
    <row r="18" spans="1:39">
      <c r="A18" s="482" t="str">
        <f>IF(WEEKDAY(C18,2)=1,INT((C18-SUM(MOD(DATE(YEAR(C18-MOD(C18-2,7)+3),1,2),{1E+99;7})*{1;-1})+5)/7),"")</f>
        <v/>
      </c>
      <c r="B18" s="482" t="str">
        <f>IF(A18&lt;&gt;"",VLOOKUP(A18,juin!$L$49:$M$101,2,FALSE),"")</f>
        <v/>
      </c>
      <c r="C18" s="215">
        <f t="shared" si="22"/>
        <v>43966</v>
      </c>
      <c r="D18" s="643"/>
      <c r="E18" s="633" t="str">
        <f t="shared" si="10"/>
        <v/>
      </c>
      <c r="F18" s="634" t="str">
        <f t="shared" si="11"/>
        <v/>
      </c>
      <c r="G18" s="626"/>
      <c r="H18" s="128" t="str">
        <f t="shared" si="0"/>
        <v/>
      </c>
      <c r="I18" s="127" t="str">
        <f t="shared" si="12"/>
        <v/>
      </c>
      <c r="J18" s="299"/>
      <c r="K18" s="86"/>
      <c r="L18" s="11"/>
      <c r="M18" s="11"/>
      <c r="N18" s="369"/>
      <c r="O18" s="371">
        <f t="shared" si="1"/>
        <v>0</v>
      </c>
      <c r="P18" s="73">
        <f t="shared" si="2"/>
        <v>0</v>
      </c>
      <c r="Q18" s="73">
        <f t="shared" si="3"/>
        <v>0</v>
      </c>
      <c r="R18" s="73">
        <f t="shared" si="4"/>
        <v>0</v>
      </c>
      <c r="S18" s="73">
        <v>0.2</v>
      </c>
      <c r="T18" s="73">
        <f t="shared" si="5"/>
        <v>0.33333333333333337</v>
      </c>
      <c r="U18" s="12" t="str">
        <f t="shared" si="13"/>
        <v/>
      </c>
      <c r="V18" s="372" t="e">
        <f t="shared" si="14"/>
        <v>#VALUE!</v>
      </c>
      <c r="W18" s="114" t="str">
        <f t="shared" si="15"/>
        <v/>
      </c>
      <c r="X18" s="161" t="str">
        <f>+IF(D18="cp",(I18*'Récapitulatif '!$AJ$3),"")</f>
        <v/>
      </c>
      <c r="Y18" s="163" t="str">
        <f t="shared" si="6"/>
        <v/>
      </c>
      <c r="Z18" s="154" t="str">
        <f t="shared" si="16"/>
        <v/>
      </c>
      <c r="AA18" s="154" t="str">
        <f t="shared" si="7"/>
        <v/>
      </c>
      <c r="AB18" s="479" t="str">
        <f t="shared" si="23"/>
        <v/>
      </c>
      <c r="AC18" s="475" t="str">
        <f t="shared" si="17"/>
        <v/>
      </c>
      <c r="AD18" s="118" t="str">
        <f t="shared" si="18"/>
        <v/>
      </c>
      <c r="AE18" s="261" t="str">
        <f t="shared" si="19"/>
        <v/>
      </c>
      <c r="AF18" s="220" t="str">
        <f>+IF(AND(WEEKDAY(C18)=7,$C$4:$C$43=$C$64),"",IF(AND(WEEKDAY(C18)=1,$C$4:$C$43=$C$64),"",IF($C$4:$C$43=$C$64,'Récapitulatif '!$AJ$3,IF(AND(WEEKDAY(C18)=7,$C$4:$C$43=$C$64),"",IF(AND(WEEKDAY(C18)=1,$C$4:$C$43=$C$65),"",IF($C$4:$C$43=$C$65,'Récapitulatif '!$AJ$3,IF($C$4:$C$43=$C$66,'Récapitulatif '!$AJ$3,"")))))))</f>
        <v/>
      </c>
      <c r="AG18" s="118" t="str">
        <f t="shared" si="20"/>
        <v/>
      </c>
      <c r="AH18" s="261" t="str">
        <f t="shared" si="21"/>
        <v/>
      </c>
      <c r="AI18" s="328" t="str">
        <f t="shared" si="8"/>
        <v/>
      </c>
      <c r="AJ18" s="13" t="str">
        <f t="shared" si="9"/>
        <v/>
      </c>
      <c r="AM18" s="1" t="s">
        <v>71</v>
      </c>
    </row>
    <row r="19" spans="1:39">
      <c r="A19" s="482" t="str">
        <f>IF(WEEKDAY(C19,2)=1,INT((C19-SUM(MOD(DATE(YEAR(C19-MOD(C19-2,7)+3),1,2),{1E+99;7})*{1;-1})+5)/7),"")</f>
        <v/>
      </c>
      <c r="B19" s="482" t="str">
        <f>IF(A19&lt;&gt;"",VLOOKUP(A19,juin!$L$49:$M$101,2,FALSE),"")</f>
        <v/>
      </c>
      <c r="C19" s="215">
        <f t="shared" si="22"/>
        <v>43967</v>
      </c>
      <c r="D19" s="643"/>
      <c r="E19" s="633" t="str">
        <f t="shared" si="10"/>
        <v/>
      </c>
      <c r="F19" s="634" t="str">
        <f t="shared" si="11"/>
        <v/>
      </c>
      <c r="G19" s="626"/>
      <c r="H19" s="128" t="str">
        <f t="shared" si="0"/>
        <v/>
      </c>
      <c r="I19" s="127" t="str">
        <f t="shared" si="12"/>
        <v/>
      </c>
      <c r="J19" s="299"/>
      <c r="K19" s="86"/>
      <c r="L19" s="11"/>
      <c r="M19" s="11"/>
      <c r="N19" s="369"/>
      <c r="O19" s="371">
        <f t="shared" si="1"/>
        <v>0</v>
      </c>
      <c r="P19" s="73">
        <f t="shared" si="2"/>
        <v>0</v>
      </c>
      <c r="Q19" s="73">
        <f t="shared" si="3"/>
        <v>0</v>
      </c>
      <c r="R19" s="73">
        <f t="shared" si="4"/>
        <v>0</v>
      </c>
      <c r="S19" s="73">
        <v>0.2</v>
      </c>
      <c r="T19" s="73">
        <f t="shared" si="5"/>
        <v>0.33333333333333337</v>
      </c>
      <c r="U19" s="12" t="str">
        <f t="shared" si="13"/>
        <v/>
      </c>
      <c r="V19" s="372" t="e">
        <f t="shared" si="14"/>
        <v>#VALUE!</v>
      </c>
      <c r="W19" s="114" t="str">
        <f t="shared" si="15"/>
        <v/>
      </c>
      <c r="X19" s="161" t="str">
        <f>+IF(D19="cp",(I19*'Récapitulatif '!$AJ$3),"")</f>
        <v/>
      </c>
      <c r="Y19" s="163" t="str">
        <f t="shared" si="6"/>
        <v/>
      </c>
      <c r="Z19" s="154" t="str">
        <f t="shared" si="16"/>
        <v/>
      </c>
      <c r="AA19" s="154" t="str">
        <f t="shared" si="7"/>
        <v/>
      </c>
      <c r="AB19" s="479" t="str">
        <f t="shared" si="23"/>
        <v/>
      </c>
      <c r="AC19" s="475" t="str">
        <f t="shared" si="17"/>
        <v/>
      </c>
      <c r="AD19" s="118" t="str">
        <f t="shared" si="18"/>
        <v/>
      </c>
      <c r="AE19" s="261" t="str">
        <f t="shared" si="19"/>
        <v/>
      </c>
      <c r="AF19" s="220" t="str">
        <f>+IF(AND(WEEKDAY(C19)=7,$C$4:$C$43=$C$64),"",IF(AND(WEEKDAY(C19)=1,$C$4:$C$43=$C$64),"",IF($C$4:$C$43=$C$64,'Récapitulatif '!$AJ$3,IF(AND(WEEKDAY(C19)=7,$C$4:$C$43=$C$64),"",IF(AND(WEEKDAY(C19)=1,$C$4:$C$43=$C$65),"",IF($C$4:$C$43=$C$65,'Récapitulatif '!$AJ$3,IF($C$4:$C$43=$C$66,'Récapitulatif '!$AJ$3,"")))))))</f>
        <v/>
      </c>
      <c r="AG19" s="118" t="str">
        <f t="shared" si="20"/>
        <v/>
      </c>
      <c r="AH19" s="261" t="str">
        <f t="shared" si="21"/>
        <v/>
      </c>
      <c r="AI19" s="328" t="str">
        <f t="shared" si="8"/>
        <v/>
      </c>
      <c r="AJ19" s="13" t="str">
        <f t="shared" si="9"/>
        <v/>
      </c>
    </row>
    <row r="20" spans="1:39">
      <c r="A20" s="482" t="str">
        <f>IF(WEEKDAY(C20,2)=1,INT((C20-SUM(MOD(DATE(YEAR(C20-MOD(C20-2,7)+3),1,2),{1E+99;7})*{1;-1})+5)/7),"")</f>
        <v/>
      </c>
      <c r="B20" s="482" t="str">
        <f>IF(A20&lt;&gt;"",VLOOKUP(A20,juin!$L$49:$M$101,2,FALSE),"")</f>
        <v/>
      </c>
      <c r="C20" s="215">
        <f t="shared" si="22"/>
        <v>43968</v>
      </c>
      <c r="D20" s="643"/>
      <c r="E20" s="633" t="str">
        <f t="shared" si="10"/>
        <v/>
      </c>
      <c r="F20" s="634" t="str">
        <f t="shared" si="11"/>
        <v/>
      </c>
      <c r="G20" s="626"/>
      <c r="H20" s="128" t="str">
        <f t="shared" si="0"/>
        <v/>
      </c>
      <c r="I20" s="127" t="str">
        <f t="shared" si="12"/>
        <v/>
      </c>
      <c r="J20" s="299"/>
      <c r="K20" s="86"/>
      <c r="L20" s="11"/>
      <c r="M20" s="11"/>
      <c r="N20" s="369"/>
      <c r="O20" s="371">
        <f t="shared" si="1"/>
        <v>0</v>
      </c>
      <c r="P20" s="73">
        <f t="shared" si="2"/>
        <v>0</v>
      </c>
      <c r="Q20" s="73">
        <f t="shared" si="3"/>
        <v>0</v>
      </c>
      <c r="R20" s="73">
        <f t="shared" si="4"/>
        <v>0</v>
      </c>
      <c r="S20" s="73">
        <v>0.2</v>
      </c>
      <c r="T20" s="73">
        <f t="shared" si="5"/>
        <v>0.33333333333333337</v>
      </c>
      <c r="U20" s="12" t="str">
        <f t="shared" si="13"/>
        <v/>
      </c>
      <c r="V20" s="372" t="e">
        <f t="shared" si="14"/>
        <v>#VALUE!</v>
      </c>
      <c r="W20" s="114" t="str">
        <f t="shared" si="15"/>
        <v/>
      </c>
      <c r="X20" s="161" t="str">
        <f>+IF(D20="cp",(I20*'Récapitulatif '!$AJ$3),"")</f>
        <v/>
      </c>
      <c r="Y20" s="163" t="str">
        <f t="shared" si="6"/>
        <v/>
      </c>
      <c r="Z20" s="154" t="str">
        <f t="shared" si="16"/>
        <v/>
      </c>
      <c r="AA20" s="154" t="str">
        <f t="shared" si="7"/>
        <v/>
      </c>
      <c r="AB20" s="479">
        <f t="shared" si="23"/>
        <v>0</v>
      </c>
      <c r="AC20" s="475" t="str">
        <f t="shared" si="17"/>
        <v/>
      </c>
      <c r="AD20" s="118" t="str">
        <f t="shared" si="18"/>
        <v/>
      </c>
      <c r="AE20" s="261" t="str">
        <f t="shared" si="19"/>
        <v/>
      </c>
      <c r="AF20" s="220" t="str">
        <f>+IF(AND(WEEKDAY(C20)=7,$C$4:$C$43=$C$64),"",IF(AND(WEEKDAY(C20)=1,$C$4:$C$43=$C$64),"",IF($C$4:$C$43=$C$64,'Récapitulatif '!$AJ$3,IF(AND(WEEKDAY(C20)=7,$C$4:$C$43=$C$64),"",IF(AND(WEEKDAY(C20)=1,$C$4:$C$43=$C$65),"",IF($C$4:$C$43=$C$65,'Récapitulatif '!$AJ$3,IF($C$4:$C$43=$C$66,'Récapitulatif '!$AJ$3,"")))))))</f>
        <v/>
      </c>
      <c r="AG20" s="118" t="str">
        <f t="shared" si="20"/>
        <v/>
      </c>
      <c r="AH20" s="261" t="str">
        <f t="shared" si="21"/>
        <v/>
      </c>
      <c r="AI20" s="328" t="str">
        <f t="shared" si="8"/>
        <v/>
      </c>
      <c r="AJ20" s="13" t="str">
        <f t="shared" si="9"/>
        <v/>
      </c>
    </row>
    <row r="21" spans="1:39">
      <c r="A21" s="482">
        <f>IF(WEEKDAY(C21,2)=1,INT((C21-SUM(MOD(DATE(YEAR(C21-MOD(C21-2,7)+3),1,2),{1E+99;7})*{1;-1})+5)/7),"")</f>
        <v>21</v>
      </c>
      <c r="B21" s="482" t="str">
        <f>IF(A21&lt;&gt;"",VLOOKUP(A21,juin!$L$49:$M$101,2,FALSE),"")</f>
        <v>Nuit</v>
      </c>
      <c r="C21" s="215">
        <f t="shared" si="22"/>
        <v>43969</v>
      </c>
      <c r="D21" s="642"/>
      <c r="E21" s="633" t="str">
        <f t="shared" si="10"/>
        <v/>
      </c>
      <c r="F21" s="634" t="str">
        <f t="shared" si="11"/>
        <v/>
      </c>
      <c r="G21" s="626"/>
      <c r="H21" s="128" t="str">
        <f t="shared" si="0"/>
        <v/>
      </c>
      <c r="I21" s="127" t="str">
        <f t="shared" si="12"/>
        <v/>
      </c>
      <c r="J21" s="299"/>
      <c r="K21" s="86"/>
      <c r="L21" s="11"/>
      <c r="M21" s="11"/>
      <c r="N21" s="369"/>
      <c r="O21" s="371">
        <f t="shared" si="1"/>
        <v>0</v>
      </c>
      <c r="P21" s="73">
        <f t="shared" si="2"/>
        <v>0</v>
      </c>
      <c r="Q21" s="73">
        <f t="shared" si="3"/>
        <v>0</v>
      </c>
      <c r="R21" s="73">
        <f t="shared" si="4"/>
        <v>0</v>
      </c>
      <c r="S21" s="73">
        <v>0.2</v>
      </c>
      <c r="T21" s="73">
        <f t="shared" si="5"/>
        <v>0.33333333333333337</v>
      </c>
      <c r="U21" s="12" t="str">
        <f t="shared" si="13"/>
        <v/>
      </c>
      <c r="V21" s="372" t="e">
        <f t="shared" si="14"/>
        <v>#VALUE!</v>
      </c>
      <c r="W21" s="114" t="str">
        <f t="shared" si="15"/>
        <v/>
      </c>
      <c r="X21" s="161" t="str">
        <f>+IF(D21="cp",(I21*'Récapitulatif '!$AJ$3),"")</f>
        <v/>
      </c>
      <c r="Y21" s="163" t="str">
        <f t="shared" si="6"/>
        <v/>
      </c>
      <c r="Z21" s="154" t="str">
        <f t="shared" si="16"/>
        <v/>
      </c>
      <c r="AA21" s="154" t="str">
        <f t="shared" si="7"/>
        <v/>
      </c>
      <c r="AB21" s="479" t="str">
        <f t="shared" si="23"/>
        <v/>
      </c>
      <c r="AC21" s="475" t="str">
        <f t="shared" si="17"/>
        <v/>
      </c>
      <c r="AD21" s="118" t="str">
        <f t="shared" si="18"/>
        <v/>
      </c>
      <c r="AE21" s="261" t="str">
        <f t="shared" si="19"/>
        <v/>
      </c>
      <c r="AF21" s="220" t="str">
        <f>+IF(AND(WEEKDAY(C21)=7,$C$4:$C$43=$C$64),"",IF(AND(WEEKDAY(C21)=1,$C$4:$C$43=$C$64),"",IF($C$4:$C$43=$C$64,'Récapitulatif '!$AJ$3,IF(AND(WEEKDAY(C21)=7,$C$4:$C$43=$C$64),"",IF(AND(WEEKDAY(C21)=1,$C$4:$C$43=$C$65),"",IF($C$4:$C$43=$C$65,'Récapitulatif '!$AJ$3,IF($C$4:$C$43=$C$66,'Récapitulatif '!$AJ$3,"")))))))</f>
        <v/>
      </c>
      <c r="AG21" s="118" t="str">
        <f t="shared" si="20"/>
        <v/>
      </c>
      <c r="AH21" s="261" t="str">
        <f t="shared" si="21"/>
        <v/>
      </c>
      <c r="AI21" s="328" t="str">
        <f t="shared" si="8"/>
        <v/>
      </c>
      <c r="AJ21" s="13" t="str">
        <f t="shared" si="9"/>
        <v/>
      </c>
    </row>
    <row r="22" spans="1:39">
      <c r="A22" s="482" t="str">
        <f>IF(WEEKDAY(C22,2)=1,INT((C22-SUM(MOD(DATE(YEAR(C22-MOD(C22-2,7)+3),1,2),{1E+99;7})*{1;-1})+5)/7),"")</f>
        <v/>
      </c>
      <c r="B22" s="482" t="str">
        <f>IF(A22&lt;&gt;"",VLOOKUP(A22,juin!$L$49:$M$101,2,FALSE),"")</f>
        <v/>
      </c>
      <c r="C22" s="215">
        <f t="shared" si="22"/>
        <v>43970</v>
      </c>
      <c r="D22" s="643"/>
      <c r="E22" s="633" t="str">
        <f t="shared" si="10"/>
        <v/>
      </c>
      <c r="F22" s="634" t="str">
        <f t="shared" si="11"/>
        <v/>
      </c>
      <c r="G22" s="626"/>
      <c r="H22" s="128" t="str">
        <f t="shared" si="0"/>
        <v/>
      </c>
      <c r="I22" s="127" t="str">
        <f t="shared" si="12"/>
        <v/>
      </c>
      <c r="J22" s="299"/>
      <c r="K22" s="86"/>
      <c r="L22" s="11"/>
      <c r="M22" s="11"/>
      <c r="N22" s="369"/>
      <c r="O22" s="371">
        <f t="shared" si="1"/>
        <v>0</v>
      </c>
      <c r="P22" s="73">
        <f t="shared" si="2"/>
        <v>0</v>
      </c>
      <c r="Q22" s="73">
        <f t="shared" si="3"/>
        <v>0</v>
      </c>
      <c r="R22" s="73">
        <f t="shared" si="4"/>
        <v>0</v>
      </c>
      <c r="S22" s="73">
        <v>0.2</v>
      </c>
      <c r="T22" s="73">
        <f t="shared" si="5"/>
        <v>0.33333333333333337</v>
      </c>
      <c r="U22" s="12" t="str">
        <f t="shared" si="13"/>
        <v/>
      </c>
      <c r="V22" s="372" t="e">
        <f t="shared" si="14"/>
        <v>#VALUE!</v>
      </c>
      <c r="W22" s="114" t="str">
        <f t="shared" si="15"/>
        <v/>
      </c>
      <c r="X22" s="161" t="str">
        <f>+IF(D22="cp",(I22*'Récapitulatif '!$AJ$3),"")</f>
        <v/>
      </c>
      <c r="Y22" s="163" t="str">
        <f t="shared" si="6"/>
        <v/>
      </c>
      <c r="Z22" s="154" t="str">
        <f t="shared" si="16"/>
        <v/>
      </c>
      <c r="AA22" s="154" t="str">
        <f t="shared" si="7"/>
        <v/>
      </c>
      <c r="AB22" s="479" t="str">
        <f t="shared" si="23"/>
        <v/>
      </c>
      <c r="AC22" s="475" t="str">
        <f t="shared" si="17"/>
        <v/>
      </c>
      <c r="AD22" s="118" t="str">
        <f t="shared" si="18"/>
        <v/>
      </c>
      <c r="AE22" s="261" t="str">
        <f t="shared" si="19"/>
        <v/>
      </c>
      <c r="AF22" s="220" t="str">
        <f>+IF(AND(WEEKDAY(C22)=7,$C$4:$C$43=$C$64),"",IF(AND(WEEKDAY(C22)=1,$C$4:$C$43=$C$64),"",IF($C$4:$C$43=$C$64,'Récapitulatif '!$AJ$3,IF(AND(WEEKDAY(C22)=7,$C$4:$C$43=$C$64),"",IF(AND(WEEKDAY(C22)=1,$C$4:$C$43=$C$65),"",IF($C$4:$C$43=$C$65,'Récapitulatif '!$AJ$3,IF($C$4:$C$43=$C$66,'Récapitulatif '!$AJ$3,"")))))))</f>
        <v/>
      </c>
      <c r="AG22" s="118" t="str">
        <f t="shared" si="20"/>
        <v/>
      </c>
      <c r="AH22" s="261" t="str">
        <f t="shared" si="21"/>
        <v/>
      </c>
      <c r="AI22" s="328" t="str">
        <f t="shared" si="8"/>
        <v/>
      </c>
      <c r="AJ22" s="13" t="str">
        <f t="shared" si="9"/>
        <v/>
      </c>
    </row>
    <row r="23" spans="1:39">
      <c r="A23" s="482" t="str">
        <f>IF(WEEKDAY(C23,2)=1,INT((C23-SUM(MOD(DATE(YEAR(C23-MOD(C23-2,7)+3),1,2),{1E+99;7})*{1;-1})+5)/7),"")</f>
        <v/>
      </c>
      <c r="B23" s="482" t="str">
        <f>IF(A23&lt;&gt;"",VLOOKUP(A23,juin!$L$49:$M$101,2,FALSE),"")</f>
        <v/>
      </c>
      <c r="C23" s="215">
        <f t="shared" si="22"/>
        <v>43971</v>
      </c>
      <c r="D23" s="642"/>
      <c r="E23" s="633" t="str">
        <f t="shared" si="10"/>
        <v/>
      </c>
      <c r="F23" s="634" t="str">
        <f t="shared" si="11"/>
        <v/>
      </c>
      <c r="G23" s="626"/>
      <c r="H23" s="128" t="str">
        <f t="shared" si="0"/>
        <v/>
      </c>
      <c r="I23" s="127" t="str">
        <f t="shared" si="12"/>
        <v/>
      </c>
      <c r="J23" s="299"/>
      <c r="K23" s="86"/>
      <c r="L23" s="11"/>
      <c r="M23" s="11"/>
      <c r="N23" s="369"/>
      <c r="O23" s="371">
        <f t="shared" si="1"/>
        <v>0</v>
      </c>
      <c r="P23" s="73">
        <f t="shared" si="2"/>
        <v>0</v>
      </c>
      <c r="Q23" s="73">
        <f t="shared" si="3"/>
        <v>0</v>
      </c>
      <c r="R23" s="73">
        <f t="shared" si="4"/>
        <v>0</v>
      </c>
      <c r="S23" s="73">
        <v>0.2</v>
      </c>
      <c r="T23" s="73">
        <f t="shared" si="5"/>
        <v>0.33333333333333337</v>
      </c>
      <c r="U23" s="12" t="str">
        <f t="shared" si="13"/>
        <v/>
      </c>
      <c r="V23" s="372" t="e">
        <f t="shared" si="14"/>
        <v>#VALUE!</v>
      </c>
      <c r="W23" s="114" t="str">
        <f t="shared" si="15"/>
        <v/>
      </c>
      <c r="X23" s="161" t="str">
        <f>+IF(D23="cp",(I23*'Récapitulatif '!$AJ$3),"")</f>
        <v/>
      </c>
      <c r="Y23" s="163" t="str">
        <f t="shared" si="6"/>
        <v/>
      </c>
      <c r="Z23" s="154" t="str">
        <f t="shared" si="16"/>
        <v/>
      </c>
      <c r="AA23" s="154" t="str">
        <f t="shared" si="7"/>
        <v/>
      </c>
      <c r="AB23" s="479" t="str">
        <f t="shared" si="23"/>
        <v/>
      </c>
      <c r="AC23" s="475" t="str">
        <f t="shared" si="17"/>
        <v/>
      </c>
      <c r="AD23" s="118" t="str">
        <f t="shared" si="18"/>
        <v/>
      </c>
      <c r="AE23" s="261" t="str">
        <f t="shared" si="19"/>
        <v/>
      </c>
      <c r="AF23" s="220" t="str">
        <f>+IF(AND(WEEKDAY(C23)=7,$C$4:$C$43=$C$64),"",IF(AND(WEEKDAY(C23)=1,$C$4:$C$43=$C$64),"",IF($C$4:$C$43=$C$64,'Récapitulatif '!$AJ$3,IF(AND(WEEKDAY(C23)=7,$C$4:$C$43=$C$64),"",IF(AND(WEEKDAY(C23)=1,$C$4:$C$43=$C$65),"",IF($C$4:$C$43=$C$65,'Récapitulatif '!$AJ$3,IF($C$4:$C$43=$C$66,'Récapitulatif '!$AJ$3,"")))))))</f>
        <v/>
      </c>
      <c r="AG23" s="118" t="str">
        <f t="shared" si="20"/>
        <v/>
      </c>
      <c r="AH23" s="261" t="str">
        <f t="shared" si="21"/>
        <v/>
      </c>
      <c r="AI23" s="328" t="str">
        <f t="shared" si="8"/>
        <v/>
      </c>
      <c r="AJ23" s="13" t="str">
        <f t="shared" si="9"/>
        <v/>
      </c>
    </row>
    <row r="24" spans="1:39">
      <c r="A24" s="482" t="str">
        <f>IF(WEEKDAY(C24,2)=1,INT((C24-SUM(MOD(DATE(YEAR(C24-MOD(C24-2,7)+3),1,2),{1E+99;7})*{1;-1})+5)/7),"")</f>
        <v/>
      </c>
      <c r="B24" s="482" t="str">
        <f>IF(A24&lt;&gt;"",VLOOKUP(A24,juin!$L$49:$M$101,2,FALSE),"")</f>
        <v/>
      </c>
      <c r="C24" s="215">
        <f t="shared" si="22"/>
        <v>43972</v>
      </c>
      <c r="D24" s="642"/>
      <c r="E24" s="633" t="str">
        <f t="shared" si="10"/>
        <v/>
      </c>
      <c r="F24" s="634" t="str">
        <f t="shared" si="11"/>
        <v/>
      </c>
      <c r="G24" s="626"/>
      <c r="H24" s="128" t="str">
        <f t="shared" si="0"/>
        <v/>
      </c>
      <c r="I24" s="127" t="str">
        <f t="shared" si="12"/>
        <v/>
      </c>
      <c r="J24" s="299"/>
      <c r="K24" s="86"/>
      <c r="L24" s="11"/>
      <c r="M24" s="11"/>
      <c r="N24" s="369"/>
      <c r="O24" s="371">
        <f t="shared" si="1"/>
        <v>0</v>
      </c>
      <c r="P24" s="73">
        <f t="shared" si="2"/>
        <v>0</v>
      </c>
      <c r="Q24" s="73">
        <f t="shared" si="3"/>
        <v>0</v>
      </c>
      <c r="R24" s="73">
        <f t="shared" si="4"/>
        <v>0</v>
      </c>
      <c r="S24" s="73">
        <v>0.2</v>
      </c>
      <c r="T24" s="73">
        <f t="shared" si="5"/>
        <v>0.33333333333333337</v>
      </c>
      <c r="U24" s="12" t="str">
        <f t="shared" si="13"/>
        <v/>
      </c>
      <c r="V24" s="372" t="e">
        <f t="shared" si="14"/>
        <v>#VALUE!</v>
      </c>
      <c r="W24" s="114" t="str">
        <f t="shared" si="15"/>
        <v/>
      </c>
      <c r="X24" s="161" t="str">
        <f>+IF(D24="cp",(I24*'Récapitulatif '!$AJ$3),"")</f>
        <v/>
      </c>
      <c r="Y24" s="163" t="str">
        <f t="shared" si="6"/>
        <v/>
      </c>
      <c r="Z24" s="154" t="str">
        <f t="shared" si="16"/>
        <v/>
      </c>
      <c r="AA24" s="154" t="str">
        <f t="shared" si="7"/>
        <v/>
      </c>
      <c r="AB24" s="479" t="str">
        <f t="shared" si="23"/>
        <v/>
      </c>
      <c r="AC24" s="475" t="str">
        <f t="shared" si="17"/>
        <v/>
      </c>
      <c r="AD24" s="118" t="str">
        <f t="shared" si="18"/>
        <v/>
      </c>
      <c r="AE24" s="261" t="str">
        <f t="shared" si="19"/>
        <v/>
      </c>
      <c r="AF24" s="220">
        <f>+IF(AND(WEEKDAY(C24)=7,$C$4:$C$43=$C$64),"",IF(AND(WEEKDAY(C24)=1,$C$4:$C$43=$C$64),"",IF($C$4:$C$43=$C$64,'Récapitulatif '!$AJ$3,IF(AND(WEEKDAY(C24)=7,$C$4:$C$43=$C$64),"",IF(AND(WEEKDAY(C24)=1,$C$4:$C$43=$C$65),"",IF($C$4:$C$43=$C$65,'Récapitulatif '!$AJ$3,IF($C$4:$C$43=$C$66,'Récapitulatif '!$AJ$3,"")))))))</f>
        <v>6.9</v>
      </c>
      <c r="AG24" s="118" t="str">
        <f t="shared" si="20"/>
        <v/>
      </c>
      <c r="AH24" s="261" t="str">
        <f t="shared" si="21"/>
        <v/>
      </c>
      <c r="AI24" s="328" t="str">
        <f t="shared" si="8"/>
        <v/>
      </c>
      <c r="AJ24" s="13" t="str">
        <f t="shared" si="9"/>
        <v/>
      </c>
    </row>
    <row r="25" spans="1:39">
      <c r="A25" s="482" t="str">
        <f>IF(WEEKDAY(C25,2)=1,INT((C25-SUM(MOD(DATE(YEAR(C25-MOD(C25-2,7)+3),1,2),{1E+99;7})*{1;-1})+5)/7),"")</f>
        <v/>
      </c>
      <c r="B25" s="482" t="str">
        <f>IF(A25&lt;&gt;"",VLOOKUP(A25,juin!$L$49:$M$101,2,FALSE),"")</f>
        <v/>
      </c>
      <c r="C25" s="215">
        <f t="shared" si="22"/>
        <v>43973</v>
      </c>
      <c r="D25" s="643"/>
      <c r="E25" s="633" t="str">
        <f t="shared" si="10"/>
        <v/>
      </c>
      <c r="F25" s="634" t="str">
        <f t="shared" si="11"/>
        <v/>
      </c>
      <c r="G25" s="626"/>
      <c r="H25" s="128" t="str">
        <f t="shared" si="0"/>
        <v/>
      </c>
      <c r="I25" s="127" t="str">
        <f t="shared" si="12"/>
        <v/>
      </c>
      <c r="J25" s="299"/>
      <c r="K25" s="86"/>
      <c r="L25" s="11"/>
      <c r="M25" s="11"/>
      <c r="N25" s="369"/>
      <c r="O25" s="371">
        <f t="shared" ref="O25:Q26" si="24">+((K25-INT(K25))/60*100)+INT(K25)</f>
        <v>0</v>
      </c>
      <c r="P25" s="73">
        <f t="shared" si="24"/>
        <v>0</v>
      </c>
      <c r="Q25" s="73">
        <f t="shared" si="24"/>
        <v>0</v>
      </c>
      <c r="R25" s="73">
        <f t="shared" si="4"/>
        <v>0</v>
      </c>
      <c r="S25" s="73">
        <v>0.2</v>
      </c>
      <c r="T25" s="73">
        <f t="shared" si="5"/>
        <v>0.33333333333333337</v>
      </c>
      <c r="U25" s="12" t="str">
        <f>+IF(D25="","",IF(D25="CP","",IF(D25="J2",((N25-M25)+(L25-K25)),IF(O25&lt;P25,P25-O25,P25+24-O25)-T25)))</f>
        <v/>
      </c>
      <c r="V25" s="372" t="e">
        <f>IF(O25&lt;P25,IF(K25="","",IF(O25&gt;$D$75,24-O25,IF(O25&lt;$D$76,$D$76-O25,0)))+IF(P25&lt;$D$76,P25,IF(P25&gt;$D$75,P25-$D$75,0)),IF(K25="","",IF(O25&gt;$D$75,24-O25,IF(O25&lt;$D$76,$D$76-O25,3)))+IF(P25&lt;$D$76,P25,IF(P25&gt;$D$75,24-P25,P25)))</f>
        <v>#VALUE!</v>
      </c>
      <c r="W25" s="114" t="str">
        <f>+IF(U25&gt;=6,U25,IF(D25="J2",((N25-M25)+(L25-K25)),IF(O25&lt;P25,P25-O25,P25+24-O25)))</f>
        <v/>
      </c>
      <c r="X25" s="161" t="str">
        <f>+IF(D25="cp",(I25*'Récapitulatif '!$AJ$3),"")</f>
        <v/>
      </c>
      <c r="Y25" s="163" t="str">
        <f t="shared" si="6"/>
        <v/>
      </c>
      <c r="Z25" s="154" t="str">
        <f t="shared" si="16"/>
        <v/>
      </c>
      <c r="AA25" s="154" t="str">
        <f t="shared" si="7"/>
        <v/>
      </c>
      <c r="AB25" s="479" t="str">
        <f t="shared" si="23"/>
        <v/>
      </c>
      <c r="AC25" s="475" t="str">
        <f>+IF(AND(WEEKDAY(C25)=7,D25="N"),(24-O25),IF(WEEKDAY(C25)=7,W25,IF(AND(WEEKDAY(C25)=6,D25="N"),(L25-0.33),IF(WEEKDAY(C25)=7,W25,""))))</f>
        <v/>
      </c>
      <c r="AD25" s="118" t="str">
        <f>+IF(AND(WEEKDAY(C25)=1,D25="N"),(24-O25),IF(WEEKDAY(C25)=1,W25,IF(AND(WEEKDAY(C25)=7,D25="N"),(L25-0.33),IF(WEEKDAY(C25)=1,W25,""))))</f>
        <v/>
      </c>
      <c r="AE25" s="261" t="str">
        <f t="shared" si="19"/>
        <v/>
      </c>
      <c r="AF25" s="220" t="str">
        <f>+IF(AND(WEEKDAY(C25)=7,$C$4:$C$43=$C$64),"",IF(AND(WEEKDAY(C25)=1,$C$4:$C$43=$C$64),"",IF($C$4:$C$43=$C$64,'Récapitulatif '!$AJ$3,IF(AND(WEEKDAY(C25)=7,$C$4:$C$43=$C$64),"",IF(AND(WEEKDAY(C25)=1,$C$4:$C$43=$C$65),"",IF($C$4:$C$43=$C$65,'Récapitulatif '!$AJ$3,IF($C$4:$C$43=$C$66,'Récapitulatif '!$AJ$3,"")))))))</f>
        <v/>
      </c>
      <c r="AG25" s="118" t="str">
        <f>+IF(AND($C$4:$C$43=($C$64-1),$D$4:$D$43="N"),($L25-$T25),IF(AND($C$4:$C$43=($C$64),$D$4:$D$43="N"),(24-$K25),IF(AND($C$4:$C$43=($C$65-1),$D$4:$D$43="N"),($L25-$T25),IF(AND($C$4:$C$43=($C$65),$D$4:$D$43="N"),(24-$K25),IF(OR($C$4:$C$43=($C$64),$C$4:$C$43=$C$65),$W25,"")))))</f>
        <v/>
      </c>
      <c r="AH25" s="261" t="str">
        <f>+IF(AND($C$4:$C$43=($C$66-1),$D$4:$D$43="N"),($L25-$T25),IF(AND($C$4:$C$43=($C$66),$D$4:$D$43="N"),(24-$K25),IF(AND($C$4:$C$43=($C$67-1),$D$4:$D$43="N"),($L25-$T25),IF(AND($C$4:$C$43=($C$67),$D$4:$D$43="N"),(24-$K25),IF(OR($C$4:$C$43=($C$66),$C$4:$C$43=$C$67),$W25,"")))))</f>
        <v/>
      </c>
      <c r="AI25" s="328" t="str">
        <f>IF(K25="","",IF(D25="J2","",IF(AJ25=1,"",IF(U25&gt;=6,1,""))))</f>
        <v/>
      </c>
      <c r="AJ25" s="13" t="str">
        <f>+IF(K25="","",IF(Y25&gt;=4,1,""))</f>
        <v/>
      </c>
    </row>
    <row r="26" spans="1:39">
      <c r="A26" s="482" t="str">
        <f>IF(WEEKDAY(C26,2)=1,INT((C26-SUM(MOD(DATE(YEAR(C26-MOD(C26-2,7)+3),1,2),{1E+99;7})*{1;-1})+5)/7),"")</f>
        <v/>
      </c>
      <c r="B26" s="482" t="str">
        <f>IF(A26&lt;&gt;"",VLOOKUP(A26,juin!$L$49:$M$101,2,FALSE),"")</f>
        <v/>
      </c>
      <c r="C26" s="215">
        <f t="shared" si="22"/>
        <v>43974</v>
      </c>
      <c r="D26" s="642"/>
      <c r="E26" s="633" t="str">
        <f t="shared" si="10"/>
        <v/>
      </c>
      <c r="F26" s="634" t="str">
        <f t="shared" si="11"/>
        <v/>
      </c>
      <c r="G26" s="626"/>
      <c r="H26" s="128" t="str">
        <f t="shared" si="0"/>
        <v/>
      </c>
      <c r="I26" s="127" t="str">
        <f t="shared" si="12"/>
        <v/>
      </c>
      <c r="J26" s="299"/>
      <c r="K26" s="86"/>
      <c r="L26" s="11"/>
      <c r="M26" s="11"/>
      <c r="N26" s="369"/>
      <c r="O26" s="371">
        <f t="shared" si="24"/>
        <v>0</v>
      </c>
      <c r="P26" s="73">
        <f t="shared" si="24"/>
        <v>0</v>
      </c>
      <c r="Q26" s="73">
        <f t="shared" si="24"/>
        <v>0</v>
      </c>
      <c r="R26" s="73">
        <f t="shared" si="4"/>
        <v>0</v>
      </c>
      <c r="S26" s="73">
        <v>0.2</v>
      </c>
      <c r="T26" s="73">
        <f t="shared" si="5"/>
        <v>0.33333333333333337</v>
      </c>
      <c r="U26" s="12" t="str">
        <f>+IF(D26="","",IF(D26="CP","",IF(D26="J2",((N26-M26)+(L26-K26)),IF(O26&lt;P26,P26-O26,P26+24-O26)-T26)))</f>
        <v/>
      </c>
      <c r="V26" s="372" t="e">
        <f>IF(O26&lt;P26,IF(K26="","",IF(O26&gt;$D$75,24-O26,IF(O26&lt;$D$76,$D$76-O26,0)))+IF(P26&lt;$D$76,P26,IF(P26&gt;$D$75,P26-$D$75,0)),IF(K26="","",IF(O26&gt;$D$75,24-O26,IF(O26&lt;$D$76,$D$76-O26,3)))+IF(P26&lt;$D$76,P26,IF(P26&gt;$D$75,24-P26,P26)))</f>
        <v>#VALUE!</v>
      </c>
      <c r="W26" s="114" t="str">
        <f>+IF(U26&gt;=6,U26,IF(D26="J2",((N26-M26)+(L26-K26)),IF(O26&lt;P26,P26-O26,P26+24-O26)))</f>
        <v/>
      </c>
      <c r="X26" s="161" t="str">
        <f>+IF(D26="cp",(I26*'Récapitulatif '!$AJ$3),"")</f>
        <v/>
      </c>
      <c r="Y26" s="163" t="str">
        <f t="shared" si="6"/>
        <v/>
      </c>
      <c r="Z26" s="154" t="str">
        <f t="shared" si="16"/>
        <v/>
      </c>
      <c r="AA26" s="154" t="str">
        <f t="shared" si="7"/>
        <v/>
      </c>
      <c r="AB26" s="479" t="str">
        <f t="shared" si="23"/>
        <v/>
      </c>
      <c r="AC26" s="475" t="str">
        <f>+IF(AND(WEEKDAY(C26)=7,D26="N"),(24-O26),IF(WEEKDAY(C26)=7,W26,IF(AND(WEEKDAY(C26)=6,D26="N"),(L26-0.33),IF(WEEKDAY(C26)=7,W26,""))))</f>
        <v/>
      </c>
      <c r="AD26" s="118" t="str">
        <f>+IF(AND(WEEKDAY(C26)=1,D26="N"),(24-O26),IF(WEEKDAY(C26)=1,W26,IF(AND(WEEKDAY(C26)=7,D26="N"),(L26-0.33),IF(WEEKDAY(C26)=1,W26,""))))</f>
        <v/>
      </c>
      <c r="AE26" s="261" t="str">
        <f t="shared" si="19"/>
        <v/>
      </c>
      <c r="AF26" s="220" t="str">
        <f>+IF(AND(WEEKDAY(C26)=7,$C$4:$C$43=$C$64),"",IF(AND(WEEKDAY(C26)=1,$C$4:$C$43=$C$64),"",IF($C$4:$C$43=$C$64,'Récapitulatif '!$AJ$3,IF(AND(WEEKDAY(C26)=7,$C$4:$C$43=$C$64),"",IF(AND(WEEKDAY(C26)=1,$C$4:$C$43=$C$65),"",IF($C$4:$C$43=$C$65,'Récapitulatif '!$AJ$3,IF($C$4:$C$43=$C$66,'Récapitulatif '!$AJ$3,"")))))))</f>
        <v/>
      </c>
      <c r="AG26" s="118" t="str">
        <f>+IF(AND($C$4:$C$43=($C$64-1),$D$4:$D$43="N"),($L26-$T26),IF(AND($C$4:$C$43=($C$64),$D$4:$D$43="N"),(24-$K26),IF(AND($C$4:$C$43=($C$65-1),$D$4:$D$43="N"),($L26-$T26),IF(AND($C$4:$C$43=($C$65),$D$4:$D$43="N"),(24-$K26),IF(OR($C$4:$C$43=($C$64),$C$4:$C$43=$C$65),$W26,"")))))</f>
        <v/>
      </c>
      <c r="AH26" s="261" t="str">
        <f>+IF(AND($C$4:$C$43=($C$66-1),$D$4:$D$43="N"),($L26-$T26),IF(AND($C$4:$C$43=($C$66),$D$4:$D$43="N"),(24-$K26),IF(AND($C$4:$C$43=($C$67-1),$D$4:$D$43="N"),($L26-$T26),IF(AND($C$4:$C$43=($C$67),$D$4:$D$43="N"),(24-$K26),IF(OR($C$4:$C$43=($C$66),$C$4:$C$43=$C$67),$W26,"")))))</f>
        <v/>
      </c>
      <c r="AI26" s="328" t="str">
        <f>IF(K26="","",IF(D26="J2","",IF(AJ26=1,"",IF(U26&gt;=6,1,""))))</f>
        <v/>
      </c>
      <c r="AJ26" s="13" t="str">
        <f>+IF(K26="","",IF(Y26&gt;=4,1,""))</f>
        <v/>
      </c>
    </row>
    <row r="27" spans="1:39">
      <c r="A27" s="482" t="str">
        <f>IF(WEEKDAY(C27,2)=1,INT((C27-SUM(MOD(DATE(YEAR(C27-MOD(C27-2,7)+3),1,2),{1E+99;7})*{1;-1})+5)/7),"")</f>
        <v/>
      </c>
      <c r="B27" s="482" t="str">
        <f>IF(A27&lt;&gt;"",VLOOKUP(A27,juin!$L$49:$M$101,2,FALSE),"")</f>
        <v/>
      </c>
      <c r="C27" s="215">
        <f t="shared" si="22"/>
        <v>43975</v>
      </c>
      <c r="D27" s="642"/>
      <c r="E27" s="633" t="str">
        <f t="shared" si="10"/>
        <v/>
      </c>
      <c r="F27" s="634" t="str">
        <f t="shared" si="11"/>
        <v/>
      </c>
      <c r="G27" s="626"/>
      <c r="H27" s="128" t="str">
        <f t="shared" si="0"/>
        <v/>
      </c>
      <c r="I27" s="127" t="str">
        <f t="shared" si="12"/>
        <v/>
      </c>
      <c r="J27" s="299"/>
      <c r="K27" s="86"/>
      <c r="L27" s="11"/>
      <c r="M27" s="11"/>
      <c r="N27" s="369"/>
      <c r="O27" s="371">
        <f t="shared" si="1"/>
        <v>0</v>
      </c>
      <c r="P27" s="73">
        <f t="shared" si="2"/>
        <v>0</v>
      </c>
      <c r="Q27" s="73">
        <f t="shared" si="3"/>
        <v>0</v>
      </c>
      <c r="R27" s="73">
        <f t="shared" si="4"/>
        <v>0</v>
      </c>
      <c r="S27" s="73">
        <v>0.2</v>
      </c>
      <c r="T27" s="73">
        <f t="shared" si="5"/>
        <v>0.33333333333333337</v>
      </c>
      <c r="U27" s="12" t="str">
        <f t="shared" si="13"/>
        <v/>
      </c>
      <c r="V27" s="372" t="e">
        <f t="shared" si="14"/>
        <v>#VALUE!</v>
      </c>
      <c r="W27" s="114" t="str">
        <f t="shared" si="15"/>
        <v/>
      </c>
      <c r="X27" s="161" t="str">
        <f>+IF(D27="cp",(I27*'Récapitulatif '!$AJ$3),"")</f>
        <v/>
      </c>
      <c r="Y27" s="163" t="str">
        <f t="shared" si="6"/>
        <v/>
      </c>
      <c r="Z27" s="154" t="str">
        <f t="shared" si="16"/>
        <v/>
      </c>
      <c r="AA27" s="154" t="str">
        <f t="shared" si="7"/>
        <v/>
      </c>
      <c r="AB27" s="479">
        <f t="shared" si="23"/>
        <v>0</v>
      </c>
      <c r="AC27" s="475" t="str">
        <f t="shared" si="17"/>
        <v/>
      </c>
      <c r="AD27" s="118" t="str">
        <f t="shared" si="18"/>
        <v/>
      </c>
      <c r="AE27" s="261" t="str">
        <f t="shared" si="19"/>
        <v/>
      </c>
      <c r="AF27" s="220" t="str">
        <f>+IF(AND(WEEKDAY(C27)=7,$C$4:$C$43=$C$64),"",IF(AND(WEEKDAY(C27)=1,$C$4:$C$43=$C$64),"",IF($C$4:$C$43=$C$64,'Récapitulatif '!$AJ$3,IF(AND(WEEKDAY(C27)=7,$C$4:$C$43=$C$64),"",IF(AND(WEEKDAY(C27)=1,$C$4:$C$43=$C$65),"",IF($C$4:$C$43=$C$65,'Récapitulatif '!$AJ$3,IF($C$4:$C$43=$C$66,'Récapitulatif '!$AJ$3,"")))))))</f>
        <v/>
      </c>
      <c r="AG27" s="118" t="str">
        <f t="shared" si="20"/>
        <v/>
      </c>
      <c r="AH27" s="261" t="str">
        <f t="shared" si="21"/>
        <v/>
      </c>
      <c r="AI27" s="328" t="str">
        <f t="shared" si="8"/>
        <v/>
      </c>
      <c r="AJ27" s="13" t="str">
        <f t="shared" si="9"/>
        <v/>
      </c>
    </row>
    <row r="28" spans="1:39">
      <c r="A28" s="482">
        <f>IF(WEEKDAY(C28,2)=1,INT((C28-SUM(MOD(DATE(YEAR(C28-MOD(C28-2,7)+3),1,2),{1E+99;7})*{1;-1})+5)/7),"")</f>
        <v>22</v>
      </c>
      <c r="B28" s="482" t="str">
        <f>IF(A28&lt;&gt;"",VLOOKUP(A28,juin!$L$49:$M$101,2,FALSE),"")</f>
        <v>A - Midi</v>
      </c>
      <c r="C28" s="215">
        <f t="shared" si="22"/>
        <v>43976</v>
      </c>
      <c r="D28" s="642"/>
      <c r="E28" s="633" t="str">
        <f t="shared" si="10"/>
        <v/>
      </c>
      <c r="F28" s="634" t="str">
        <f t="shared" si="11"/>
        <v/>
      </c>
      <c r="G28" s="626"/>
      <c r="H28" s="128" t="str">
        <f t="shared" si="0"/>
        <v/>
      </c>
      <c r="I28" s="127" t="str">
        <f t="shared" si="12"/>
        <v/>
      </c>
      <c r="J28" s="299"/>
      <c r="K28" s="86"/>
      <c r="L28" s="11"/>
      <c r="M28" s="11"/>
      <c r="N28" s="369"/>
      <c r="O28" s="371">
        <f t="shared" si="1"/>
        <v>0</v>
      </c>
      <c r="P28" s="73">
        <f t="shared" si="2"/>
        <v>0</v>
      </c>
      <c r="Q28" s="73">
        <f t="shared" si="3"/>
        <v>0</v>
      </c>
      <c r="R28" s="73">
        <f t="shared" si="4"/>
        <v>0</v>
      </c>
      <c r="S28" s="73">
        <v>0.2</v>
      </c>
      <c r="T28" s="73">
        <f t="shared" si="5"/>
        <v>0.33333333333333337</v>
      </c>
      <c r="U28" s="12" t="str">
        <f t="shared" si="13"/>
        <v/>
      </c>
      <c r="V28" s="372" t="e">
        <f t="shared" si="14"/>
        <v>#VALUE!</v>
      </c>
      <c r="W28" s="114" t="str">
        <f t="shared" si="15"/>
        <v/>
      </c>
      <c r="X28" s="161" t="str">
        <f>+IF(D28="cp",(I28*'Récapitulatif '!$AJ$3),"")</f>
        <v/>
      </c>
      <c r="Y28" s="163" t="str">
        <f t="shared" si="6"/>
        <v/>
      </c>
      <c r="Z28" s="154" t="str">
        <f t="shared" si="16"/>
        <v/>
      </c>
      <c r="AA28" s="154" t="str">
        <f t="shared" si="7"/>
        <v/>
      </c>
      <c r="AB28" s="479" t="str">
        <f t="shared" si="23"/>
        <v/>
      </c>
      <c r="AC28" s="475" t="str">
        <f t="shared" si="17"/>
        <v/>
      </c>
      <c r="AD28" s="118" t="str">
        <f t="shared" si="18"/>
        <v/>
      </c>
      <c r="AE28" s="261" t="str">
        <f t="shared" si="19"/>
        <v/>
      </c>
      <c r="AF28" s="220" t="str">
        <f>+IF(AND(WEEKDAY(C28)=7,$C$4:$C$43=$C$64),"",IF(AND(WEEKDAY(C28)=1,$C$4:$C$43=$C$64),"",IF($C$4:$C$43=$C$64,'Récapitulatif '!$AJ$3,IF(AND(WEEKDAY(C28)=7,$C$4:$C$43=$C$64),"",IF(AND(WEEKDAY(C28)=1,$C$4:$C$43=$C$65),"",IF($C$4:$C$43=$C$65,'Récapitulatif '!$AJ$3,IF($C$4:$C$43=$C$66,'Récapitulatif '!$AJ$3,"")))))))</f>
        <v/>
      </c>
      <c r="AG28" s="118" t="str">
        <f t="shared" si="20"/>
        <v/>
      </c>
      <c r="AH28" s="261" t="str">
        <f t="shared" si="21"/>
        <v/>
      </c>
      <c r="AI28" s="328" t="str">
        <f t="shared" si="8"/>
        <v/>
      </c>
      <c r="AJ28" s="13" t="str">
        <f t="shared" si="9"/>
        <v/>
      </c>
    </row>
    <row r="29" spans="1:39">
      <c r="A29" s="482" t="str">
        <f>IF(WEEKDAY(C29,2)=1,INT((C29-SUM(MOD(DATE(YEAR(C29-MOD(C29-2,7)+3),1,2),{1E+99;7})*{1;-1})+5)/7),"")</f>
        <v/>
      </c>
      <c r="B29" s="482" t="str">
        <f>IF(A29&lt;&gt;"",VLOOKUP(A29,juin!$L$49:$M$101,2,FALSE),"")</f>
        <v/>
      </c>
      <c r="C29" s="215">
        <f t="shared" si="22"/>
        <v>43977</v>
      </c>
      <c r="D29" s="642"/>
      <c r="E29" s="633" t="str">
        <f t="shared" si="10"/>
        <v/>
      </c>
      <c r="F29" s="634" t="str">
        <f t="shared" si="11"/>
        <v/>
      </c>
      <c r="G29" s="626"/>
      <c r="H29" s="128" t="str">
        <f t="shared" si="0"/>
        <v/>
      </c>
      <c r="I29" s="127" t="str">
        <f t="shared" si="12"/>
        <v/>
      </c>
      <c r="J29" s="299"/>
      <c r="K29" s="86"/>
      <c r="L29" s="11"/>
      <c r="M29" s="11"/>
      <c r="N29" s="369"/>
      <c r="O29" s="371">
        <f t="shared" si="1"/>
        <v>0</v>
      </c>
      <c r="P29" s="73">
        <f t="shared" si="2"/>
        <v>0</v>
      </c>
      <c r="Q29" s="73">
        <f t="shared" si="3"/>
        <v>0</v>
      </c>
      <c r="R29" s="73">
        <f t="shared" si="4"/>
        <v>0</v>
      </c>
      <c r="S29" s="73">
        <v>0.2</v>
      </c>
      <c r="T29" s="73">
        <f t="shared" si="5"/>
        <v>0.33333333333333337</v>
      </c>
      <c r="U29" s="12" t="str">
        <f t="shared" si="13"/>
        <v/>
      </c>
      <c r="V29" s="372" t="e">
        <f t="shared" si="14"/>
        <v>#VALUE!</v>
      </c>
      <c r="W29" s="114" t="str">
        <f t="shared" si="15"/>
        <v/>
      </c>
      <c r="X29" s="161" t="str">
        <f>+IF(D29="cp",(I29*'Récapitulatif '!$AJ$3),"")</f>
        <v/>
      </c>
      <c r="Y29" s="163" t="str">
        <f t="shared" si="6"/>
        <v/>
      </c>
      <c r="Z29" s="154" t="str">
        <f t="shared" si="16"/>
        <v/>
      </c>
      <c r="AA29" s="154" t="str">
        <f t="shared" si="7"/>
        <v/>
      </c>
      <c r="AB29" s="479" t="str">
        <f t="shared" si="23"/>
        <v/>
      </c>
      <c r="AC29" s="475" t="str">
        <f t="shared" si="17"/>
        <v/>
      </c>
      <c r="AD29" s="118" t="str">
        <f t="shared" si="18"/>
        <v/>
      </c>
      <c r="AE29" s="261" t="str">
        <f t="shared" si="19"/>
        <v/>
      </c>
      <c r="AF29" s="220" t="str">
        <f>+IF(AND(WEEKDAY(C29)=7,$C$4:$C$43=$C$64),"",IF(AND(WEEKDAY(C29)=1,$C$4:$C$43=$C$64),"",IF($C$4:$C$43=$C$64,'Récapitulatif '!$AJ$3,IF(AND(WEEKDAY(C29)=7,$C$4:$C$43=$C$64),"",IF(AND(WEEKDAY(C29)=1,$C$4:$C$43=$C$65),"",IF($C$4:$C$43=$C$65,'Récapitulatif '!$AJ$3,IF($C$4:$C$43=$C$66,'Récapitulatif '!$AJ$3,"")))))))</f>
        <v/>
      </c>
      <c r="AG29" s="118" t="str">
        <f t="shared" si="20"/>
        <v/>
      </c>
      <c r="AH29" s="261" t="str">
        <f t="shared" si="21"/>
        <v/>
      </c>
      <c r="AI29" s="328" t="str">
        <f t="shared" si="8"/>
        <v/>
      </c>
      <c r="AJ29" s="13" t="str">
        <f t="shared" si="9"/>
        <v/>
      </c>
    </row>
    <row r="30" spans="1:39">
      <c r="A30" s="482" t="str">
        <f>IF(WEEKDAY(C30,2)=1,INT((C30-SUM(MOD(DATE(YEAR(C30-MOD(C30-2,7)+3),1,2),{1E+99;7})*{1;-1})+5)/7),"")</f>
        <v/>
      </c>
      <c r="B30" s="482" t="str">
        <f>IF(A30&lt;&gt;"",VLOOKUP(A30,juin!$L$49:$M$101,2,FALSE),"")</f>
        <v/>
      </c>
      <c r="C30" s="215">
        <f t="shared" si="22"/>
        <v>43978</v>
      </c>
      <c r="D30" s="642"/>
      <c r="E30" s="633" t="str">
        <f t="shared" si="10"/>
        <v/>
      </c>
      <c r="F30" s="634" t="str">
        <f t="shared" si="11"/>
        <v/>
      </c>
      <c r="G30" s="626"/>
      <c r="H30" s="128" t="str">
        <f t="shared" si="0"/>
        <v/>
      </c>
      <c r="I30" s="127" t="str">
        <f t="shared" si="12"/>
        <v/>
      </c>
      <c r="J30" s="299"/>
      <c r="K30" s="86"/>
      <c r="L30" s="11"/>
      <c r="M30" s="11"/>
      <c r="N30" s="369"/>
      <c r="O30" s="371">
        <f t="shared" si="1"/>
        <v>0</v>
      </c>
      <c r="P30" s="73">
        <f t="shared" si="2"/>
        <v>0</v>
      </c>
      <c r="Q30" s="73">
        <f t="shared" si="3"/>
        <v>0</v>
      </c>
      <c r="R30" s="73">
        <f t="shared" si="4"/>
        <v>0</v>
      </c>
      <c r="S30" s="73">
        <v>0.2</v>
      </c>
      <c r="T30" s="73">
        <f t="shared" si="5"/>
        <v>0.33333333333333337</v>
      </c>
      <c r="U30" s="12" t="str">
        <f t="shared" si="13"/>
        <v/>
      </c>
      <c r="V30" s="372" t="e">
        <f t="shared" si="14"/>
        <v>#VALUE!</v>
      </c>
      <c r="W30" s="114" t="str">
        <f t="shared" si="15"/>
        <v/>
      </c>
      <c r="X30" s="161" t="str">
        <f>+IF(D30="cp",(I30*'Récapitulatif '!$AJ$3),"")</f>
        <v/>
      </c>
      <c r="Y30" s="163" t="str">
        <f t="shared" si="6"/>
        <v/>
      </c>
      <c r="Z30" s="154" t="str">
        <f t="shared" si="16"/>
        <v/>
      </c>
      <c r="AA30" s="154" t="str">
        <f t="shared" si="7"/>
        <v/>
      </c>
      <c r="AB30" s="479" t="str">
        <f t="shared" si="23"/>
        <v/>
      </c>
      <c r="AC30" s="475" t="str">
        <f t="shared" si="17"/>
        <v/>
      </c>
      <c r="AD30" s="118" t="str">
        <f t="shared" si="18"/>
        <v/>
      </c>
      <c r="AE30" s="261" t="str">
        <f t="shared" si="19"/>
        <v/>
      </c>
      <c r="AF30" s="220" t="str">
        <f>+IF(AND(WEEKDAY(C30)=7,$C$4:$C$43=$C$64),"",IF(AND(WEEKDAY(C30)=1,$C$4:$C$43=$C$64),"",IF($C$4:$C$43=$C$64,'Récapitulatif '!$AJ$3,IF(AND(WEEKDAY(C30)=7,$C$4:$C$43=$C$64),"",IF(AND(WEEKDAY(C30)=1,$C$4:$C$43=$C$65),"",IF($C$4:$C$43=$C$65,'Récapitulatif '!$AJ$3,IF($C$4:$C$43=$C$66,'Récapitulatif '!$AJ$3,"")))))))</f>
        <v/>
      </c>
      <c r="AG30" s="118" t="str">
        <f t="shared" si="20"/>
        <v/>
      </c>
      <c r="AH30" s="261" t="str">
        <f t="shared" si="21"/>
        <v/>
      </c>
      <c r="AI30" s="328" t="str">
        <f t="shared" si="8"/>
        <v/>
      </c>
      <c r="AJ30" s="13" t="str">
        <f t="shared" si="9"/>
        <v/>
      </c>
    </row>
    <row r="31" spans="1:39">
      <c r="A31" s="482" t="str">
        <f>IF(WEEKDAY(C31,2)=1,INT((C31-SUM(MOD(DATE(YEAR(C31-MOD(C31-2,7)+3),1,2),{1E+99;7})*{1;-1})+5)/7),"")</f>
        <v/>
      </c>
      <c r="B31" s="482" t="str">
        <f>IF(A31&lt;&gt;"",VLOOKUP(A31,juin!$L$49:$M$101,2,FALSE),"")</f>
        <v/>
      </c>
      <c r="C31" s="215">
        <f t="shared" si="22"/>
        <v>43979</v>
      </c>
      <c r="D31" s="642"/>
      <c r="E31" s="633" t="str">
        <f t="shared" si="10"/>
        <v/>
      </c>
      <c r="F31" s="634" t="str">
        <f t="shared" si="11"/>
        <v/>
      </c>
      <c r="G31" s="626"/>
      <c r="H31" s="128" t="str">
        <f t="shared" si="0"/>
        <v/>
      </c>
      <c r="I31" s="127" t="str">
        <f t="shared" si="12"/>
        <v/>
      </c>
      <c r="J31" s="299"/>
      <c r="K31" s="86"/>
      <c r="L31" s="11"/>
      <c r="M31" s="11"/>
      <c r="N31" s="369"/>
      <c r="O31" s="371">
        <f t="shared" si="1"/>
        <v>0</v>
      </c>
      <c r="P31" s="73">
        <f t="shared" si="2"/>
        <v>0</v>
      </c>
      <c r="Q31" s="73">
        <f t="shared" si="3"/>
        <v>0</v>
      </c>
      <c r="R31" s="73">
        <f t="shared" si="4"/>
        <v>0</v>
      </c>
      <c r="S31" s="73">
        <v>0.2</v>
      </c>
      <c r="T31" s="73">
        <f t="shared" si="5"/>
        <v>0.33333333333333337</v>
      </c>
      <c r="U31" s="12" t="str">
        <f t="shared" si="13"/>
        <v/>
      </c>
      <c r="V31" s="372" t="e">
        <f t="shared" si="14"/>
        <v>#VALUE!</v>
      </c>
      <c r="W31" s="114" t="str">
        <f t="shared" si="15"/>
        <v/>
      </c>
      <c r="X31" s="161" t="str">
        <f>+IF(D31="cp",(I31*'Récapitulatif '!$AJ$3),"")</f>
        <v/>
      </c>
      <c r="Y31" s="163" t="str">
        <f t="shared" si="6"/>
        <v/>
      </c>
      <c r="Z31" s="154" t="str">
        <f t="shared" si="16"/>
        <v/>
      </c>
      <c r="AA31" s="154" t="str">
        <f t="shared" si="7"/>
        <v/>
      </c>
      <c r="AB31" s="479" t="str">
        <f t="shared" si="23"/>
        <v/>
      </c>
      <c r="AC31" s="475" t="str">
        <f t="shared" si="17"/>
        <v/>
      </c>
      <c r="AD31" s="118" t="str">
        <f t="shared" si="18"/>
        <v/>
      </c>
      <c r="AE31" s="261" t="str">
        <f t="shared" si="19"/>
        <v/>
      </c>
      <c r="AF31" s="220" t="str">
        <f>+IF(AND(WEEKDAY(C31)=7,$C$4:$C$43=$C$64),"",IF(AND(WEEKDAY(C31)=1,$C$4:$C$43=$C$64),"",IF($C$4:$C$43=$C$64,'Récapitulatif '!$AJ$3,IF(AND(WEEKDAY(C31)=7,$C$4:$C$43=$C$64),"",IF(AND(WEEKDAY(C31)=1,$C$4:$C$43=$C$65),"",IF($C$4:$C$43=$C$65,'Récapitulatif '!$AJ$3,IF($C$4:$C$43=$C$66,'Récapitulatif '!$AJ$3,"")))))))</f>
        <v/>
      </c>
      <c r="AG31" s="118" t="str">
        <f t="shared" si="20"/>
        <v/>
      </c>
      <c r="AH31" s="261" t="str">
        <f t="shared" si="21"/>
        <v/>
      </c>
      <c r="AI31" s="328" t="str">
        <f t="shared" si="8"/>
        <v/>
      </c>
      <c r="AJ31" s="13" t="str">
        <f t="shared" si="9"/>
        <v/>
      </c>
    </row>
    <row r="32" spans="1:39">
      <c r="A32" s="482" t="str">
        <f>IF(WEEKDAY(C32,2)=1,INT((C32-SUM(MOD(DATE(YEAR(C32-MOD(C32-2,7)+3),1,2),{1E+99;7})*{1;-1})+5)/7),"")</f>
        <v/>
      </c>
      <c r="B32" s="482" t="str">
        <f>IF(A32&lt;&gt;"",VLOOKUP(A32,juin!$L$49:$M$101,2,FALSE),"")</f>
        <v/>
      </c>
      <c r="C32" s="215">
        <f>+IF(MONTH(C$31+1)=MONTH(C$31)+1,"",C$31+1)</f>
        <v>43980</v>
      </c>
      <c r="D32" s="642"/>
      <c r="E32" s="633" t="str">
        <f t="shared" si="10"/>
        <v/>
      </c>
      <c r="F32" s="634" t="str">
        <f t="shared" si="11"/>
        <v/>
      </c>
      <c r="G32" s="626"/>
      <c r="H32" s="128" t="str">
        <f t="shared" si="0"/>
        <v/>
      </c>
      <c r="I32" s="127" t="str">
        <f t="shared" si="12"/>
        <v/>
      </c>
      <c r="J32" s="299"/>
      <c r="K32" s="86"/>
      <c r="L32" s="11"/>
      <c r="M32" s="11"/>
      <c r="N32" s="369"/>
      <c r="O32" s="371">
        <f t="shared" si="1"/>
        <v>0</v>
      </c>
      <c r="P32" s="73">
        <f t="shared" si="2"/>
        <v>0</v>
      </c>
      <c r="Q32" s="73">
        <f t="shared" si="3"/>
        <v>0</v>
      </c>
      <c r="R32" s="73">
        <f t="shared" si="4"/>
        <v>0</v>
      </c>
      <c r="S32" s="73">
        <v>0.2</v>
      </c>
      <c r="T32" s="73">
        <f t="shared" si="5"/>
        <v>0.33333333333333337</v>
      </c>
      <c r="U32" s="12" t="str">
        <f t="shared" si="13"/>
        <v/>
      </c>
      <c r="V32" s="372" t="e">
        <f t="shared" si="14"/>
        <v>#VALUE!</v>
      </c>
      <c r="W32" s="114" t="str">
        <f t="shared" si="15"/>
        <v/>
      </c>
      <c r="X32" s="161" t="str">
        <f>+IF(D32="cp",(I32*'Récapitulatif '!$AJ$3),"")</f>
        <v/>
      </c>
      <c r="Y32" s="163" t="str">
        <f t="shared" si="6"/>
        <v/>
      </c>
      <c r="Z32" s="154" t="str">
        <f t="shared" si="16"/>
        <v/>
      </c>
      <c r="AA32" s="154" t="str">
        <f t="shared" si="7"/>
        <v/>
      </c>
      <c r="AB32" s="479" t="str">
        <f t="shared" si="23"/>
        <v/>
      </c>
      <c r="AC32" s="475" t="str">
        <f t="shared" si="17"/>
        <v/>
      </c>
      <c r="AD32" s="118" t="str">
        <f t="shared" si="18"/>
        <v/>
      </c>
      <c r="AE32" s="261" t="str">
        <f t="shared" si="19"/>
        <v/>
      </c>
      <c r="AF32" s="220" t="str">
        <f>+IF(AND(WEEKDAY(C32)=7,$C$4:$C$43=$C$64),"",IF(AND(WEEKDAY(C32)=1,$C$4:$C$43=$C$64),"",IF($C$4:$C$43=$C$64,'Récapitulatif '!$AJ$3,IF(AND(WEEKDAY(C32)=7,$C$4:$C$43=$C$64),"",IF(AND(WEEKDAY(C32)=1,$C$4:$C$43=$C$65),"",IF($C$4:$C$43=$C$65,'Récapitulatif '!$AJ$3,IF($C$4:$C$43=$C$66,'Récapitulatif '!$AJ$3,"")))))))</f>
        <v/>
      </c>
      <c r="AG32" s="118" t="str">
        <f t="shared" si="20"/>
        <v/>
      </c>
      <c r="AH32" s="261" t="str">
        <f t="shared" si="21"/>
        <v/>
      </c>
      <c r="AI32" s="328" t="str">
        <f t="shared" si="8"/>
        <v/>
      </c>
      <c r="AJ32" s="13" t="str">
        <f t="shared" si="9"/>
        <v/>
      </c>
    </row>
    <row r="33" spans="1:40">
      <c r="A33" s="482" t="str">
        <f>IF(WEEKDAY(C33,2)=1,INT((C33-SUM(MOD(DATE(YEAR(C33-MOD(C33-2,7)+3),1,2),{1E+99;7})*{1;-1})+5)/7),"")</f>
        <v/>
      </c>
      <c r="B33" s="482" t="str">
        <f>IF(A33&lt;&gt;"",VLOOKUP(A33,juin!$L$49:$M$101,2,FALSE),"")</f>
        <v/>
      </c>
      <c r="C33" s="215">
        <f>+IF(MONTH(C$31+2)=MONTH(C$31)+1,"",C$31+2)</f>
        <v>43981</v>
      </c>
      <c r="D33" s="642"/>
      <c r="E33" s="633" t="str">
        <f t="shared" si="10"/>
        <v/>
      </c>
      <c r="F33" s="634" t="str">
        <f t="shared" si="11"/>
        <v/>
      </c>
      <c r="G33" s="626"/>
      <c r="H33" s="128" t="str">
        <f t="shared" si="0"/>
        <v/>
      </c>
      <c r="I33" s="127" t="str">
        <f t="shared" si="12"/>
        <v/>
      </c>
      <c r="J33" s="299"/>
      <c r="K33" s="86"/>
      <c r="L33" s="11"/>
      <c r="M33" s="11"/>
      <c r="N33" s="369"/>
      <c r="O33" s="371">
        <f t="shared" si="1"/>
        <v>0</v>
      </c>
      <c r="P33" s="73">
        <f t="shared" si="2"/>
        <v>0</v>
      </c>
      <c r="Q33" s="73">
        <f t="shared" si="3"/>
        <v>0</v>
      </c>
      <c r="R33" s="73">
        <f t="shared" si="4"/>
        <v>0</v>
      </c>
      <c r="S33" s="73">
        <v>0.2</v>
      </c>
      <c r="T33" s="73">
        <f t="shared" si="5"/>
        <v>0.33333333333333337</v>
      </c>
      <c r="U33" s="12" t="str">
        <f t="shared" si="13"/>
        <v/>
      </c>
      <c r="V33" s="372" t="e">
        <f t="shared" si="14"/>
        <v>#VALUE!</v>
      </c>
      <c r="W33" s="114" t="str">
        <f t="shared" si="15"/>
        <v/>
      </c>
      <c r="X33" s="161" t="str">
        <f>+IF(D33="cp",(I33*'Récapitulatif '!$AJ$3),"")</f>
        <v/>
      </c>
      <c r="Y33" s="163" t="str">
        <f t="shared" si="6"/>
        <v/>
      </c>
      <c r="Z33" s="154" t="str">
        <f t="shared" si="16"/>
        <v/>
      </c>
      <c r="AA33" s="154" t="str">
        <f t="shared" si="7"/>
        <v/>
      </c>
      <c r="AB33" s="479" t="str">
        <f t="shared" si="23"/>
        <v/>
      </c>
      <c r="AC33" s="475" t="str">
        <f t="shared" si="17"/>
        <v/>
      </c>
      <c r="AD33" s="118" t="str">
        <f t="shared" si="18"/>
        <v/>
      </c>
      <c r="AE33" s="261" t="str">
        <f t="shared" si="19"/>
        <v/>
      </c>
      <c r="AF33" s="220" t="str">
        <f>+IF(AND(WEEKDAY(C33)=7,$C$4:$C$43=$C$64),"",IF(AND(WEEKDAY(C33)=1,$C$4:$C$43=$C$64),"",IF($C$4:$C$43=$C$64,'Récapitulatif '!$AJ$3,IF(AND(WEEKDAY(C33)=7,$C$4:$C$43=$C$64),"",IF(AND(WEEKDAY(C33)=1,$C$4:$C$43=$C$65),"",IF($C$4:$C$43=$C$65,'Récapitulatif '!$AJ$3,IF($C$4:$C$43=$C$66,'Récapitulatif '!$AJ$3,"")))))))</f>
        <v/>
      </c>
      <c r="AG33" s="118" t="str">
        <f t="shared" si="20"/>
        <v/>
      </c>
      <c r="AH33" s="261" t="str">
        <f t="shared" si="21"/>
        <v/>
      </c>
      <c r="AI33" s="328" t="str">
        <f t="shared" si="8"/>
        <v/>
      </c>
      <c r="AJ33" s="13" t="str">
        <f t="shared" si="9"/>
        <v/>
      </c>
    </row>
    <row r="34" spans="1:40" ht="13.5" thickBot="1">
      <c r="A34" s="482" t="str">
        <f>IF(WEEKDAY(C34,2)=1,INT((C34-SUM(MOD(DATE(YEAR(C34-MOD(C34-2,7)+3),1,2),{1E+99;7})*{1;-1})+5)/7),"")</f>
        <v/>
      </c>
      <c r="B34" s="482" t="str">
        <f>IF(A34&lt;&gt;"",VLOOKUP(A34,juin!$L$49:$M$101,2,FALSE),"")</f>
        <v/>
      </c>
      <c r="C34" s="216">
        <f>+IF(MONTH(C$31+3)=MONTH(C$31)+1,"",C$31+3)</f>
        <v>43982</v>
      </c>
      <c r="D34" s="644"/>
      <c r="E34" s="635" t="str">
        <f t="shared" si="10"/>
        <v/>
      </c>
      <c r="F34" s="636" t="str">
        <f t="shared" si="11"/>
        <v/>
      </c>
      <c r="G34" s="627"/>
      <c r="H34" s="128" t="str">
        <f t="shared" si="0"/>
        <v/>
      </c>
      <c r="I34" s="127" t="str">
        <f t="shared" si="12"/>
        <v/>
      </c>
      <c r="J34" s="300"/>
      <c r="K34" s="87"/>
      <c r="L34" s="14"/>
      <c r="M34" s="14"/>
      <c r="N34" s="370"/>
      <c r="O34" s="373">
        <f>+((K34-INT(K34))/60*100)+INT(K34)</f>
        <v>0</v>
      </c>
      <c r="P34" s="202">
        <f>+((L34-INT(L34))/60*100)+INT(L34)</f>
        <v>0</v>
      </c>
      <c r="Q34" s="202">
        <f>+((M34-INT(M34))/60*100)+INT(M34)</f>
        <v>0</v>
      </c>
      <c r="R34" s="202">
        <f>+((N34-INT(N34))/60*100)+INT(N34)</f>
        <v>0</v>
      </c>
      <c r="S34" s="73">
        <v>0.2</v>
      </c>
      <c r="T34" s="202">
        <f t="shared" si="5"/>
        <v>0.33333333333333337</v>
      </c>
      <c r="U34" s="203" t="str">
        <f>+IF(D34="","",IF(D34="CP","",IF(D34="J2",((N34-M34)+(L34-K34)),IF(O34&lt;P34,P34-O34,P34+24-O34)-T34)))</f>
        <v/>
      </c>
      <c r="V34" s="374" t="e">
        <f t="shared" si="14"/>
        <v>#VALUE!</v>
      </c>
      <c r="W34" s="115" t="str">
        <f>+IF(U34&gt;=6,U34,IF(D34="J2",((N34-M34)+(L34-K34)),IF(O34&lt;P34,P34-O34,P34+24-O34)))</f>
        <v/>
      </c>
      <c r="X34" s="204" t="str">
        <f>+IF(D34="cp",(I34*'Récapitulatif '!$AJ$3),"")</f>
        <v/>
      </c>
      <c r="Y34" s="164" t="str">
        <f>+IF(OR(D34="CP",D34=""),"",(IF(V34&gt;6,V34-T34,V34)))</f>
        <v/>
      </c>
      <c r="Z34" s="154" t="str">
        <f t="shared" si="16"/>
        <v/>
      </c>
      <c r="AA34" s="154" t="str">
        <f t="shared" si="7"/>
        <v/>
      </c>
      <c r="AB34" s="480">
        <f t="shared" si="23"/>
        <v>0</v>
      </c>
      <c r="AC34" s="476" t="str">
        <f t="shared" si="17"/>
        <v/>
      </c>
      <c r="AD34" s="120" t="str">
        <f t="shared" si="18"/>
        <v/>
      </c>
      <c r="AE34" s="262" t="str">
        <f t="shared" si="19"/>
        <v/>
      </c>
      <c r="AF34" s="221" t="str">
        <f>+IF(AND(WEEKDAY(C34)=7,$C$4:$C$43=$C$64),"",IF(AND(WEEKDAY(C34)=1,$C$4:$C$43=$C$64),"",IF($C$4:$C$43=$C$64,'Récapitulatif '!$AJ$3,IF(AND(WEEKDAY(C34)=7,$C$4:$C$43=$C$64),"",IF(AND(WEEKDAY(C34)=1,$C$4:$C$43=$C$65),"",IF($C$4:$C$43=$C$65,'Récapitulatif '!$AJ$3,IF($C$4:$C$43=$C$66,'Récapitulatif '!$AJ$3,"")))))))</f>
        <v/>
      </c>
      <c r="AG34" s="120" t="str">
        <f t="shared" si="20"/>
        <v/>
      </c>
      <c r="AH34" s="262" t="str">
        <f t="shared" si="21"/>
        <v/>
      </c>
      <c r="AI34" s="329" t="str">
        <f t="shared" si="8"/>
        <v/>
      </c>
      <c r="AJ34" s="15" t="str">
        <f t="shared" si="9"/>
        <v/>
      </c>
      <c r="AM34" s="139"/>
    </row>
    <row r="35" spans="1:40" ht="13.5" hidden="1" thickBot="1">
      <c r="A35" s="481" t="str">
        <f>IF(WEEKDAY(C35,2)=1,NO.SEMAINE(C35),"")</f>
        <v/>
      </c>
      <c r="B35" s="482" t="str">
        <f>IF(A35&lt;&gt;"",VLOOKUP(A35,juin!$L$49:$M$101,2,FALSE),"")</f>
        <v/>
      </c>
      <c r="C35" s="205"/>
      <c r="D35" s="192"/>
      <c r="E35" s="192"/>
      <c r="F35" s="622" t="str">
        <f t="shared" si="11"/>
        <v/>
      </c>
      <c r="G35" s="192"/>
      <c r="H35" s="193"/>
      <c r="I35" s="193"/>
      <c r="J35" s="193"/>
      <c r="K35" s="194"/>
      <c r="L35" s="194"/>
      <c r="M35" s="194"/>
      <c r="N35" s="194"/>
      <c r="O35" s="195"/>
      <c r="P35" s="195"/>
      <c r="Q35" s="195"/>
      <c r="R35" s="195"/>
      <c r="S35" s="195"/>
      <c r="T35" s="195"/>
      <c r="U35" s="196"/>
      <c r="V35" s="173" t="e">
        <f t="shared" si="14"/>
        <v>#VALUE!</v>
      </c>
      <c r="W35" s="197"/>
      <c r="X35" s="154" t="str">
        <f>+IF(D35="cp",(I35*'Récapitulatif '!$AJ$3),"")</f>
        <v/>
      </c>
      <c r="Y35" s="197"/>
      <c r="Z35" s="197"/>
      <c r="AA35" s="197"/>
      <c r="AB35" s="477">
        <f>+IF(WEEKDAY(C27)=1,SUM(W28:X34),IF(WEEKDAY(C28)=1,SUM(W29:X34),IF(WEEKDAY(C29)=1,SUM(W30:X34),IF(WEEKDAY(C30)=1,SUM(W31:X34),IF(WEEKDAY(C31)=1,SUM(W32:X34),IF(WEEKDAY(C32)=1,SUM(W33:X34),IF(WEEKDAY(C33)=1,SUM(W34:X34),"")))))))</f>
        <v>0</v>
      </c>
      <c r="AC35" s="199"/>
      <c r="AD35" s="199"/>
      <c r="AE35" s="331" t="str">
        <f t="shared" si="19"/>
        <v/>
      </c>
      <c r="AF35" s="293" t="str">
        <f>+IF($C$4:$C$43=($C$69),'Récapitulatif '!$AJ$3,"")</f>
        <v/>
      </c>
      <c r="AG35" s="270" t="str">
        <f>+IF(AND($C$4:$C$43=($C$64-1),$D$4:$D$43="N"),(L35-T35),IF(AND($C$4:$C$43=($C$64),$D$4:$D$43="N"),(24-K35),IF(AND($C$4:$C$43=($C$65-1),$D$4:$D$43="N"),(L35-T35),IF(AND($C$4:$C$43=($C$65),$D$4:$D$43="N"),(24-K35),IF(OR($C$4:$C$43=($C$64),$C$4:$C$43=$C$65),$W35,"")))))</f>
        <v/>
      </c>
      <c r="AH35" s="199"/>
      <c r="AI35" s="200"/>
      <c r="AJ35" s="200"/>
      <c r="AM35" s="16"/>
    </row>
    <row r="36" spans="1:40" s="139" customFormat="1" ht="13.5" thickBot="1">
      <c r="A36" s="16"/>
      <c r="B36" s="16"/>
      <c r="C36" s="493"/>
      <c r="D36" s="132"/>
      <c r="E36" s="132"/>
      <c r="F36" s="132"/>
      <c r="G36" s="132"/>
      <c r="H36" s="133"/>
      <c r="I36" s="133"/>
      <c r="J36" s="133"/>
      <c r="K36" s="134"/>
      <c r="L36" s="134"/>
      <c r="M36" s="134"/>
      <c r="N36" s="134"/>
      <c r="O36" s="135"/>
      <c r="P36" s="135"/>
      <c r="Q36" s="135"/>
      <c r="R36" s="135"/>
      <c r="S36" s="135"/>
      <c r="T36" s="135"/>
      <c r="U36" s="108"/>
      <c r="V36" s="108"/>
      <c r="W36" s="136"/>
      <c r="X36" s="136"/>
      <c r="Y36" s="136"/>
      <c r="Z36" s="136"/>
      <c r="AA36" s="136"/>
      <c r="AB36" s="108"/>
      <c r="AC36" s="137"/>
      <c r="AD36" s="137"/>
      <c r="AE36" s="138"/>
      <c r="AF36" s="138"/>
      <c r="AG36" s="138"/>
      <c r="AH36" s="138"/>
      <c r="AI36" s="25"/>
      <c r="AJ36" s="25"/>
      <c r="AM36" s="1"/>
    </row>
    <row r="37" spans="1:40" ht="18.75" thickBot="1">
      <c r="A37" s="16"/>
      <c r="B37" s="16"/>
      <c r="C37" s="494" t="s">
        <v>85</v>
      </c>
      <c r="D37" s="18">
        <f>+SUM(I4:I34)</f>
        <v>4</v>
      </c>
      <c r="E37" s="609"/>
      <c r="F37" s="609"/>
      <c r="G37" s="836" t="s">
        <v>206</v>
      </c>
      <c r="H37" s="837"/>
      <c r="I37" s="837"/>
      <c r="J37" s="837"/>
      <c r="K37" s="616">
        <f>SUM(E4:E34)</f>
        <v>0</v>
      </c>
      <c r="M37" s="22"/>
      <c r="N37" s="20" t="s">
        <v>8</v>
      </c>
      <c r="O37" s="21"/>
      <c r="P37" s="21"/>
      <c r="Q37" s="21"/>
      <c r="R37" s="21"/>
      <c r="S37" s="22"/>
      <c r="T37" s="22"/>
      <c r="V37" s="19"/>
      <c r="W37" s="116">
        <f>+SUM(U4:U34)</f>
        <v>0</v>
      </c>
      <c r="X37" s="151">
        <f>SUM(X4:X34)</f>
        <v>27.6</v>
      </c>
      <c r="Y37" s="117">
        <f>SUM(Y4:Y34)</f>
        <v>0</v>
      </c>
      <c r="Z37" s="155">
        <f>SUM(Z4:Z34)</f>
        <v>4</v>
      </c>
      <c r="AA37" s="155">
        <f>SUM(AA4:AA34)-Z37</f>
        <v>0</v>
      </c>
      <c r="AC37" s="121">
        <f>SUM(AC4:AC33)</f>
        <v>0</v>
      </c>
      <c r="AD37" s="122">
        <f>SUM(AD4:AD33)</f>
        <v>0</v>
      </c>
      <c r="AE37" s="123">
        <f>SUM(AE4:AE33)</f>
        <v>0</v>
      </c>
      <c r="AF37" s="121">
        <f>SUM(AF4:AF34)</f>
        <v>20.700000000000003</v>
      </c>
      <c r="AG37" s="123">
        <f>SUM(AG4:AG34)</f>
        <v>0</v>
      </c>
      <c r="AH37" s="123">
        <f>SUM(AH4:AH34)</f>
        <v>0</v>
      </c>
      <c r="AI37" s="314">
        <f>SUM(AI4:AI33)</f>
        <v>0</v>
      </c>
      <c r="AJ37" s="23">
        <f>SUM(AJ4:AJ33)</f>
        <v>0</v>
      </c>
      <c r="AM37" s="111"/>
    </row>
    <row r="38" spans="1:40" ht="6" customHeight="1" thickBot="1">
      <c r="A38" s="16"/>
      <c r="B38" s="16"/>
      <c r="C38" s="92"/>
      <c r="G38" s="442"/>
      <c r="K38" s="621"/>
      <c r="L38" s="10"/>
      <c r="M38" s="10"/>
      <c r="N38" s="10"/>
      <c r="O38" s="10"/>
      <c r="P38" s="10"/>
      <c r="Q38" s="10"/>
      <c r="R38" s="10"/>
      <c r="S38" s="10"/>
      <c r="T38" s="10"/>
      <c r="U38" s="10"/>
      <c r="AM38" s="7"/>
    </row>
    <row r="39" spans="1:40" ht="18" customHeight="1" thickBot="1">
      <c r="A39" s="16"/>
      <c r="B39" s="16"/>
      <c r="C39" s="494" t="s">
        <v>92</v>
      </c>
      <c r="D39" s="18">
        <f>+SUM(H4:H34)</f>
        <v>0</v>
      </c>
      <c r="E39" s="609"/>
      <c r="F39" s="609"/>
      <c r="G39" s="836" t="s">
        <v>207</v>
      </c>
      <c r="H39" s="837"/>
      <c r="I39" s="837"/>
      <c r="J39" s="837"/>
      <c r="K39" s="616">
        <f>SUM(F4:F34)</f>
        <v>0</v>
      </c>
      <c r="N39" s="838"/>
      <c r="O39" s="838"/>
      <c r="P39" s="838"/>
      <c r="Q39" s="838"/>
      <c r="R39" s="838"/>
      <c r="S39" s="838"/>
      <c r="T39" s="838"/>
      <c r="U39" s="838"/>
      <c r="V39" s="838"/>
      <c r="W39" s="838"/>
      <c r="X39" s="838"/>
      <c r="Y39" s="838"/>
      <c r="Z39" s="28"/>
      <c r="AA39" s="28"/>
      <c r="AB39" s="313"/>
      <c r="AD39" s="24"/>
      <c r="AE39" s="1"/>
      <c r="AF39" s="1"/>
      <c r="AG39" s="1"/>
      <c r="AH39" s="1"/>
    </row>
    <row r="40" spans="1:40" ht="13.5" thickBot="1">
      <c r="A40" s="16"/>
      <c r="B40" s="16"/>
      <c r="C40" s="309"/>
      <c r="D40" s="310"/>
      <c r="E40" s="310"/>
      <c r="F40" s="310"/>
      <c r="G40" s="310"/>
      <c r="AK40" s="7"/>
      <c r="AL40" s="7"/>
      <c r="AN40" s="110"/>
    </row>
    <row r="41" spans="1:40" ht="13.5" thickBot="1">
      <c r="A41" s="16"/>
      <c r="B41" s="16"/>
      <c r="C41" s="455" t="s">
        <v>187</v>
      </c>
      <c r="D41" s="456">
        <f ca="1">SUMIF(G4:J34,"Pasto",W4:W34)</f>
        <v>0</v>
      </c>
      <c r="E41" s="619"/>
      <c r="F41" s="619"/>
      <c r="G41" s="133"/>
      <c r="K41" s="808" t="s">
        <v>81</v>
      </c>
      <c r="L41" s="809"/>
      <c r="M41" s="810"/>
      <c r="N41" s="811" t="s">
        <v>57</v>
      </c>
      <c r="O41" s="811"/>
      <c r="P41" s="811"/>
      <c r="Q41" s="811"/>
      <c r="R41" s="811"/>
      <c r="S41" s="811"/>
      <c r="T41" s="811"/>
      <c r="U41" s="811"/>
      <c r="V41" s="811"/>
      <c r="W41" s="812"/>
      <c r="X41" s="159"/>
      <c r="Y41" s="81">
        <f>+($AA$37*10)/60</f>
        <v>0</v>
      </c>
      <c r="Z41" s="81"/>
      <c r="AA41" s="81"/>
      <c r="AB41" s="80" t="s">
        <v>55</v>
      </c>
      <c r="AC41" s="84">
        <f>SUM(J4:J34)*7</f>
        <v>0</v>
      </c>
      <c r="AD41" s="80" t="s">
        <v>56</v>
      </c>
      <c r="AE41" s="82">
        <f>+Avril!AE41+Y41-AC41</f>
        <v>55.896666666666675</v>
      </c>
      <c r="AF41" s="108"/>
      <c r="AG41" s="108"/>
      <c r="AH41" s="108"/>
      <c r="AN41" s="111"/>
    </row>
    <row r="42" spans="1:40" s="7" customFormat="1">
      <c r="A42" s="16"/>
      <c r="B42" s="16"/>
      <c r="C42" s="459" t="s">
        <v>188</v>
      </c>
      <c r="D42" s="458">
        <f>SUMIF(G4:G34,"Prépa",W4:W34)</f>
        <v>0</v>
      </c>
      <c r="E42" s="619"/>
      <c r="F42" s="619"/>
      <c r="G42" s="311"/>
      <c r="H42" s="26"/>
      <c r="I42" s="26"/>
      <c r="J42" s="26"/>
      <c r="K42" s="1"/>
      <c r="L42" s="7" t="s">
        <v>15</v>
      </c>
      <c r="M42" s="7" t="s">
        <v>193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24"/>
      <c r="AF42" s="24"/>
      <c r="AG42" s="24"/>
      <c r="AH42" s="24"/>
      <c r="AK42" s="1"/>
      <c r="AL42" s="1"/>
      <c r="AM42" s="1"/>
      <c r="AN42" s="1"/>
    </row>
    <row r="43" spans="1:40" ht="13.5" thickBot="1">
      <c r="A43" s="16"/>
      <c r="B43" s="16"/>
      <c r="C43" s="451" t="s">
        <v>191</v>
      </c>
      <c r="D43" s="452">
        <f>SUMIF(G4:G34,"Divers",W4:W34)</f>
        <v>0</v>
      </c>
      <c r="E43" s="620"/>
      <c r="F43" s="620"/>
      <c r="K43" s="505" t="s">
        <v>79</v>
      </c>
      <c r="L43" s="508">
        <f>SUMIF($D$4:$D$34,"M",$W$4:$W$34)</f>
        <v>0</v>
      </c>
      <c r="M43" s="505">
        <f>COUNTIF($D$4:$D$34,"M")</f>
        <v>0</v>
      </c>
    </row>
    <row r="44" spans="1:40">
      <c r="D44" s="1"/>
      <c r="E44" s="1"/>
      <c r="F44" s="1"/>
      <c r="G44" s="1"/>
      <c r="H44" s="1"/>
      <c r="I44" s="1"/>
      <c r="J44" s="1"/>
      <c r="K44" s="504" t="s">
        <v>192</v>
      </c>
      <c r="L44" s="502">
        <f>SUMIF($D$4:$D$34,"AM",$W$4:$W$34)</f>
        <v>0</v>
      </c>
      <c r="M44" s="504">
        <f>COUNTIF($D$4:$D$34,"aM")</f>
        <v>0</v>
      </c>
      <c r="AB44" s="24"/>
      <c r="AE44" s="1"/>
      <c r="AF44" s="1"/>
      <c r="AG44" s="1"/>
      <c r="AH44" s="1"/>
    </row>
    <row r="45" spans="1:40">
      <c r="K45" s="506" t="s">
        <v>5</v>
      </c>
      <c r="L45" s="507">
        <f>SUMIF($D$4:$D$34,"n",$W$4:$W$34)</f>
        <v>0</v>
      </c>
      <c r="M45" s="506">
        <f>COUNTIF($D$4:$D$34,"n")</f>
        <v>0</v>
      </c>
    </row>
    <row r="46" spans="1:40">
      <c r="AB46" s="177"/>
      <c r="AC46" s="177"/>
      <c r="AD46" s="177"/>
      <c r="AE46" s="308"/>
    </row>
    <row r="47" spans="1:40">
      <c r="AD47" s="24"/>
      <c r="AE47" s="1"/>
      <c r="AF47" s="1"/>
      <c r="AG47" s="1"/>
      <c r="AH47" s="1"/>
    </row>
    <row r="48" spans="1:40">
      <c r="G48" s="26"/>
      <c r="H48" s="26"/>
      <c r="I48" s="26"/>
      <c r="J48" s="26"/>
    </row>
    <row r="52" spans="3:14">
      <c r="L52" s="10"/>
      <c r="M52" s="10"/>
      <c r="N52" s="10"/>
    </row>
    <row r="59" spans="3:14" ht="13.5" hidden="1" thickBot="1"/>
    <row r="60" spans="3:14" ht="15" hidden="1" customHeight="1">
      <c r="C60" s="813" t="s">
        <v>108</v>
      </c>
      <c r="D60" s="814"/>
      <c r="E60" s="814"/>
      <c r="F60" s="814"/>
      <c r="G60" s="815"/>
    </row>
    <row r="61" spans="3:14" ht="12.75" hidden="1" customHeight="1" thickBot="1">
      <c r="C61" s="816">
        <f>+Janvier!C61</f>
        <v>2020</v>
      </c>
      <c r="D61" s="817"/>
      <c r="E61" s="817"/>
      <c r="F61" s="817"/>
      <c r="G61" s="818"/>
    </row>
    <row r="62" spans="3:14" ht="15" hidden="1">
      <c r="C62" s="666">
        <f>+DATE(C61,1,1)</f>
        <v>43831</v>
      </c>
      <c r="D62" s="675" t="s">
        <v>109</v>
      </c>
      <c r="E62" s="667"/>
      <c r="F62" s="667"/>
      <c r="G62" s="668"/>
    </row>
    <row r="63" spans="3:14" ht="15" hidden="1">
      <c r="C63" s="669">
        <f>DATE(C61,IF((25-MOD((11*MOD(C61-1900,19)+4-INT((7*MOD(C61-1900,19)+1)/19)),29)-MOD(C61-1900+INT((C61-1900)/4)+31-MOD((11*MOD(C61-1900,19)+4-INT((7*MOD(C61-1900,19)+1)/19)),29),7))&gt;0,4,3),IF((25-MOD((11*MOD(C61-1900,19)+4-INT((7*MOD(C61-1900,19)+1)/19)),29)-MOD(C61-1900+INT((C61-1900)/4)+31-MOD((11*MOD(C61-1900,19)+4-INT((7*MOD(C61-1900,19)+1)/19)),29),7))&gt;0,(25-MOD((11*MOD(C61-1900,19)+4-INT((7*MOD(C61-1900,19)+1)/19)),29)-MOD(C61-1900+INT((C61-1900)/4)+31-MOD((11*MOD(C61-1900,19)+4-INT((7*MOD(C61-1900,19)+1)/19)),29),7)),31+(25-MOD((11*MOD(C61-1900,19)+4-INT((7*MOD(C61-1900,19)+1)/19)),29)-MOD(C61-1900+INT((C61-1900)/4)+31-MOD((11*MOD(C61-1900,19)+4-INT((7*MOD(C61-1900,19)+1)/19)),29),7))))+1</f>
        <v>43934</v>
      </c>
      <c r="D63" s="676" t="s">
        <v>110</v>
      </c>
      <c r="E63" s="670"/>
      <c r="F63" s="670"/>
      <c r="G63" s="671"/>
    </row>
    <row r="64" spans="3:14" ht="15" hidden="1">
      <c r="C64" s="669">
        <f>DATE(C61,5,1)</f>
        <v>43952</v>
      </c>
      <c r="D64" s="676" t="s">
        <v>111</v>
      </c>
      <c r="E64" s="670"/>
      <c r="F64" s="670"/>
      <c r="G64" s="671"/>
    </row>
    <row r="65" spans="3:7" ht="15" hidden="1">
      <c r="C65" s="669">
        <f>DATE(C61,5,8)</f>
        <v>43959</v>
      </c>
      <c r="D65" s="676" t="s">
        <v>112</v>
      </c>
      <c r="E65" s="670"/>
      <c r="F65" s="670"/>
      <c r="G65" s="671"/>
    </row>
    <row r="66" spans="3:7" ht="15" hidden="1">
      <c r="C66" s="669">
        <f>+C63+38</f>
        <v>43972</v>
      </c>
      <c r="D66" s="676" t="s">
        <v>113</v>
      </c>
      <c r="E66" s="670"/>
      <c r="F66" s="670"/>
      <c r="G66" s="671"/>
    </row>
    <row r="67" spans="3:7" ht="15" hidden="1">
      <c r="C67" s="669">
        <f>+C66+11</f>
        <v>43983</v>
      </c>
      <c r="D67" s="676" t="s">
        <v>114</v>
      </c>
      <c r="E67" s="670"/>
      <c r="F67" s="670"/>
      <c r="G67" s="671"/>
    </row>
    <row r="68" spans="3:7" ht="15" hidden="1">
      <c r="C68" s="669">
        <f>DATE(C61,7,14)</f>
        <v>44026</v>
      </c>
      <c r="D68" s="676" t="s">
        <v>115</v>
      </c>
      <c r="E68" s="670"/>
      <c r="F68" s="670"/>
      <c r="G68" s="671"/>
    </row>
    <row r="69" spans="3:7" ht="15" hidden="1">
      <c r="C69" s="669">
        <f>DATE(C61,8,15)</f>
        <v>44058</v>
      </c>
      <c r="D69" s="676" t="s">
        <v>116</v>
      </c>
      <c r="E69" s="670"/>
      <c r="F69" s="670"/>
      <c r="G69" s="671"/>
    </row>
    <row r="70" spans="3:7" ht="15" hidden="1">
      <c r="C70" s="669">
        <f>DATE(C61,11,1)</f>
        <v>44136</v>
      </c>
      <c r="D70" s="676" t="s">
        <v>117</v>
      </c>
      <c r="E70" s="670"/>
      <c r="F70" s="670"/>
      <c r="G70" s="671"/>
    </row>
    <row r="71" spans="3:7" ht="15" hidden="1">
      <c r="C71" s="669">
        <f>DATE(C61,11,11)</f>
        <v>44146</v>
      </c>
      <c r="D71" s="676" t="s">
        <v>118</v>
      </c>
      <c r="E71" s="670"/>
      <c r="F71" s="670"/>
      <c r="G71" s="671"/>
    </row>
    <row r="72" spans="3:7" ht="15.75" hidden="1" thickBot="1">
      <c r="C72" s="672">
        <f>DATE(C61,12,25)</f>
        <v>44190</v>
      </c>
      <c r="D72" s="677" t="s">
        <v>119</v>
      </c>
      <c r="E72" s="673"/>
      <c r="F72" s="673"/>
      <c r="G72" s="674"/>
    </row>
    <row r="73" spans="3:7" hidden="1"/>
    <row r="74" spans="3:7" ht="13.5" hidden="1" thickBot="1"/>
    <row r="75" spans="3:7" ht="13.5" hidden="1" thickBot="1">
      <c r="C75" s="1" t="s">
        <v>164</v>
      </c>
      <c r="D75" s="366">
        <f>+juin!D66</f>
        <v>21</v>
      </c>
      <c r="E75" s="440"/>
      <c r="F75" s="440"/>
      <c r="G75" s="440"/>
    </row>
    <row r="76" spans="3:7" ht="13.5" hidden="1" thickBot="1">
      <c r="D76" s="366">
        <f>+juin!D67</f>
        <v>6</v>
      </c>
      <c r="E76" s="440"/>
      <c r="F76" s="440"/>
      <c r="G76" s="440"/>
    </row>
    <row r="77" spans="3:7">
      <c r="D77" s="26"/>
      <c r="E77" s="26"/>
      <c r="F77" s="26"/>
      <c r="G77" s="26"/>
    </row>
  </sheetData>
  <sheetProtection password="CC5E" sheet="1" objects="1" scenarios="1"/>
  <mergeCells count="21">
    <mergeCell ref="C60:G60"/>
    <mergeCell ref="C61:G61"/>
    <mergeCell ref="A1:D1"/>
    <mergeCell ref="A2:D2"/>
    <mergeCell ref="AI1:AJ1"/>
    <mergeCell ref="O3:P3"/>
    <mergeCell ref="S3:T3"/>
    <mergeCell ref="O2:P2"/>
    <mergeCell ref="Q2:R2"/>
    <mergeCell ref="K1:Y1"/>
    <mergeCell ref="AC1:AE1"/>
    <mergeCell ref="K2:L2"/>
    <mergeCell ref="M2:N2"/>
    <mergeCell ref="AF1:AG1"/>
    <mergeCell ref="A3:B3"/>
    <mergeCell ref="N41:W41"/>
    <mergeCell ref="K41:M41"/>
    <mergeCell ref="N39:Y39"/>
    <mergeCell ref="AF2:AH2"/>
    <mergeCell ref="G37:J37"/>
    <mergeCell ref="G39:J39"/>
  </mergeCells>
  <phoneticPr fontId="0" type="noConversion"/>
  <conditionalFormatting sqref="C4:AA35">
    <cfRule type="expression" dxfId="15" priority="9" stopIfTrue="1">
      <formula>OR(WEEKDAY($C4)=1)</formula>
    </cfRule>
  </conditionalFormatting>
  <conditionalFormatting sqref="AB4:AB34">
    <cfRule type="expression" dxfId="14" priority="10" stopIfTrue="1">
      <formula>OR(WEEKDAY($C4)=1)</formula>
    </cfRule>
  </conditionalFormatting>
  <conditionalFormatting sqref="A35:B35">
    <cfRule type="expression" dxfId="13" priority="11" stopIfTrue="1">
      <formula>OR(WEEKDAY($C35)=1)</formula>
    </cfRule>
  </conditionalFormatting>
  <conditionalFormatting sqref="A4:B34 B5:B35">
    <cfRule type="expression" dxfId="12" priority="6" stopIfTrue="1">
      <formula>OR(WEEKDAY($C4)=1)</formula>
    </cfRule>
  </conditionalFormatting>
  <conditionalFormatting sqref="B5:B35 A4:B34">
    <cfRule type="expression" dxfId="11" priority="5" stopIfTrue="1">
      <formula>OR(WEEKDAY($C4)=1)</formula>
    </cfRule>
  </conditionalFormatting>
  <conditionalFormatting sqref="C4:C34">
    <cfRule type="cellIs" dxfId="10" priority="4" operator="equal">
      <formula>$C$64</formula>
    </cfRule>
    <cfRule type="cellIs" dxfId="9" priority="3" operator="equal">
      <formula>$C$65</formula>
    </cfRule>
    <cfRule type="cellIs" dxfId="8" priority="2" operator="equal">
      <formula>$C$66</formula>
    </cfRule>
    <cfRule type="cellIs" dxfId="7" priority="1" operator="equal">
      <formula>$C$67</formula>
    </cfRule>
  </conditionalFormatting>
  <dataValidations disablePrompts="1" count="1">
    <dataValidation type="list" allowBlank="1" showInputMessage="1" showErrorMessage="1" sqref="G4:G34">
      <formula1>Atelier</formula1>
    </dataValidation>
  </dataValidation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74" orientation="landscape" r:id="rId1"/>
  <headerFooter alignWithMargins="0"/>
  <rowBreaks count="1" manualBreakCount="1">
    <brk id="50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BD1470"/>
  <sheetViews>
    <sheetView showGridLines="0" tabSelected="1" view="pageBreakPreview" topLeftCell="AE1" zoomScaleNormal="79" zoomScaleSheetLayoutView="100" workbookViewId="0">
      <pane ySplit="4" topLeftCell="A17" activePane="bottomLeft" state="frozen"/>
      <selection activeCell="B42" sqref="B42"/>
      <selection pane="bottomLeft" activeCell="AK25" sqref="AK25"/>
    </sheetView>
  </sheetViews>
  <sheetFormatPr baseColWidth="10" defaultRowHeight="12.75"/>
  <cols>
    <col min="1" max="1" width="4.42578125" style="1" customWidth="1"/>
    <col min="2" max="2" width="17.28515625" style="1" customWidth="1"/>
    <col min="3" max="3" width="9.7109375" style="1" customWidth="1"/>
    <col min="4" max="4" width="8.7109375" style="1" customWidth="1"/>
    <col min="5" max="5" width="8.28515625" style="1" customWidth="1"/>
    <col min="6" max="6" width="0.85546875" style="28" customWidth="1"/>
    <col min="7" max="7" width="7.7109375" style="1" customWidth="1"/>
    <col min="8" max="8" width="8.140625" style="1" customWidth="1"/>
    <col min="9" max="9" width="7.7109375" style="1" customWidth="1"/>
    <col min="10" max="10" width="0.85546875" style="28" customWidth="1"/>
    <col min="11" max="12" width="6.7109375" style="1" customWidth="1"/>
    <col min="13" max="13" width="0.85546875" style="28" customWidth="1"/>
    <col min="14" max="16" width="5.5703125" style="1" customWidth="1"/>
    <col min="17" max="17" width="1.28515625" style="1" customWidth="1"/>
    <col min="18" max="20" width="7.140625" style="1" customWidth="1"/>
    <col min="21" max="21" width="1.140625" style="28" customWidth="1"/>
    <col min="22" max="22" width="6.5703125" style="1" customWidth="1"/>
    <col min="23" max="23" width="7.140625" style="1" customWidth="1"/>
    <col min="24" max="24" width="7.28515625" style="1" customWidth="1"/>
    <col min="25" max="25" width="0.85546875" style="98" customWidth="1"/>
    <col min="26" max="28" width="10.7109375" style="1" customWidth="1"/>
    <col min="29" max="29" width="11.7109375" style="1" customWidth="1"/>
    <col min="30" max="30" width="10.7109375" style="1" customWidth="1"/>
    <col min="31" max="31" width="10.7109375" style="189" customWidth="1"/>
    <col min="32" max="36" width="10.7109375" style="1" customWidth="1"/>
    <col min="37" max="37" width="10.7109375" style="796" customWidth="1"/>
    <col min="38" max="38" width="17.140625" style="1" customWidth="1"/>
    <col min="39" max="42" width="11.5703125" style="1" customWidth="1"/>
    <col min="43" max="46" width="11.5703125" style="7" customWidth="1"/>
    <col min="47" max="56" width="11.42578125" style="1" customWidth="1"/>
    <col min="57" max="16384" width="11.42578125" style="1"/>
  </cols>
  <sheetData>
    <row r="1" spans="1:56" ht="13.5" thickBot="1">
      <c r="AL1" s="934" t="s">
        <v>87</v>
      </c>
      <c r="AM1" s="935"/>
      <c r="AN1" s="935"/>
      <c r="AO1" s="935"/>
      <c r="AP1" s="935"/>
      <c r="AQ1" s="935"/>
      <c r="AR1" s="935"/>
      <c r="AS1" s="935"/>
      <c r="AT1" s="935"/>
      <c r="AU1" s="935"/>
      <c r="AV1" s="935"/>
      <c r="AW1" s="935"/>
      <c r="AX1" s="935"/>
      <c r="AY1" s="935"/>
      <c r="AZ1" s="935"/>
      <c r="BA1" s="935"/>
      <c r="BB1" s="935"/>
      <c r="BC1" s="935"/>
      <c r="BD1" s="935"/>
    </row>
    <row r="2" spans="1:56" ht="13.5" customHeight="1" thickBot="1">
      <c r="B2" s="908" t="s">
        <v>168</v>
      </c>
      <c r="C2" s="909"/>
      <c r="D2" s="909"/>
      <c r="E2" s="910"/>
      <c r="H2" s="30"/>
      <c r="I2" s="29"/>
      <c r="AC2" s="908" t="s">
        <v>169</v>
      </c>
      <c r="AD2" s="909"/>
      <c r="AE2" s="909"/>
      <c r="AF2" s="910"/>
      <c r="AO2" s="28"/>
    </row>
    <row r="3" spans="1:56" ht="13.5" thickBot="1">
      <c r="G3" s="558"/>
      <c r="H3" s="559"/>
      <c r="I3" s="559"/>
      <c r="AG3" s="1" t="s">
        <v>101</v>
      </c>
      <c r="AH3" s="180">
        <v>138</v>
      </c>
      <c r="AJ3" s="1">
        <f>+IF(AH3=138,6.9,IF(AH3=140,7,""))</f>
        <v>6.9</v>
      </c>
      <c r="AK3" s="796" t="s">
        <v>225</v>
      </c>
      <c r="AL3" s="280" t="s">
        <v>89</v>
      </c>
      <c r="AM3" s="281" t="s">
        <v>2</v>
      </c>
      <c r="AN3" s="281" t="s">
        <v>165</v>
      </c>
      <c r="AO3" s="938" t="s">
        <v>24</v>
      </c>
      <c r="AP3" s="938"/>
      <c r="AQ3" s="938"/>
      <c r="AR3" s="282"/>
      <c r="AS3" s="282"/>
      <c r="AT3" s="282"/>
      <c r="AU3" s="277" t="s">
        <v>105</v>
      </c>
      <c r="AV3" s="274"/>
      <c r="AW3" s="186" t="s">
        <v>106</v>
      </c>
      <c r="AX3" s="176"/>
      <c r="AY3" s="7" t="s">
        <v>120</v>
      </c>
      <c r="AZ3" s="7"/>
      <c r="BA3" s="7"/>
      <c r="BB3" s="7"/>
      <c r="BC3" s="588"/>
      <c r="BD3" s="7"/>
    </row>
    <row r="4" spans="1:56" ht="13.5" thickBot="1">
      <c r="AK4" s="796" t="s">
        <v>226</v>
      </c>
      <c r="AL4" s="283"/>
      <c r="AM4" s="284"/>
      <c r="AN4" s="284" t="s">
        <v>166</v>
      </c>
      <c r="AO4" s="285" t="s">
        <v>154</v>
      </c>
      <c r="AP4" s="284" t="s">
        <v>18</v>
      </c>
      <c r="AQ4" s="284" t="s">
        <v>153</v>
      </c>
      <c r="AR4" s="289"/>
      <c r="AS4" s="284" t="s">
        <v>155</v>
      </c>
      <c r="AT4" s="284" t="s">
        <v>28</v>
      </c>
      <c r="AU4" s="278" t="s">
        <v>104</v>
      </c>
      <c r="AV4" s="185" t="s">
        <v>18</v>
      </c>
      <c r="AW4" s="187" t="s">
        <v>107</v>
      </c>
      <c r="AX4" s="176"/>
      <c r="AY4" s="7" t="s">
        <v>15</v>
      </c>
      <c r="AZ4" s="7" t="s">
        <v>18</v>
      </c>
      <c r="BA4" s="7" t="s">
        <v>156</v>
      </c>
      <c r="BB4" s="7" t="s">
        <v>155</v>
      </c>
      <c r="BC4" s="588"/>
      <c r="BD4" s="7" t="s">
        <v>28</v>
      </c>
    </row>
    <row r="5" spans="1:56" ht="16.5" customHeight="1" thickBot="1">
      <c r="B5" s="698"/>
      <c r="C5" s="829" t="s">
        <v>15</v>
      </c>
      <c r="D5" s="827"/>
      <c r="E5" s="828"/>
      <c r="F5" s="31"/>
      <c r="G5" s="940" t="s">
        <v>6</v>
      </c>
      <c r="H5" s="941"/>
      <c r="I5" s="942"/>
      <c r="J5" s="31"/>
      <c r="K5" s="878" t="s">
        <v>9</v>
      </c>
      <c r="L5" s="849"/>
      <c r="M5" s="31"/>
      <c r="N5" s="843" t="s">
        <v>12</v>
      </c>
      <c r="O5" s="847"/>
      <c r="P5" s="845"/>
      <c r="R5" s="916" t="s">
        <v>58</v>
      </c>
      <c r="S5" s="917"/>
      <c r="T5" s="918"/>
      <c r="U5" s="31"/>
      <c r="V5" s="911" t="s">
        <v>167</v>
      </c>
      <c r="W5" s="912"/>
      <c r="X5" s="913"/>
      <c r="Z5" s="919" t="s">
        <v>88</v>
      </c>
      <c r="AA5" s="920"/>
      <c r="AB5" s="350" t="s">
        <v>163</v>
      </c>
      <c r="AC5" s="181" t="s">
        <v>94</v>
      </c>
      <c r="AD5" s="182" t="s">
        <v>96</v>
      </c>
      <c r="AE5" s="332" t="s">
        <v>24</v>
      </c>
      <c r="AF5" s="183" t="s">
        <v>103</v>
      </c>
      <c r="AG5" s="182" t="s">
        <v>15</v>
      </c>
      <c r="AH5" s="184" t="s">
        <v>98</v>
      </c>
      <c r="AI5" s="472" t="s">
        <v>99</v>
      </c>
      <c r="AJ5" s="392" t="s">
        <v>24</v>
      </c>
      <c r="AK5" s="797" t="str">
        <f>IF(MOD((AL5-$AF$27)/28,1),"",MOD((AL5-$AF$27)/28,13)+1)</f>
        <v/>
      </c>
      <c r="AL5" s="798">
        <f>+'MaiN-1'!C4</f>
        <v>43586</v>
      </c>
      <c r="AM5" s="287" t="str">
        <f>+'MaiN-1'!D4</f>
        <v>N</v>
      </c>
      <c r="AN5" s="287">
        <f t="shared" ref="AN5:AN23" si="0">+IF(AM5=0,"",IF(AM5="CP","",1))</f>
        <v>1</v>
      </c>
      <c r="AO5" s="288">
        <f>+'MaiN-1'!W4</f>
        <v>7.666666666666667</v>
      </c>
      <c r="AP5" s="288" t="str">
        <f>+'MaiN-1'!X4</f>
        <v/>
      </c>
      <c r="AQ5" s="289" t="str">
        <f>+'MaiN-1'!AF7</f>
        <v/>
      </c>
      <c r="AR5" s="289" t="str">
        <f t="shared" ref="AR5:AR35" si="1">+IF(AS5&lt;&gt;"","",AQ5)</f>
        <v/>
      </c>
      <c r="AS5" s="289" t="str">
        <f>+'MaiN-1'!AE7</f>
        <v/>
      </c>
      <c r="AT5" s="289">
        <f>+'MaiN-1'!J4</f>
        <v>0</v>
      </c>
      <c r="AU5" s="279" t="str">
        <f>+IF(WEEKDAY(AL7)=1,SUM(AO5:AP$24),"")</f>
        <v/>
      </c>
      <c r="AV5" s="178" t="str">
        <f>+IF(WEEKDAY(AL7)=1,SUM(AP5:AP$24),"")</f>
        <v/>
      </c>
      <c r="AW5" s="178" t="str">
        <f>+IF(WEEKDAY(AL7)=1,SUM(AU5:AU$29),"")</f>
        <v/>
      </c>
      <c r="AX5" s="176"/>
      <c r="AY5" s="764"/>
      <c r="AZ5" s="764"/>
      <c r="BA5" s="764"/>
      <c r="BB5" s="764"/>
      <c r="BC5" s="764"/>
      <c r="BD5" s="764"/>
    </row>
    <row r="6" spans="1:56" ht="13.5" customHeight="1" thickBot="1">
      <c r="B6" s="698"/>
      <c r="C6" s="389" t="s">
        <v>16</v>
      </c>
      <c r="D6" s="390" t="s">
        <v>5</v>
      </c>
      <c r="E6" s="391" t="s">
        <v>10</v>
      </c>
      <c r="F6" s="32"/>
      <c r="G6" s="33" t="s">
        <v>0</v>
      </c>
      <c r="H6" s="34" t="s">
        <v>1</v>
      </c>
      <c r="I6" s="35" t="s">
        <v>7</v>
      </c>
      <c r="J6" s="32"/>
      <c r="K6" s="2" t="s">
        <v>10</v>
      </c>
      <c r="L6" s="3" t="s">
        <v>5</v>
      </c>
      <c r="M6" s="32"/>
      <c r="N6" s="2" t="s">
        <v>13</v>
      </c>
      <c r="O6" s="102" t="s">
        <v>15</v>
      </c>
      <c r="P6" s="3" t="s">
        <v>14</v>
      </c>
      <c r="R6" s="2" t="s">
        <v>54</v>
      </c>
      <c r="S6" s="6" t="s">
        <v>53</v>
      </c>
      <c r="T6" s="3" t="s">
        <v>14</v>
      </c>
      <c r="U6" s="393"/>
      <c r="V6" s="2" t="s">
        <v>54</v>
      </c>
      <c r="W6" s="6" t="s">
        <v>53</v>
      </c>
      <c r="X6" s="3" t="s">
        <v>14</v>
      </c>
      <c r="Z6" s="427" t="s">
        <v>200</v>
      </c>
      <c r="AA6" s="427" t="s">
        <v>201</v>
      </c>
      <c r="AB6" s="356" t="s">
        <v>19</v>
      </c>
      <c r="AC6" s="351" t="s">
        <v>95</v>
      </c>
      <c r="AD6" s="352"/>
      <c r="AE6" s="353" t="s">
        <v>162</v>
      </c>
      <c r="AF6" s="354" t="s">
        <v>97</v>
      </c>
      <c r="AG6" s="352" t="s">
        <v>102</v>
      </c>
      <c r="AH6" s="355"/>
      <c r="AI6" s="473" t="s">
        <v>100</v>
      </c>
      <c r="AJ6" s="554" t="s">
        <v>167</v>
      </c>
      <c r="AK6" s="797" t="str">
        <f t="shared" ref="AK6:AK23" si="2">IF(MOD((AL6-$AF$27)/28,1),"",MOD((AL6-$AF$27)/28,13)+1)</f>
        <v/>
      </c>
      <c r="AL6" s="799">
        <f>+'MaiN-1'!C5</f>
        <v>43587</v>
      </c>
      <c r="AM6" s="287" t="str">
        <f>+'MaiN-1'!D5</f>
        <v>N</v>
      </c>
      <c r="AN6" s="287">
        <f t="shared" si="0"/>
        <v>1</v>
      </c>
      <c r="AO6" s="288">
        <f>+'MaiN-1'!W5</f>
        <v>7.7499999999999991</v>
      </c>
      <c r="AP6" s="288" t="str">
        <f>+'MaiN-1'!X5</f>
        <v/>
      </c>
      <c r="AQ6" s="289" t="str">
        <f>+'MaiN-1'!AF8</f>
        <v/>
      </c>
      <c r="AR6" s="289" t="str">
        <f t="shared" si="1"/>
        <v/>
      </c>
      <c r="AS6" s="289" t="str">
        <f>+'MaiN-1'!AE8</f>
        <v/>
      </c>
      <c r="AT6" s="289">
        <f>+'MaiN-1'!J5</f>
        <v>0</v>
      </c>
      <c r="AU6" s="279" t="str">
        <f>+IF(WEEKDAY(AL8)=1,SUM(AO6:AP$24),"")</f>
        <v/>
      </c>
      <c r="AV6" s="178" t="str">
        <f>+IF(WEEKDAY(AL8)=1,SUM(AP6:AP$24),"")</f>
        <v/>
      </c>
      <c r="AW6" s="178" t="str">
        <f>+IF(WEEKDAY(AL8)=1,SUM(AU6:AU$29),"")</f>
        <v/>
      </c>
      <c r="AX6" s="176"/>
      <c r="AY6" s="764"/>
      <c r="AZ6" s="764"/>
      <c r="BA6" s="764"/>
      <c r="BB6" s="764"/>
      <c r="BC6" s="764"/>
      <c r="BD6" s="764"/>
    </row>
    <row r="7" spans="1:56" ht="16.5">
      <c r="A7" s="900">
        <f>+juin!A2</f>
        <v>43617</v>
      </c>
      <c r="B7" s="699" t="s">
        <v>212</v>
      </c>
      <c r="C7" s="388">
        <f>+juin!W36</f>
        <v>162.66666666666666</v>
      </c>
      <c r="D7" s="395">
        <f>+juin!Y36</f>
        <v>45.666666666666671</v>
      </c>
      <c r="E7" s="396">
        <f>+C7-D7</f>
        <v>116.99999999999999</v>
      </c>
      <c r="F7" s="361"/>
      <c r="G7" s="401">
        <f>+juin!AC36</f>
        <v>0</v>
      </c>
      <c r="H7" s="402">
        <f>+juin!AD36</f>
        <v>18.333333333333332</v>
      </c>
      <c r="I7" s="403">
        <f>+juin!AE36</f>
        <v>7.666666666666667</v>
      </c>
      <c r="J7" s="404"/>
      <c r="K7" s="405">
        <f>+juin!AH36</f>
        <v>15</v>
      </c>
      <c r="L7" s="406">
        <f>+juin!AI36</f>
        <v>5</v>
      </c>
      <c r="M7" s="407"/>
      <c r="N7" s="408">
        <f>+juin!D36</f>
        <v>0</v>
      </c>
      <c r="O7" s="436">
        <f>N7*$AJ$3</f>
        <v>0</v>
      </c>
      <c r="P7" s="36">
        <f>+N23-N7</f>
        <v>25</v>
      </c>
      <c r="Q7" s="362"/>
      <c r="R7" s="421">
        <f>+juin!Y40</f>
        <v>0.83333333333333337</v>
      </c>
      <c r="S7" s="422">
        <f>+juin!AC40</f>
        <v>0</v>
      </c>
      <c r="T7" s="89">
        <f>+juin!AE40</f>
        <v>45.73</v>
      </c>
      <c r="U7" s="361"/>
      <c r="V7" s="603" t="e">
        <f>+AJ7*$W$24/$W$23</f>
        <v>#DIV/0!</v>
      </c>
      <c r="W7" s="545">
        <v>-510.95</v>
      </c>
      <c r="X7" s="546" t="e">
        <f>+V7-W7</f>
        <v>#DIV/0!</v>
      </c>
      <c r="Z7" s="428">
        <v>1</v>
      </c>
      <c r="AA7" s="602">
        <f>+AH27</f>
        <v>43632</v>
      </c>
      <c r="AB7" s="349">
        <f>+AX33</f>
        <v>19</v>
      </c>
      <c r="AC7" s="345">
        <v>0</v>
      </c>
      <c r="AD7" s="591">
        <v>3.37</v>
      </c>
      <c r="AE7" s="346">
        <f>+AY33</f>
        <v>148.41666666666669</v>
      </c>
      <c r="AF7" s="347">
        <f>+AE7+AZ33+BA33+BD33</f>
        <v>176.01666666666668</v>
      </c>
      <c r="AG7" s="348">
        <f>+AE7+AZ33+BD33+BA33+AD7+(AI27*$AJ$3)</f>
        <v>179.38666666666668</v>
      </c>
      <c r="AH7" s="363">
        <f>+AG7-$AH$3</f>
        <v>41.386666666666684</v>
      </c>
      <c r="AI7" s="551">
        <f t="shared" ref="AI7:AI19" si="3">+AH7+AC7</f>
        <v>41.386666666666684</v>
      </c>
      <c r="AJ7" s="589">
        <f>+IF((AE7-$AH$3)&gt;0,(AE7-$AH$3),0)</f>
        <v>10.416666666666686</v>
      </c>
      <c r="AK7" s="797" t="str">
        <f t="shared" si="2"/>
        <v/>
      </c>
      <c r="AL7" s="799">
        <f>+'MaiN-1'!C6</f>
        <v>43588</v>
      </c>
      <c r="AM7" s="287">
        <f>+'MaiN-1'!D6</f>
        <v>0</v>
      </c>
      <c r="AN7" s="287" t="str">
        <f t="shared" si="0"/>
        <v/>
      </c>
      <c r="AO7" s="288" t="str">
        <f>+'MaiN-1'!W6</f>
        <v/>
      </c>
      <c r="AP7" s="288" t="str">
        <f>+'MaiN-1'!X6</f>
        <v/>
      </c>
      <c r="AQ7" s="289" t="str">
        <f>+'MaiN-1'!AF9</f>
        <v/>
      </c>
      <c r="AR7" s="289" t="str">
        <f t="shared" si="1"/>
        <v/>
      </c>
      <c r="AS7" s="289" t="str">
        <f>+'MaiN-1'!AE9</f>
        <v/>
      </c>
      <c r="AT7" s="289">
        <f>+'MaiN-1'!J6</f>
        <v>0</v>
      </c>
      <c r="AU7" s="279">
        <f>+IF(WEEKDAY(AL9)=1,SUM(AO7:AP$24),"")</f>
        <v>69.849999999999994</v>
      </c>
      <c r="AV7" s="178">
        <f>+IF(WEEKDAY(AL9)=1,SUM(AP7:AP$24),"")</f>
        <v>62.099999999999994</v>
      </c>
      <c r="AW7" s="178">
        <f>+IF(WEEKDAY(AL9)=1,SUM(AU7:AU$29),"")</f>
        <v>184.5</v>
      </c>
      <c r="AX7" s="176"/>
      <c r="AY7" s="764"/>
      <c r="AZ7" s="764"/>
      <c r="BA7" s="764"/>
      <c r="BB7" s="764"/>
      <c r="BC7" s="764"/>
      <c r="BD7" s="764"/>
    </row>
    <row r="8" spans="1:56" ht="16.5">
      <c r="A8" s="901"/>
      <c r="B8" s="700" t="s">
        <v>213</v>
      </c>
      <c r="C8" s="37">
        <f>+Juillet!W37</f>
        <v>161.41666666666666</v>
      </c>
      <c r="D8" s="397">
        <f>+Juillet!Y37</f>
        <v>41.333333333333343</v>
      </c>
      <c r="E8" s="398">
        <f t="shared" ref="E8:E18" si="4">+C8-D8</f>
        <v>120.08333333333331</v>
      </c>
      <c r="F8" s="361"/>
      <c r="G8" s="409">
        <f>+Juillet!AC37</f>
        <v>0</v>
      </c>
      <c r="H8" s="410">
        <f>+Juillet!AD37</f>
        <v>16.5</v>
      </c>
      <c r="I8" s="411">
        <f>+Juillet!AE37</f>
        <v>3</v>
      </c>
      <c r="J8" s="404"/>
      <c r="K8" s="412">
        <f>+Juillet!AH37</f>
        <v>15</v>
      </c>
      <c r="L8" s="413">
        <f>+Juillet!AI37</f>
        <v>4</v>
      </c>
      <c r="M8" s="407"/>
      <c r="N8" s="414">
        <f>+Juillet!D37</f>
        <v>0</v>
      </c>
      <c r="O8" s="435">
        <f t="shared" ref="O8:O18" si="5">N8*$AJ$3</f>
        <v>0</v>
      </c>
      <c r="P8" s="38">
        <f t="shared" ref="P8:P18" si="6">+P7-N8</f>
        <v>25</v>
      </c>
      <c r="Q8" s="362"/>
      <c r="R8" s="423">
        <f>+Juillet!$Y$41</f>
        <v>0.83333333333333337</v>
      </c>
      <c r="S8" s="424">
        <f>+Juillet!AC41</f>
        <v>0</v>
      </c>
      <c r="T8" s="90">
        <f>+Juillet!$AE$41</f>
        <v>46.563333333333333</v>
      </c>
      <c r="U8" s="361"/>
      <c r="V8" s="604" t="e">
        <f>+AJ8*$W$24/$W$23</f>
        <v>#DIV/0!</v>
      </c>
      <c r="W8" s="547"/>
      <c r="X8" s="548" t="e">
        <f>+X7+V8-W8</f>
        <v>#DIV/0!</v>
      </c>
      <c r="Z8" s="429">
        <v>2</v>
      </c>
      <c r="AA8" s="602">
        <f t="shared" ref="AA8:AA19" si="7">+AH28</f>
        <v>43660</v>
      </c>
      <c r="AB8" s="343">
        <f>+AX63</f>
        <v>21</v>
      </c>
      <c r="AC8" s="339">
        <f>+AI7</f>
        <v>41.386666666666684</v>
      </c>
      <c r="AD8" s="340">
        <v>0.83</v>
      </c>
      <c r="AE8" s="333">
        <f>+AY63</f>
        <v>153.58333333333334</v>
      </c>
      <c r="AF8" s="334">
        <f>+AE8+BA63+AZ63+BD63</f>
        <v>153.58333333333334</v>
      </c>
      <c r="AG8" s="335">
        <f>+AE8+AZ63+BD63+AD8+BA63+(AI28*$AJ$3)+BB63</f>
        <v>154.41333333333336</v>
      </c>
      <c r="AH8" s="364">
        <f t="shared" ref="AH8:AH19" si="8">+AG8-$AH$3</f>
        <v>16.413333333333355</v>
      </c>
      <c r="AI8" s="552">
        <f>+AH8+AC8</f>
        <v>57.80000000000004</v>
      </c>
      <c r="AJ8" s="555">
        <f t="shared" ref="AJ8:AJ19" si="9">+IF((AE8-$AH$3)&gt;0,(AE8-$AH$3),0)</f>
        <v>15.583333333333343</v>
      </c>
      <c r="AK8" s="797" t="str">
        <f t="shared" si="2"/>
        <v/>
      </c>
      <c r="AL8" s="799">
        <f>+'MaiN-1'!C7</f>
        <v>43589</v>
      </c>
      <c r="AM8" s="287">
        <f>+'MaiN-1'!D7</f>
        <v>0</v>
      </c>
      <c r="AN8" s="287" t="str">
        <f t="shared" si="0"/>
        <v/>
      </c>
      <c r="AO8" s="288" t="str">
        <f>+'MaiN-1'!W7</f>
        <v/>
      </c>
      <c r="AP8" s="288" t="str">
        <f>+'MaiN-1'!X7</f>
        <v/>
      </c>
      <c r="AQ8" s="289" t="str">
        <f>+'MaiN-1'!AF10</f>
        <v/>
      </c>
      <c r="AR8" s="289" t="str">
        <f t="shared" si="1"/>
        <v/>
      </c>
      <c r="AS8" s="289" t="str">
        <f>+'MaiN-1'!AE10</f>
        <v/>
      </c>
      <c r="AT8" s="289">
        <f>+'MaiN-1'!J7</f>
        <v>0</v>
      </c>
      <c r="AU8" s="279" t="str">
        <f>+IF(WEEKDAY(AL10)=1,SUM(AO8:AP$24),"")</f>
        <v/>
      </c>
      <c r="AV8" s="178" t="str">
        <f>+IF(WEEKDAY(AL10)=1,SUM(AP8:AP$24),"")</f>
        <v/>
      </c>
      <c r="AW8" s="178" t="str">
        <f>+IF(WEEKDAY(AL10)=1,SUM(AU8:AU$29),"")</f>
        <v/>
      </c>
      <c r="AX8" s="176"/>
      <c r="AY8" s="764"/>
      <c r="AZ8" s="764"/>
      <c r="BA8" s="764"/>
      <c r="BB8" s="764"/>
      <c r="BC8" s="764"/>
      <c r="BD8" s="764"/>
    </row>
    <row r="9" spans="1:56" ht="16.5">
      <c r="A9" s="901"/>
      <c r="B9" s="700" t="s">
        <v>214</v>
      </c>
      <c r="C9" s="37">
        <f>+Août!W37</f>
        <v>121.08333333333334</v>
      </c>
      <c r="D9" s="397">
        <f>+Août!Y37</f>
        <v>74.749999999999972</v>
      </c>
      <c r="E9" s="398">
        <f t="shared" si="4"/>
        <v>46.333333333333371</v>
      </c>
      <c r="F9" s="361"/>
      <c r="G9" s="409">
        <f>+Août!AC37</f>
        <v>0</v>
      </c>
      <c r="H9" s="410">
        <f>+Août!AD37</f>
        <v>13.666666666666668</v>
      </c>
      <c r="I9" s="411">
        <f>+Août!AE37</f>
        <v>3</v>
      </c>
      <c r="J9" s="404"/>
      <c r="K9" s="412">
        <f>+Août!AH37</f>
        <v>7</v>
      </c>
      <c r="L9" s="413">
        <f>+Août!AI37</f>
        <v>9</v>
      </c>
      <c r="M9" s="407"/>
      <c r="N9" s="414">
        <f>+Août!D37</f>
        <v>5</v>
      </c>
      <c r="O9" s="435">
        <f t="shared" si="5"/>
        <v>34.5</v>
      </c>
      <c r="P9" s="38">
        <f t="shared" si="6"/>
        <v>20</v>
      </c>
      <c r="Q9" s="362"/>
      <c r="R9" s="423">
        <f>+Août!$Y$41</f>
        <v>1.5</v>
      </c>
      <c r="S9" s="424">
        <f>+Août!AC41</f>
        <v>0</v>
      </c>
      <c r="T9" s="90">
        <f>+Août!$AE$41</f>
        <v>48.063333333333333</v>
      </c>
      <c r="U9" s="361"/>
      <c r="V9" s="604" t="e">
        <f t="shared" ref="V9:V18" si="10">+AJ9*$W$24/$W$23</f>
        <v>#DIV/0!</v>
      </c>
      <c r="W9" s="547">
        <v>-1.33</v>
      </c>
      <c r="X9" s="548" t="e">
        <f t="shared" ref="X9:X18" si="11">+X8+V9-W9</f>
        <v>#DIV/0!</v>
      </c>
      <c r="Z9" s="429">
        <v>3</v>
      </c>
      <c r="AA9" s="602">
        <f t="shared" si="7"/>
        <v>43688</v>
      </c>
      <c r="AB9" s="343">
        <f>+AX94</f>
        <v>18</v>
      </c>
      <c r="AC9" s="339">
        <f t="shared" ref="AC9:AC18" si="12">+AI8</f>
        <v>57.80000000000004</v>
      </c>
      <c r="AD9" s="340">
        <v>1.43</v>
      </c>
      <c r="AE9" s="333">
        <f>+AY94</f>
        <v>136.16666666666666</v>
      </c>
      <c r="AF9" s="334">
        <f>+AE9+BA94+AZ94+BD94</f>
        <v>140.06666666666666</v>
      </c>
      <c r="AG9" s="335">
        <f>+AE9+AZ94+BD94+AD9+BA94+(AI29*$AJ$3)+BB94</f>
        <v>141.49666666666667</v>
      </c>
      <c r="AH9" s="364">
        <f t="shared" si="8"/>
        <v>3.4966666666666697</v>
      </c>
      <c r="AI9" s="552">
        <f>+AH9+AC9</f>
        <v>61.296666666666709</v>
      </c>
      <c r="AJ9" s="555">
        <f t="shared" si="9"/>
        <v>0</v>
      </c>
      <c r="AK9" s="797" t="str">
        <f t="shared" si="2"/>
        <v/>
      </c>
      <c r="AL9" s="799">
        <f>+'MaiN-1'!C8</f>
        <v>43590</v>
      </c>
      <c r="AM9" s="287">
        <f>+'MaiN-1'!D8</f>
        <v>0</v>
      </c>
      <c r="AN9" s="287" t="str">
        <f t="shared" si="0"/>
        <v/>
      </c>
      <c r="AO9" s="288" t="str">
        <f>+'MaiN-1'!W8</f>
        <v/>
      </c>
      <c r="AP9" s="288" t="str">
        <f>+'MaiN-1'!X8</f>
        <v/>
      </c>
      <c r="AQ9" s="289">
        <f>+'MaiN-1'!AF11</f>
        <v>6.9</v>
      </c>
      <c r="AR9" s="289">
        <f t="shared" si="1"/>
        <v>6.9</v>
      </c>
      <c r="AS9" s="289" t="str">
        <f>+'MaiN-1'!AE11</f>
        <v/>
      </c>
      <c r="AT9" s="289">
        <f>+'MaiN-1'!J8</f>
        <v>0</v>
      </c>
      <c r="AU9" s="279" t="str">
        <f>+IF(WEEKDAY(AL11)=1,SUM(AO9:AP$24),"")</f>
        <v/>
      </c>
      <c r="AV9" s="178" t="str">
        <f>+IF(WEEKDAY(AL11)=1,SUM(AP9:AP$24),"")</f>
        <v/>
      </c>
      <c r="AW9" s="178" t="str">
        <f>+IF(WEEKDAY(AL11)=1,SUM(AU9:AU$29),"")</f>
        <v/>
      </c>
      <c r="AX9" s="176"/>
      <c r="AY9" s="764"/>
      <c r="AZ9" s="764"/>
      <c r="BA9" s="764"/>
      <c r="BB9" s="764"/>
      <c r="BC9" s="764"/>
      <c r="BD9" s="764"/>
    </row>
    <row r="10" spans="1:56" ht="16.5">
      <c r="A10" s="901"/>
      <c r="B10" s="700" t="s">
        <v>215</v>
      </c>
      <c r="C10" s="37">
        <f>+Septembre!W37</f>
        <v>116.16666666666667</v>
      </c>
      <c r="D10" s="397">
        <f>+Septembre!Y37</f>
        <v>51.416666666666671</v>
      </c>
      <c r="E10" s="398">
        <f t="shared" si="4"/>
        <v>64.75</v>
      </c>
      <c r="F10" s="361"/>
      <c r="G10" s="409">
        <f>+Septembre!AC37</f>
        <v>0</v>
      </c>
      <c r="H10" s="410">
        <f>+Septembre!AD37</f>
        <v>3</v>
      </c>
      <c r="I10" s="411">
        <f>+Septembre!AE37</f>
        <v>0</v>
      </c>
      <c r="J10" s="404"/>
      <c r="K10" s="412">
        <f>+Septembre!AH37</f>
        <v>9</v>
      </c>
      <c r="L10" s="413">
        <f>+Septembre!AI37</f>
        <v>6</v>
      </c>
      <c r="M10" s="407"/>
      <c r="N10" s="414">
        <f>+Septembre!D37</f>
        <v>5</v>
      </c>
      <c r="O10" s="435">
        <f t="shared" si="5"/>
        <v>34.5</v>
      </c>
      <c r="P10" s="38">
        <f t="shared" si="6"/>
        <v>15</v>
      </c>
      <c r="Q10" s="362"/>
      <c r="R10" s="423">
        <f>+Septembre!$Y$41</f>
        <v>1</v>
      </c>
      <c r="S10" s="424">
        <f>+Septembre!AC41</f>
        <v>0</v>
      </c>
      <c r="T10" s="90">
        <f>+Septembre!$AE$41</f>
        <v>49.063333333333333</v>
      </c>
      <c r="U10" s="361"/>
      <c r="V10" s="604" t="e">
        <f t="shared" si="10"/>
        <v>#DIV/0!</v>
      </c>
      <c r="W10" s="547"/>
      <c r="X10" s="548" t="e">
        <f t="shared" si="11"/>
        <v>#DIV/0!</v>
      </c>
      <c r="Z10" s="429">
        <v>4</v>
      </c>
      <c r="AA10" s="602">
        <f t="shared" si="7"/>
        <v>43716</v>
      </c>
      <c r="AB10" s="343">
        <f>+AX125</f>
        <v>9</v>
      </c>
      <c r="AC10" s="339">
        <f t="shared" si="12"/>
        <v>61.296666666666709</v>
      </c>
      <c r="AD10" s="340">
        <v>-0.93</v>
      </c>
      <c r="AE10" s="333">
        <f>+AY125</f>
        <v>69.666666666666671</v>
      </c>
      <c r="AF10" s="334">
        <f>+AE10+BA125+AZ125+BD125</f>
        <v>138.66666666666669</v>
      </c>
      <c r="AG10" s="335">
        <f>+AE10+AZ125+BD125+AD10+BA125+(AI30*$AJ$3)+BB125</f>
        <v>137.73666666666668</v>
      </c>
      <c r="AH10" s="364">
        <f t="shared" si="8"/>
        <v>-0.26333333333332121</v>
      </c>
      <c r="AI10" s="552">
        <f t="shared" si="3"/>
        <v>61.033333333333388</v>
      </c>
      <c r="AJ10" s="555">
        <f t="shared" si="9"/>
        <v>0</v>
      </c>
      <c r="AK10" s="797" t="str">
        <f t="shared" si="2"/>
        <v/>
      </c>
      <c r="AL10" s="800">
        <f>+'MaiN-1'!C9</f>
        <v>43591</v>
      </c>
      <c r="AM10" s="287" t="str">
        <f>+'MaiN-1'!D9</f>
        <v>CP</v>
      </c>
      <c r="AN10" s="287" t="str">
        <f t="shared" si="0"/>
        <v/>
      </c>
      <c r="AO10" s="288" t="str">
        <f>+'MaiN-1'!W9</f>
        <v/>
      </c>
      <c r="AP10" s="288">
        <f>+'MaiN-1'!X9</f>
        <v>6.9</v>
      </c>
      <c r="AQ10" s="289" t="str">
        <f>+'MaiN-1'!AF12</f>
        <v/>
      </c>
      <c r="AR10" s="289" t="str">
        <f t="shared" si="1"/>
        <v/>
      </c>
      <c r="AS10" s="289" t="str">
        <f>+'MaiN-1'!AE12</f>
        <v/>
      </c>
      <c r="AT10" s="289">
        <f>+'MaiN-1'!J9</f>
        <v>0</v>
      </c>
      <c r="AU10" s="279" t="str">
        <f>+IF(WEEKDAY(AL12)=1,SUM(AO10:AP$24),"")</f>
        <v/>
      </c>
      <c r="AV10" s="178" t="str">
        <f>+IF(WEEKDAY(AL12)=1,SUM(AP10:AP$24),"")</f>
        <v/>
      </c>
      <c r="AW10" s="178" t="str">
        <f>+IF(WEEKDAY(AL12)=1,SUM(AU10:AU$29),"")</f>
        <v/>
      </c>
      <c r="AX10" s="176"/>
      <c r="AY10" s="764"/>
      <c r="AZ10" s="764"/>
      <c r="BA10" s="764"/>
      <c r="BB10" s="764"/>
      <c r="BC10" s="764"/>
      <c r="BD10" s="764"/>
    </row>
    <row r="11" spans="1:56" ht="16.5">
      <c r="A11" s="901"/>
      <c r="B11" s="700" t="s">
        <v>216</v>
      </c>
      <c r="C11" s="37">
        <f>+Octobre!W37</f>
        <v>175.25</v>
      </c>
      <c r="D11" s="397">
        <f>+Octobre!Y37</f>
        <v>98.166666666666671</v>
      </c>
      <c r="E11" s="398">
        <f t="shared" si="4"/>
        <v>77.083333333333329</v>
      </c>
      <c r="F11" s="361"/>
      <c r="G11" s="409">
        <f>+Octobre!AC37</f>
        <v>0</v>
      </c>
      <c r="H11" s="410">
        <f>+Octobre!AD37</f>
        <v>12.916666666666668</v>
      </c>
      <c r="I11" s="411">
        <f>+Octobre!AE37</f>
        <v>0</v>
      </c>
      <c r="J11" s="404"/>
      <c r="K11" s="412">
        <f>+Octobre!AH37</f>
        <v>11</v>
      </c>
      <c r="L11" s="413">
        <f>+Octobre!AI37</f>
        <v>12</v>
      </c>
      <c r="M11" s="407"/>
      <c r="N11" s="414">
        <f>+Octobre!D37</f>
        <v>0</v>
      </c>
      <c r="O11" s="435">
        <f t="shared" si="5"/>
        <v>0</v>
      </c>
      <c r="P11" s="38">
        <f t="shared" si="6"/>
        <v>15</v>
      </c>
      <c r="Q11" s="362"/>
      <c r="R11" s="423">
        <f>+Octobre!$Y$41</f>
        <v>2</v>
      </c>
      <c r="S11" s="424">
        <f>+Octobre!AC41</f>
        <v>0</v>
      </c>
      <c r="T11" s="90">
        <f>+Octobre!$AE$41</f>
        <v>51.063333333333333</v>
      </c>
      <c r="U11" s="361"/>
      <c r="V11" s="604" t="e">
        <f t="shared" si="10"/>
        <v>#DIV/0!</v>
      </c>
      <c r="W11" s="547"/>
      <c r="X11" s="548" t="e">
        <f t="shared" si="11"/>
        <v>#DIV/0!</v>
      </c>
      <c r="Z11" s="429">
        <v>5</v>
      </c>
      <c r="AA11" s="602">
        <f t="shared" si="7"/>
        <v>43744</v>
      </c>
      <c r="AB11" s="343">
        <f>+AX155</f>
        <v>19</v>
      </c>
      <c r="AC11" s="339">
        <f t="shared" si="12"/>
        <v>61.033333333333388</v>
      </c>
      <c r="AD11" s="340">
        <v>0.25</v>
      </c>
      <c r="AE11" s="333">
        <f>+AY155</f>
        <v>146.83333333333334</v>
      </c>
      <c r="AF11" s="334">
        <f>+AE11+BA155+AZ155+BD155</f>
        <v>146.83333333333334</v>
      </c>
      <c r="AG11" s="335">
        <f>+AE11+AZ155+BD155+AD11+BA155+(AI31*$AJ$3)+BB155</f>
        <v>147.08333333333334</v>
      </c>
      <c r="AH11" s="364">
        <f t="shared" si="8"/>
        <v>9.0833333333333428</v>
      </c>
      <c r="AI11" s="552">
        <f t="shared" si="3"/>
        <v>70.116666666666731</v>
      </c>
      <c r="AJ11" s="555">
        <f t="shared" si="9"/>
        <v>8.8333333333333428</v>
      </c>
      <c r="AK11" s="797" t="str">
        <f t="shared" si="2"/>
        <v/>
      </c>
      <c r="AL11" s="800">
        <f>+'MaiN-1'!C10</f>
        <v>43592</v>
      </c>
      <c r="AM11" s="287" t="str">
        <f>+'MaiN-1'!D10</f>
        <v>CP</v>
      </c>
      <c r="AN11" s="287" t="str">
        <f t="shared" si="0"/>
        <v/>
      </c>
      <c r="AO11" s="288" t="str">
        <f>+'MaiN-1'!W10</f>
        <v/>
      </c>
      <c r="AP11" s="288">
        <f>+'MaiN-1'!X10</f>
        <v>6.9</v>
      </c>
      <c r="AQ11" s="289" t="str">
        <f>+'MaiN-1'!AF13</f>
        <v/>
      </c>
      <c r="AR11" s="289" t="str">
        <f t="shared" si="1"/>
        <v/>
      </c>
      <c r="AS11" s="289" t="str">
        <f>+'MaiN-1'!AE13</f>
        <v/>
      </c>
      <c r="AT11" s="289">
        <f>+'MaiN-1'!J10</f>
        <v>0</v>
      </c>
      <c r="AU11" s="279" t="str">
        <f>+IF(WEEKDAY(AL13)=1,SUM(AO11:AP$24),"")</f>
        <v/>
      </c>
      <c r="AV11" s="178" t="str">
        <f>+IF(WEEKDAY(AL13)=1,SUM(AP11:AP$24),"")</f>
        <v/>
      </c>
      <c r="AW11" s="178" t="str">
        <f>+IF(WEEKDAY(AL13)=1,SUM(AU11:AU$29),"")</f>
        <v/>
      </c>
      <c r="AX11" s="176"/>
      <c r="AY11" s="764"/>
      <c r="AZ11" s="764"/>
      <c r="BA11" s="764"/>
      <c r="BB11" s="764"/>
      <c r="BC11" s="764"/>
      <c r="BD11" s="764"/>
    </row>
    <row r="12" spans="1:56" ht="16.5">
      <c r="A12" s="901"/>
      <c r="B12" s="700" t="s">
        <v>217</v>
      </c>
      <c r="C12" s="37">
        <f>+Novembre!W37</f>
        <v>145.66666666666666</v>
      </c>
      <c r="D12" s="397">
        <f>+Novembre!Y37</f>
        <v>44.750000000000014</v>
      </c>
      <c r="E12" s="398">
        <f t="shared" si="4"/>
        <v>100.91666666666664</v>
      </c>
      <c r="F12" s="361"/>
      <c r="G12" s="409">
        <f>+Novembre!AC37</f>
        <v>0</v>
      </c>
      <c r="H12" s="410">
        <f>+Novembre!AD37</f>
        <v>10.75</v>
      </c>
      <c r="I12" s="411">
        <f>+Novembre!AE37</f>
        <v>0</v>
      </c>
      <c r="J12" s="404"/>
      <c r="K12" s="412">
        <f>+Novembre!AH37</f>
        <v>14</v>
      </c>
      <c r="L12" s="413">
        <f>+Novembre!AI37</f>
        <v>5</v>
      </c>
      <c r="M12" s="407"/>
      <c r="N12" s="414">
        <f>+Novembre!D37</f>
        <v>0</v>
      </c>
      <c r="O12" s="435">
        <f t="shared" si="5"/>
        <v>0</v>
      </c>
      <c r="P12" s="38">
        <f t="shared" si="6"/>
        <v>15</v>
      </c>
      <c r="Q12" s="362"/>
      <c r="R12" s="423">
        <f>+Novembre!$Y$41</f>
        <v>0.83333333333333337</v>
      </c>
      <c r="S12" s="424">
        <f>+Novembre!AC41</f>
        <v>0</v>
      </c>
      <c r="T12" s="90">
        <f>+Novembre!$AE$41</f>
        <v>51.896666666666668</v>
      </c>
      <c r="U12" s="361"/>
      <c r="V12" s="604" t="e">
        <f t="shared" si="10"/>
        <v>#DIV/0!</v>
      </c>
      <c r="W12" s="547"/>
      <c r="X12" s="548" t="e">
        <f t="shared" si="11"/>
        <v>#DIV/0!</v>
      </c>
      <c r="Z12" s="429">
        <v>6</v>
      </c>
      <c r="AA12" s="602">
        <f t="shared" si="7"/>
        <v>43772</v>
      </c>
      <c r="AB12" s="343">
        <f>+AX186</f>
        <v>20</v>
      </c>
      <c r="AC12" s="339">
        <f t="shared" si="12"/>
        <v>70.116666666666731</v>
      </c>
      <c r="AD12" s="340">
        <v>-7.15</v>
      </c>
      <c r="AE12" s="333">
        <f>+AY186</f>
        <v>152.33333333333331</v>
      </c>
      <c r="AF12" s="334">
        <f>+AE12+BA186+AZ186+BD186</f>
        <v>159.23333333333332</v>
      </c>
      <c r="AG12" s="335">
        <f>+AE12+AZ186+BD186+AD12+BA186+(AI32*$AJ$3)+BB186</f>
        <v>158.98333333333332</v>
      </c>
      <c r="AH12" s="364">
        <f t="shared" si="8"/>
        <v>20.98333333333332</v>
      </c>
      <c r="AI12" s="552">
        <f t="shared" si="3"/>
        <v>91.100000000000051</v>
      </c>
      <c r="AJ12" s="555">
        <f t="shared" si="9"/>
        <v>14.333333333333314</v>
      </c>
      <c r="AK12" s="797" t="str">
        <f t="shared" si="2"/>
        <v/>
      </c>
      <c r="AL12" s="286">
        <f>+'MaiN-1'!C11</f>
        <v>43593</v>
      </c>
      <c r="AM12" s="287">
        <f>+'MaiN-1'!D11</f>
        <v>0</v>
      </c>
      <c r="AN12" s="287" t="str">
        <f t="shared" si="0"/>
        <v/>
      </c>
      <c r="AO12" s="288" t="str">
        <f>+'MaiN-1'!W11</f>
        <v/>
      </c>
      <c r="AP12" s="288" t="str">
        <f>+'MaiN-1'!X11</f>
        <v/>
      </c>
      <c r="AQ12" s="289" t="str">
        <f>+'MaiN-1'!AF14</f>
        <v/>
      </c>
      <c r="AR12" s="289" t="str">
        <f t="shared" si="1"/>
        <v/>
      </c>
      <c r="AS12" s="289" t="str">
        <f>+'MaiN-1'!AE14</f>
        <v/>
      </c>
      <c r="AT12" s="289">
        <f>+'MaiN-1'!J11</f>
        <v>0</v>
      </c>
      <c r="AU12" s="279" t="str">
        <f>+IF(WEEKDAY(AL14)=1,SUM(AO12:AP$24),"")</f>
        <v/>
      </c>
      <c r="AV12" s="178" t="str">
        <f>+IF(WEEKDAY(AL14)=1,SUM(AP12:AP$24),"")</f>
        <v/>
      </c>
      <c r="AW12" s="178" t="str">
        <f>+IF(WEEKDAY(AL14)=1,SUM(AU12:AU$29),"")</f>
        <v/>
      </c>
      <c r="AX12" s="176"/>
      <c r="AY12" s="764"/>
      <c r="AZ12" s="764"/>
      <c r="BA12" s="764"/>
      <c r="BB12" s="764"/>
      <c r="BC12" s="764"/>
      <c r="BD12" s="764"/>
    </row>
    <row r="13" spans="1:56" ht="17.25" thickBot="1">
      <c r="A13" s="902"/>
      <c r="B13" s="722" t="s">
        <v>218</v>
      </c>
      <c r="C13" s="723">
        <f>+Décembre!W37</f>
        <v>53.583333333333336</v>
      </c>
      <c r="D13" s="724">
        <f>+Décembre!Y37</f>
        <v>47</v>
      </c>
      <c r="E13" s="725">
        <f t="shared" si="4"/>
        <v>6.5833333333333357</v>
      </c>
      <c r="F13" s="361"/>
      <c r="G13" s="726">
        <f>+Décembre!AC37</f>
        <v>0</v>
      </c>
      <c r="H13" s="727">
        <f>+Décembre!AD37</f>
        <v>10.166666666666668</v>
      </c>
      <c r="I13" s="728">
        <f>+Décembre!AE37</f>
        <v>0</v>
      </c>
      <c r="J13" s="729"/>
      <c r="K13" s="730">
        <f>+Décembre!AH37</f>
        <v>1</v>
      </c>
      <c r="L13" s="731">
        <f>+Décembre!AI37</f>
        <v>6</v>
      </c>
      <c r="M13" s="407"/>
      <c r="N13" s="732">
        <f>+Décembre!D37</f>
        <v>0</v>
      </c>
      <c r="O13" s="733">
        <f t="shared" si="5"/>
        <v>0</v>
      </c>
      <c r="P13" s="734">
        <f t="shared" si="6"/>
        <v>15</v>
      </c>
      <c r="Q13" s="362"/>
      <c r="R13" s="735">
        <f>+Décembre!$Y$41</f>
        <v>1</v>
      </c>
      <c r="S13" s="736">
        <f>+Décembre!AC41</f>
        <v>0</v>
      </c>
      <c r="T13" s="737">
        <f>+Décembre!$AE$41</f>
        <v>52.896666666666668</v>
      </c>
      <c r="U13" s="361"/>
      <c r="V13" s="738" t="e">
        <f t="shared" si="10"/>
        <v>#DIV/0!</v>
      </c>
      <c r="W13" s="739"/>
      <c r="X13" s="740" t="e">
        <f t="shared" si="11"/>
        <v>#DIV/0!</v>
      </c>
      <c r="Z13" s="429">
        <v>7</v>
      </c>
      <c r="AA13" s="602">
        <f t="shared" si="7"/>
        <v>43800</v>
      </c>
      <c r="AB13" s="343">
        <f>+AX216</f>
        <v>19</v>
      </c>
      <c r="AC13" s="339">
        <f t="shared" si="12"/>
        <v>91.100000000000051</v>
      </c>
      <c r="AD13" s="340"/>
      <c r="AE13" s="333">
        <f>+AY216</f>
        <v>145.58333333333334</v>
      </c>
      <c r="AF13" s="334">
        <f>+AE13+BA216+AZ216+BD216</f>
        <v>152.48333333333335</v>
      </c>
      <c r="AG13" s="335">
        <f>+AE13+AZ216+BD216+AD13+BA216+(AI33*$AJ$3)+BB216</f>
        <v>159.38333333333335</v>
      </c>
      <c r="AH13" s="364">
        <f t="shared" si="8"/>
        <v>21.383333333333354</v>
      </c>
      <c r="AI13" s="552">
        <f t="shared" si="3"/>
        <v>112.48333333333341</v>
      </c>
      <c r="AJ13" s="555">
        <f t="shared" si="9"/>
        <v>7.5833333333333428</v>
      </c>
      <c r="AK13" s="797" t="str">
        <f t="shared" si="2"/>
        <v/>
      </c>
      <c r="AL13" s="286">
        <f>+'MaiN-1'!C12</f>
        <v>43594</v>
      </c>
      <c r="AM13" s="287" t="str">
        <f>+'MaiN-1'!D12</f>
        <v>CP</v>
      </c>
      <c r="AN13" s="287" t="str">
        <f t="shared" si="0"/>
        <v/>
      </c>
      <c r="AO13" s="288" t="str">
        <f>+'MaiN-1'!W12</f>
        <v/>
      </c>
      <c r="AP13" s="288">
        <f>+'MaiN-1'!X12</f>
        <v>6.9</v>
      </c>
      <c r="AQ13" s="289" t="str">
        <f>+'MaiN-1'!AF15</f>
        <v/>
      </c>
      <c r="AR13" s="289" t="str">
        <f t="shared" si="1"/>
        <v/>
      </c>
      <c r="AS13" s="289" t="str">
        <f>+'MaiN-1'!AE15</f>
        <v/>
      </c>
      <c r="AT13" s="289">
        <f>+'MaiN-1'!J12</f>
        <v>0</v>
      </c>
      <c r="AU13" s="279" t="str">
        <f>+IF(WEEKDAY(AL15)=1,SUM(AO13:AP$24),"")</f>
        <v/>
      </c>
      <c r="AV13" s="178" t="str">
        <f>+IF(WEEKDAY(AL15)=1,SUM(AP13:AP$24),"")</f>
        <v/>
      </c>
      <c r="AW13" s="178" t="str">
        <f>+IF(WEEKDAY(AL15)=1,SUM(AU13:AU$29),"")</f>
        <v/>
      </c>
      <c r="AX13" s="176"/>
      <c r="AY13" s="764"/>
      <c r="AZ13" s="764"/>
      <c r="BA13" s="764"/>
      <c r="BB13" s="764"/>
      <c r="BC13" s="764"/>
      <c r="BD13" s="764"/>
    </row>
    <row r="14" spans="1:56" ht="17.25" thickTop="1">
      <c r="A14" s="903">
        <f>+Janvier!A2</f>
        <v>43831</v>
      </c>
      <c r="B14" s="707" t="s">
        <v>219</v>
      </c>
      <c r="C14" s="388">
        <f>+Janvier!W37</f>
        <v>116.41666666666667</v>
      </c>
      <c r="D14" s="395">
        <f>+Janvier!Y37</f>
        <v>64.25</v>
      </c>
      <c r="E14" s="396">
        <f t="shared" si="4"/>
        <v>52.166666666666671</v>
      </c>
      <c r="F14" s="703"/>
      <c r="G14" s="708">
        <f>+Janvier!AC37</f>
        <v>1.77</v>
      </c>
      <c r="H14" s="709">
        <f>+Janvier!AD37</f>
        <v>10.250000000000004</v>
      </c>
      <c r="I14" s="710">
        <f>+Janvier!AE37</f>
        <v>3</v>
      </c>
      <c r="J14" s="704"/>
      <c r="K14" s="711">
        <f>+Janvier!AH37</f>
        <v>6</v>
      </c>
      <c r="L14" s="712">
        <f>+Janvier!AI37</f>
        <v>8</v>
      </c>
      <c r="M14" s="705"/>
      <c r="N14" s="713">
        <f>+Janvier!D37</f>
        <v>2</v>
      </c>
      <c r="O14" s="714">
        <f t="shared" si="5"/>
        <v>13.8</v>
      </c>
      <c r="P14" s="715">
        <f t="shared" si="6"/>
        <v>13</v>
      </c>
      <c r="Q14" s="706"/>
      <c r="R14" s="716">
        <f>+Janvier!$Y$41</f>
        <v>1.3333333333333333</v>
      </c>
      <c r="S14" s="717">
        <f>+Janvier!AC42</f>
        <v>0</v>
      </c>
      <c r="T14" s="718">
        <f>+Janvier!$AE$41</f>
        <v>54.230000000000004</v>
      </c>
      <c r="U14" s="703"/>
      <c r="V14" s="719" t="e">
        <f t="shared" si="10"/>
        <v>#DIV/0!</v>
      </c>
      <c r="W14" s="720"/>
      <c r="X14" s="721" t="e">
        <f t="shared" si="11"/>
        <v>#DIV/0!</v>
      </c>
      <c r="Z14" s="429">
        <v>8</v>
      </c>
      <c r="AA14" s="602">
        <f t="shared" si="7"/>
        <v>43828</v>
      </c>
      <c r="AB14" s="343">
        <f>+AX247</f>
        <v>5</v>
      </c>
      <c r="AC14" s="339">
        <f t="shared" si="12"/>
        <v>112.48333333333341</v>
      </c>
      <c r="AD14" s="340"/>
      <c r="AE14" s="333">
        <f>+AY247</f>
        <v>36.666666666666671</v>
      </c>
      <c r="AF14" s="334">
        <f>+AE14+BA247+AZ247+BD247</f>
        <v>47.466666666666669</v>
      </c>
      <c r="AG14" s="335">
        <f>+AE14+AZ247+BD247+AD14+BA247+(AI34*$AJ$3)+BB247</f>
        <v>150.96666666666667</v>
      </c>
      <c r="AH14" s="364">
        <f t="shared" si="8"/>
        <v>12.966666666666669</v>
      </c>
      <c r="AI14" s="552">
        <f t="shared" si="3"/>
        <v>125.45000000000007</v>
      </c>
      <c r="AJ14" s="555">
        <f t="shared" si="9"/>
        <v>0</v>
      </c>
      <c r="AK14" s="797" t="str">
        <f t="shared" si="2"/>
        <v/>
      </c>
      <c r="AL14" s="286">
        <f>+'MaiN-1'!C13</f>
        <v>43595</v>
      </c>
      <c r="AM14" s="287" t="str">
        <f>+'MaiN-1'!D13</f>
        <v>CP</v>
      </c>
      <c r="AN14" s="287" t="str">
        <f t="shared" si="0"/>
        <v/>
      </c>
      <c r="AO14" s="288" t="str">
        <f>+'MaiN-1'!W13</f>
        <v/>
      </c>
      <c r="AP14" s="288">
        <f>+'MaiN-1'!X13</f>
        <v>6.9</v>
      </c>
      <c r="AQ14" s="289" t="str">
        <f>+'MaiN-1'!AF16</f>
        <v/>
      </c>
      <c r="AR14" s="289" t="str">
        <f t="shared" si="1"/>
        <v/>
      </c>
      <c r="AS14" s="289" t="str">
        <f>+'MaiN-1'!AE16</f>
        <v/>
      </c>
      <c r="AT14" s="289">
        <f>+'MaiN-1'!J13</f>
        <v>0</v>
      </c>
      <c r="AU14" s="279">
        <f>+IF(WEEKDAY(AL16)=1,SUM(AO14:AP$24),"")</f>
        <v>49.15</v>
      </c>
      <c r="AV14" s="178">
        <f>+IF(WEEKDAY(AL16)=1,SUM(AP14:AP$24),"")</f>
        <v>41.4</v>
      </c>
      <c r="AW14" s="178">
        <f>+IF(WEEKDAY(AL16)=1,SUM(AU14:AU$29),"")</f>
        <v>114.65</v>
      </c>
      <c r="AX14" s="176"/>
      <c r="AY14" s="764"/>
      <c r="AZ14" s="764"/>
      <c r="BA14" s="764"/>
      <c r="BB14" s="764"/>
      <c r="BC14" s="764"/>
      <c r="BD14" s="764"/>
    </row>
    <row r="15" spans="1:56" ht="16.5">
      <c r="A15" s="904"/>
      <c r="B15" s="700" t="s">
        <v>220</v>
      </c>
      <c r="C15" s="37">
        <f>+Février!W37</f>
        <v>141.58333333333334</v>
      </c>
      <c r="D15" s="397">
        <f>+Février!Y37</f>
        <v>44.75</v>
      </c>
      <c r="E15" s="398">
        <f t="shared" si="4"/>
        <v>96.833333333333343</v>
      </c>
      <c r="F15" s="361"/>
      <c r="G15" s="409">
        <f>+Février!AC37</f>
        <v>0</v>
      </c>
      <c r="H15" s="410">
        <f>+Février!AD37</f>
        <v>10.666666666666668</v>
      </c>
      <c r="I15" s="411">
        <f>+Février!AE37</f>
        <v>0</v>
      </c>
      <c r="J15" s="404"/>
      <c r="K15" s="412">
        <f>+Février!AH37</f>
        <v>12</v>
      </c>
      <c r="L15" s="413">
        <f>+Février!AI37</f>
        <v>5</v>
      </c>
      <c r="M15" s="407"/>
      <c r="N15" s="414">
        <f>+Février!D37</f>
        <v>0</v>
      </c>
      <c r="O15" s="435">
        <f t="shared" si="5"/>
        <v>0</v>
      </c>
      <c r="P15" s="38">
        <f t="shared" si="6"/>
        <v>13</v>
      </c>
      <c r="Q15" s="702"/>
      <c r="R15" s="423">
        <f>+Février!$Y$41</f>
        <v>0.83333333333333337</v>
      </c>
      <c r="S15" s="424">
        <f>+Février!AC41</f>
        <v>0</v>
      </c>
      <c r="T15" s="90">
        <f>+Février!$AE$41</f>
        <v>55.06333333333334</v>
      </c>
      <c r="U15" s="361"/>
      <c r="V15" s="604" t="e">
        <f t="shared" si="10"/>
        <v>#DIV/0!</v>
      </c>
      <c r="W15" s="547"/>
      <c r="X15" s="548" t="e">
        <f t="shared" si="11"/>
        <v>#DIV/0!</v>
      </c>
      <c r="Z15" s="429">
        <v>9</v>
      </c>
      <c r="AA15" s="602">
        <f t="shared" si="7"/>
        <v>43856</v>
      </c>
      <c r="AB15" s="343">
        <f>+AX278</f>
        <v>13</v>
      </c>
      <c r="AC15" s="339">
        <f t="shared" si="12"/>
        <v>125.45000000000007</v>
      </c>
      <c r="AD15" s="340"/>
      <c r="AE15" s="333">
        <f>+AY278</f>
        <v>95.333333333333329</v>
      </c>
      <c r="AF15" s="334">
        <f>+AE15+BA278+AZ278+BD178</f>
        <v>109.13333333333333</v>
      </c>
      <c r="AG15" s="335">
        <f>+AE15+AZ278+BD278+AD15+BA278+(AI35*$AJ$3)+BB278</f>
        <v>109.13333333333333</v>
      </c>
      <c r="AH15" s="364">
        <f t="shared" si="8"/>
        <v>-28.866666666666674</v>
      </c>
      <c r="AI15" s="552">
        <f t="shared" si="3"/>
        <v>96.5833333333334</v>
      </c>
      <c r="AJ15" s="555">
        <f t="shared" si="9"/>
        <v>0</v>
      </c>
      <c r="AK15" s="797" t="str">
        <f t="shared" si="2"/>
        <v/>
      </c>
      <c r="AL15" s="286">
        <f>+'MaiN-1'!C14</f>
        <v>43596</v>
      </c>
      <c r="AM15" s="287">
        <f>+'MaiN-1'!D14</f>
        <v>0</v>
      </c>
      <c r="AN15" s="287" t="str">
        <f t="shared" si="0"/>
        <v/>
      </c>
      <c r="AO15" s="288" t="str">
        <f>+'MaiN-1'!W14</f>
        <v/>
      </c>
      <c r="AP15" s="288" t="str">
        <f>+'MaiN-1'!X14</f>
        <v/>
      </c>
      <c r="AQ15" s="289" t="str">
        <f>+'MaiN-1'!AF17</f>
        <v/>
      </c>
      <c r="AR15" s="289" t="str">
        <f t="shared" si="1"/>
        <v/>
      </c>
      <c r="AS15" s="289" t="str">
        <f>+'MaiN-1'!AE17</f>
        <v/>
      </c>
      <c r="AT15" s="289">
        <f>+'MaiN-1'!J14</f>
        <v>0</v>
      </c>
      <c r="AU15" s="279" t="str">
        <f>+IF(WEEKDAY(AL17)=1,SUM(AO15:AP$24),"")</f>
        <v/>
      </c>
      <c r="AV15" s="178" t="str">
        <f>+IF(WEEKDAY(AL17)=1,SUM(AP15:AP$24),"")</f>
        <v/>
      </c>
      <c r="AW15" s="178" t="str">
        <f>+IF(WEEKDAY(AL17)=1,SUM(AU15:AU$29),"")</f>
        <v/>
      </c>
      <c r="AX15" s="176"/>
      <c r="AY15" s="764"/>
      <c r="AZ15" s="764"/>
      <c r="BA15" s="764"/>
      <c r="BB15" s="764"/>
      <c r="BC15" s="764"/>
      <c r="BD15" s="764"/>
    </row>
    <row r="16" spans="1:56" ht="16.5">
      <c r="A16" s="904"/>
      <c r="B16" s="700" t="s">
        <v>221</v>
      </c>
      <c r="C16" s="37">
        <f>+Mars!W37</f>
        <v>69.666666666666657</v>
      </c>
      <c r="D16" s="397">
        <f>+Mars!Y37</f>
        <v>38.333333333333336</v>
      </c>
      <c r="E16" s="398">
        <f t="shared" si="4"/>
        <v>31.333333333333321</v>
      </c>
      <c r="F16" s="361"/>
      <c r="G16" s="409">
        <f>+Mars!AC37</f>
        <v>0</v>
      </c>
      <c r="H16" s="410">
        <f>+Mars!AD37</f>
        <v>3</v>
      </c>
      <c r="I16" s="411">
        <f>+Mars!AE37</f>
        <v>0</v>
      </c>
      <c r="J16" s="404"/>
      <c r="K16" s="412">
        <f>+Mars!AH37</f>
        <v>4</v>
      </c>
      <c r="L16" s="413">
        <f>+Mars!AI37</f>
        <v>5</v>
      </c>
      <c r="M16" s="407"/>
      <c r="N16" s="414">
        <f>+Mars!D37</f>
        <v>0</v>
      </c>
      <c r="O16" s="435">
        <f t="shared" si="5"/>
        <v>0</v>
      </c>
      <c r="P16" s="38">
        <f t="shared" si="6"/>
        <v>13</v>
      </c>
      <c r="Q16" s="702"/>
      <c r="R16" s="423">
        <f>+Mars!$Y$41</f>
        <v>0.83333333333333337</v>
      </c>
      <c r="S16" s="424">
        <f>+Mars!AC41</f>
        <v>0</v>
      </c>
      <c r="T16" s="90">
        <f>+Mars!$AE$41</f>
        <v>55.896666666666675</v>
      </c>
      <c r="U16" s="361"/>
      <c r="V16" s="604" t="e">
        <f t="shared" si="10"/>
        <v>#DIV/0!</v>
      </c>
      <c r="W16" s="547"/>
      <c r="X16" s="548" t="e">
        <f t="shared" si="11"/>
        <v>#DIV/0!</v>
      </c>
      <c r="Z16" s="429">
        <v>10</v>
      </c>
      <c r="AA16" s="602">
        <f t="shared" si="7"/>
        <v>43884</v>
      </c>
      <c r="AB16" s="343">
        <f>+AX306</f>
        <v>20</v>
      </c>
      <c r="AC16" s="339">
        <f t="shared" si="12"/>
        <v>96.5833333333334</v>
      </c>
      <c r="AD16" s="340"/>
      <c r="AE16" s="333">
        <f>+AY306</f>
        <v>150</v>
      </c>
      <c r="AF16" s="334">
        <f>+AE16+BA306+AZ306+BD306</f>
        <v>150</v>
      </c>
      <c r="AG16" s="335">
        <f>+AE16+AZ306+BD306+AD16+BA306+(AI36*$AJ$3)+BB306</f>
        <v>150</v>
      </c>
      <c r="AH16" s="364">
        <f t="shared" si="8"/>
        <v>12</v>
      </c>
      <c r="AI16" s="552">
        <f t="shared" si="3"/>
        <v>108.5833333333334</v>
      </c>
      <c r="AJ16" s="555">
        <f t="shared" si="9"/>
        <v>12</v>
      </c>
      <c r="AK16" s="797" t="str">
        <f t="shared" si="2"/>
        <v/>
      </c>
      <c r="AL16" s="286">
        <f>+'MaiN-1'!C15</f>
        <v>43597</v>
      </c>
      <c r="AM16" s="287">
        <f>+'MaiN-1'!D15</f>
        <v>0</v>
      </c>
      <c r="AN16" s="287" t="str">
        <f t="shared" si="0"/>
        <v/>
      </c>
      <c r="AO16" s="288" t="str">
        <f>+'MaiN-1'!W15</f>
        <v/>
      </c>
      <c r="AP16" s="288" t="str">
        <f>+'MaiN-1'!X15</f>
        <v/>
      </c>
      <c r="AQ16" s="289" t="str">
        <f>+'MaiN-1'!AF18</f>
        <v/>
      </c>
      <c r="AR16" s="289" t="str">
        <f t="shared" si="1"/>
        <v/>
      </c>
      <c r="AS16" s="289" t="str">
        <f>+'MaiN-1'!AE18</f>
        <v/>
      </c>
      <c r="AT16" s="289">
        <f>+'MaiN-1'!J15</f>
        <v>0</v>
      </c>
      <c r="AU16" s="279" t="str">
        <f>+IF(WEEKDAY(AL18)=1,SUM(AO16:AP$24),"")</f>
        <v/>
      </c>
      <c r="AV16" s="178" t="str">
        <f>+IF(WEEKDAY(AL18)=1,SUM(AP16:AP$24),"")</f>
        <v/>
      </c>
      <c r="AW16" s="178" t="str">
        <f>+IF(WEEKDAY(AL18)=1,SUM(AU16:AU$29),"")</f>
        <v/>
      </c>
      <c r="AX16" s="176"/>
      <c r="AY16" s="764"/>
      <c r="AZ16" s="764"/>
      <c r="BA16" s="764"/>
      <c r="BB16" s="764"/>
      <c r="BC16" s="764"/>
      <c r="BD16" s="764"/>
    </row>
    <row r="17" spans="1:56" ht="16.5">
      <c r="A17" s="904"/>
      <c r="B17" s="700" t="s">
        <v>222</v>
      </c>
      <c r="C17" s="37">
        <f>+Avril!W37</f>
        <v>0</v>
      </c>
      <c r="D17" s="397">
        <f>+Avril!Y37</f>
        <v>0</v>
      </c>
      <c r="E17" s="398">
        <f t="shared" si="4"/>
        <v>0</v>
      </c>
      <c r="F17" s="361"/>
      <c r="G17" s="409">
        <f>+Avril!AC37</f>
        <v>0</v>
      </c>
      <c r="H17" s="410">
        <f>+Avril!AD37</f>
        <v>0</v>
      </c>
      <c r="I17" s="411">
        <f>+Avril!AE37</f>
        <v>0</v>
      </c>
      <c r="J17" s="404"/>
      <c r="K17" s="412">
        <f>+Avril!AH37</f>
        <v>0</v>
      </c>
      <c r="L17" s="413">
        <f>+Avril!AI37</f>
        <v>0</v>
      </c>
      <c r="M17" s="407"/>
      <c r="N17" s="414">
        <f>+Avril!D37</f>
        <v>4</v>
      </c>
      <c r="O17" s="435">
        <f t="shared" si="5"/>
        <v>27.6</v>
      </c>
      <c r="P17" s="38">
        <f t="shared" si="6"/>
        <v>9</v>
      </c>
      <c r="Q17" s="702"/>
      <c r="R17" s="423">
        <f>+Avril!$Y$41</f>
        <v>0</v>
      </c>
      <c r="S17" s="424">
        <f>+Avril!AC41</f>
        <v>0</v>
      </c>
      <c r="T17" s="90">
        <f>+Avril!$AE$41</f>
        <v>55.896666666666675</v>
      </c>
      <c r="U17" s="361"/>
      <c r="V17" s="604" t="e">
        <f t="shared" si="10"/>
        <v>#DIV/0!</v>
      </c>
      <c r="W17" s="547"/>
      <c r="X17" s="548" t="e">
        <f t="shared" si="11"/>
        <v>#DIV/0!</v>
      </c>
      <c r="Z17" s="429">
        <v>11</v>
      </c>
      <c r="AA17" s="602">
        <f t="shared" si="7"/>
        <v>43912</v>
      </c>
      <c r="AB17" s="343">
        <f>+AX337</f>
        <v>9</v>
      </c>
      <c r="AC17" s="339">
        <f t="shared" si="12"/>
        <v>108.5833333333334</v>
      </c>
      <c r="AD17" s="340"/>
      <c r="AE17" s="333">
        <f>+AY337</f>
        <v>69.666666666666657</v>
      </c>
      <c r="AF17" s="334">
        <f>+AE17+BA337+AZ337+BD337</f>
        <v>69.666666666666657</v>
      </c>
      <c r="AG17" s="335">
        <f>+AE17+AZ337+BD337+AD17+BA337+(AI37*$AJ$3)+BB337</f>
        <v>145.56666666666666</v>
      </c>
      <c r="AH17" s="364">
        <f t="shared" si="8"/>
        <v>7.5666666666666629</v>
      </c>
      <c r="AI17" s="552">
        <f t="shared" si="3"/>
        <v>116.15000000000006</v>
      </c>
      <c r="AJ17" s="555">
        <f t="shared" si="9"/>
        <v>0</v>
      </c>
      <c r="AK17" s="797" t="str">
        <f t="shared" si="2"/>
        <v/>
      </c>
      <c r="AL17" s="286">
        <f>+'MaiN-1'!C16</f>
        <v>43598</v>
      </c>
      <c r="AM17" s="287" t="str">
        <f>+'MaiN-1'!D16</f>
        <v>CP</v>
      </c>
      <c r="AN17" s="287" t="str">
        <f t="shared" si="0"/>
        <v/>
      </c>
      <c r="AO17" s="288" t="str">
        <f>+'MaiN-1'!W16</f>
        <v/>
      </c>
      <c r="AP17" s="288">
        <f>+'MaiN-1'!X16</f>
        <v>6.9</v>
      </c>
      <c r="AQ17" s="289" t="str">
        <f>+'MaiN-1'!AF19</f>
        <v/>
      </c>
      <c r="AR17" s="289" t="str">
        <f t="shared" si="1"/>
        <v/>
      </c>
      <c r="AS17" s="289" t="str">
        <f>+'MaiN-1'!AE19</f>
        <v/>
      </c>
      <c r="AT17" s="289">
        <f>+'MaiN-1'!J16</f>
        <v>0</v>
      </c>
      <c r="AU17" s="279" t="str">
        <f>+IF(WEEKDAY(AL19)=1,SUM(AO17:AP$24),"")</f>
        <v/>
      </c>
      <c r="AV17" s="178" t="str">
        <f>+IF(WEEKDAY(AL19)=1,SUM(AP17:AP$24),"")</f>
        <v/>
      </c>
      <c r="AW17" s="178" t="str">
        <f>+IF(WEEKDAY(AL19)=1,SUM(AU17:AU$29),"")</f>
        <v/>
      </c>
      <c r="AX17" s="176"/>
      <c r="AY17" s="764"/>
      <c r="AZ17" s="764"/>
      <c r="BA17" s="764"/>
      <c r="BB17" s="764"/>
      <c r="BC17" s="764"/>
      <c r="BD17" s="764"/>
    </row>
    <row r="18" spans="1:56" ht="17.25" thickBot="1">
      <c r="A18" s="905"/>
      <c r="B18" s="701" t="s">
        <v>223</v>
      </c>
      <c r="C18" s="39">
        <f>+Mai!W37</f>
        <v>0</v>
      </c>
      <c r="D18" s="399">
        <f>+Mai!Y37</f>
        <v>0</v>
      </c>
      <c r="E18" s="400">
        <f t="shared" si="4"/>
        <v>0</v>
      </c>
      <c r="F18" s="361"/>
      <c r="G18" s="415">
        <f>+Mai!AC37</f>
        <v>0</v>
      </c>
      <c r="H18" s="416">
        <f>+Mai!AD37</f>
        <v>0</v>
      </c>
      <c r="I18" s="417">
        <f>+Mai!AE37</f>
        <v>0</v>
      </c>
      <c r="J18" s="404"/>
      <c r="K18" s="418">
        <f>+Mai!AI37</f>
        <v>0</v>
      </c>
      <c r="L18" s="419">
        <f>+Mai!AJ37</f>
        <v>0</v>
      </c>
      <c r="M18" s="404"/>
      <c r="N18" s="420">
        <f>+Mai!D37</f>
        <v>4</v>
      </c>
      <c r="O18" s="437">
        <f t="shared" si="5"/>
        <v>27.6</v>
      </c>
      <c r="P18" s="40">
        <f t="shared" si="6"/>
        <v>5</v>
      </c>
      <c r="Q18" s="702"/>
      <c r="R18" s="425">
        <f>+Mai!$Y$41</f>
        <v>0</v>
      </c>
      <c r="S18" s="426">
        <f>+Mai!AC41</f>
        <v>0</v>
      </c>
      <c r="T18" s="83">
        <f>+Mai!$AE$41</f>
        <v>55.896666666666675</v>
      </c>
      <c r="U18" s="361"/>
      <c r="V18" s="605" t="e">
        <f t="shared" si="10"/>
        <v>#DIV/0!</v>
      </c>
      <c r="W18" s="549"/>
      <c r="X18" s="550" t="e">
        <f t="shared" si="11"/>
        <v>#DIV/0!</v>
      </c>
      <c r="Z18" s="429">
        <v>12</v>
      </c>
      <c r="AA18" s="602">
        <f t="shared" si="7"/>
        <v>43940</v>
      </c>
      <c r="AB18" s="343">
        <f>+AX367</f>
        <v>0</v>
      </c>
      <c r="AC18" s="339">
        <f t="shared" si="12"/>
        <v>116.15000000000006</v>
      </c>
      <c r="AD18" s="340"/>
      <c r="AE18" s="333">
        <f>+AY367</f>
        <v>0</v>
      </c>
      <c r="AF18" s="334">
        <f>+AE18+BA367+AZ367+BD367</f>
        <v>34.5</v>
      </c>
      <c r="AG18" s="335">
        <f>+AE18+AZ367+BD367+AD18+BA367+(AI38*$AJ$3)+BB367</f>
        <v>41.4</v>
      </c>
      <c r="AH18" s="364">
        <f t="shared" si="8"/>
        <v>-96.6</v>
      </c>
      <c r="AI18" s="552">
        <f t="shared" si="3"/>
        <v>19.550000000000068</v>
      </c>
      <c r="AJ18" s="555">
        <f t="shared" si="9"/>
        <v>0</v>
      </c>
      <c r="AK18" s="797" t="str">
        <f t="shared" si="2"/>
        <v/>
      </c>
      <c r="AL18" s="806">
        <f>+'MaiN-1'!C17</f>
        <v>43599</v>
      </c>
      <c r="AM18" s="287" t="str">
        <f>+'MaiN-1'!D17</f>
        <v>CP</v>
      </c>
      <c r="AN18" s="287" t="str">
        <f t="shared" si="0"/>
        <v/>
      </c>
      <c r="AO18" s="288" t="str">
        <f>+'MaiN-1'!W17</f>
        <v/>
      </c>
      <c r="AP18" s="288">
        <f>+'MaiN-1'!X17</f>
        <v>6.9</v>
      </c>
      <c r="AQ18" s="289" t="str">
        <f>+'MaiN-1'!AF20</f>
        <v/>
      </c>
      <c r="AR18" s="289" t="str">
        <f t="shared" si="1"/>
        <v/>
      </c>
      <c r="AS18" s="289" t="str">
        <f>+'MaiN-1'!AE20</f>
        <v/>
      </c>
      <c r="AT18" s="289">
        <f>+'MaiN-1'!J17</f>
        <v>0</v>
      </c>
      <c r="AU18" s="279" t="str">
        <f>+IF(WEEKDAY(AL20)=1,SUM(AO18:AP$24),"")</f>
        <v/>
      </c>
      <c r="AV18" s="178" t="str">
        <f>+IF(WEEKDAY(AL20)=1,SUM(AP18:AP$24),"")</f>
        <v/>
      </c>
      <c r="AW18" s="178" t="str">
        <f>+IF(WEEKDAY(AL20)=1,SUM(AU18:AU$29),"")</f>
        <v/>
      </c>
      <c r="AX18" s="176"/>
      <c r="AY18" s="764"/>
      <c r="AZ18" s="764"/>
      <c r="BA18" s="764"/>
      <c r="BB18" s="764"/>
      <c r="BC18" s="764"/>
      <c r="BD18" s="764"/>
    </row>
    <row r="19" spans="1:56" ht="15.75" thickBot="1">
      <c r="Z19" s="429">
        <v>13</v>
      </c>
      <c r="AA19" s="602">
        <f t="shared" si="7"/>
        <v>43968</v>
      </c>
      <c r="AB19" s="344">
        <f>+AX398</f>
        <v>0</v>
      </c>
      <c r="AC19" s="341">
        <f>+AI18</f>
        <v>19.550000000000068</v>
      </c>
      <c r="AD19" s="342"/>
      <c r="AE19" s="336">
        <f>+AY398</f>
        <v>0</v>
      </c>
      <c r="AF19" s="337">
        <f>+AE19+BA398+AZ398+BD398</f>
        <v>48.300000000000004</v>
      </c>
      <c r="AG19" s="338">
        <f>+AE19+AZ398+BD398+AD19+BA398+(AI39*$AJ$3)+BB398</f>
        <v>69</v>
      </c>
      <c r="AH19" s="365">
        <f t="shared" si="8"/>
        <v>-69</v>
      </c>
      <c r="AI19" s="553">
        <f t="shared" si="3"/>
        <v>-49.449999999999932</v>
      </c>
      <c r="AJ19" s="556">
        <f t="shared" si="9"/>
        <v>0</v>
      </c>
      <c r="AK19" s="797" t="str">
        <f t="shared" si="2"/>
        <v/>
      </c>
      <c r="AL19" s="804">
        <f>+'MaiN-1'!C18</f>
        <v>43600</v>
      </c>
      <c r="AM19" s="287" t="str">
        <f>+'MaiN-1'!D18</f>
        <v>CP</v>
      </c>
      <c r="AN19" s="287" t="str">
        <f t="shared" si="0"/>
        <v/>
      </c>
      <c r="AO19" s="288" t="str">
        <f>+'MaiN-1'!W18</f>
        <v/>
      </c>
      <c r="AP19" s="288">
        <f>+'MaiN-1'!X18</f>
        <v>6.9</v>
      </c>
      <c r="AQ19" s="289" t="str">
        <f>+'MaiN-1'!AF21</f>
        <v/>
      </c>
      <c r="AR19" s="289" t="str">
        <f t="shared" si="1"/>
        <v/>
      </c>
      <c r="AS19" s="289" t="str">
        <f>+'MaiN-1'!AE21</f>
        <v/>
      </c>
      <c r="AT19" s="289">
        <f>+'MaiN-1'!J18</f>
        <v>0</v>
      </c>
      <c r="AU19" s="279" t="str">
        <f>+IF(WEEKDAY(AL21)=1,SUM(AO19:AP$24),"")</f>
        <v/>
      </c>
      <c r="AV19" s="178" t="str">
        <f>+IF(WEEKDAY(AL21)=1,SUM(AP19:AP$24),"")</f>
        <v/>
      </c>
      <c r="AW19" s="178" t="str">
        <f>+IF(WEEKDAY(AL21)=1,SUM(AU19:AU$29),"")</f>
        <v/>
      </c>
      <c r="AX19" s="176"/>
      <c r="AY19" s="764"/>
      <c r="AZ19" s="764"/>
      <c r="BA19" s="764"/>
      <c r="BB19" s="764"/>
      <c r="BC19" s="764"/>
      <c r="BD19" s="764"/>
    </row>
    <row r="20" spans="1:56" ht="15.75" thickBot="1">
      <c r="N20" s="25"/>
      <c r="O20" s="25"/>
      <c r="P20" s="99"/>
      <c r="AK20" s="797" t="str">
        <f t="shared" si="2"/>
        <v/>
      </c>
      <c r="AL20" s="286">
        <f>+'MaiN-1'!C19</f>
        <v>43601</v>
      </c>
      <c r="AM20" s="287" t="str">
        <f>+'MaiN-1'!D19</f>
        <v>CP</v>
      </c>
      <c r="AN20" s="287" t="str">
        <f t="shared" si="0"/>
        <v/>
      </c>
      <c r="AO20" s="288" t="str">
        <f>+'MaiN-1'!W19</f>
        <v/>
      </c>
      <c r="AP20" s="288">
        <f>+'MaiN-1'!X19</f>
        <v>6.9</v>
      </c>
      <c r="AQ20" s="289" t="str">
        <f>+'MaiN-1'!AF22</f>
        <v/>
      </c>
      <c r="AR20" s="289" t="str">
        <f t="shared" si="1"/>
        <v/>
      </c>
      <c r="AS20" s="289" t="str">
        <f>+'MaiN-1'!AE22</f>
        <v/>
      </c>
      <c r="AT20" s="289">
        <f>+'MaiN-1'!J19</f>
        <v>0</v>
      </c>
      <c r="AU20" s="279" t="str">
        <f t="shared" ref="AU20:AU41" si="13">+IF(WEEKDAY(AL22)=1,SUM(AO14:AP20),"")</f>
        <v/>
      </c>
      <c r="AV20" s="178" t="str">
        <f>+IF(WEEKDAY(AL22)=1,SUM(AP20:AP$24),"")</f>
        <v/>
      </c>
      <c r="AW20" s="178" t="str">
        <f>+IF(WEEKDAY(AL22)=1,SUM(AU20:AU$29),"")</f>
        <v/>
      </c>
      <c r="AX20" s="176"/>
      <c r="AY20" s="764"/>
      <c r="AZ20" s="764"/>
      <c r="BA20" s="764"/>
      <c r="BB20" s="764"/>
      <c r="BC20" s="764"/>
      <c r="BD20" s="764"/>
    </row>
    <row r="21" spans="1:56" s="44" customFormat="1" ht="21" thickBot="1">
      <c r="B21" s="42" t="s">
        <v>11</v>
      </c>
      <c r="C21" s="601">
        <f>SUM(C7:C20)</f>
        <v>1263.5</v>
      </c>
      <c r="D21" s="601">
        <f>SUM(D7:D20)</f>
        <v>550.41666666666674</v>
      </c>
      <c r="E21" s="394"/>
      <c r="F21" s="313"/>
      <c r="G21" s="357">
        <f>SUM(G7:G18)</f>
        <v>1.77</v>
      </c>
      <c r="H21" s="357">
        <f>SUM(H7:H18)</f>
        <v>109.25000000000001</v>
      </c>
      <c r="I21" s="357">
        <f>SUM(I7:I18)</f>
        <v>16.666666666666668</v>
      </c>
      <c r="J21" s="358"/>
      <c r="K21" s="359">
        <f>SUM(K7:K18)</f>
        <v>94</v>
      </c>
      <c r="L21" s="360">
        <f>SUM(L7:L18)</f>
        <v>65</v>
      </c>
      <c r="M21" s="43"/>
      <c r="T21" s="914" t="s">
        <v>170</v>
      </c>
      <c r="U21" s="915"/>
      <c r="V21" s="915"/>
      <c r="W21" s="915"/>
      <c r="X21" s="462">
        <v>0.25</v>
      </c>
      <c r="Y21" s="97"/>
      <c r="AB21" s="438">
        <f>SUM(AB7:AB20)</f>
        <v>172</v>
      </c>
      <c r="AE21" s="190"/>
      <c r="AK21" s="797" t="str">
        <f t="shared" si="2"/>
        <v/>
      </c>
      <c r="AL21" s="286">
        <f>+'MaiN-1'!C20</f>
        <v>43602</v>
      </c>
      <c r="AM21" s="287" t="str">
        <f>+'MaiN-1'!D20</f>
        <v>CP</v>
      </c>
      <c r="AN21" s="287" t="str">
        <f t="shared" si="0"/>
        <v/>
      </c>
      <c r="AO21" s="288" t="str">
        <f>+'MaiN-1'!W20</f>
        <v/>
      </c>
      <c r="AP21" s="288">
        <f>+'MaiN-1'!X20</f>
        <v>6.9</v>
      </c>
      <c r="AQ21" s="289" t="str">
        <f>+'MaiN-1'!AF23</f>
        <v/>
      </c>
      <c r="AR21" s="289" t="str">
        <f t="shared" si="1"/>
        <v/>
      </c>
      <c r="AS21" s="289" t="str">
        <f>+'MaiN-1'!AE23</f>
        <v/>
      </c>
      <c r="AT21" s="289">
        <f>+'MaiN-1'!J20</f>
        <v>0</v>
      </c>
      <c r="AU21" s="279">
        <f t="shared" si="13"/>
        <v>34.5</v>
      </c>
      <c r="AV21" s="178">
        <f>+IF(WEEKDAY(AL23)=1,SUM(AP21:AP$24),"")</f>
        <v>6.9</v>
      </c>
      <c r="AW21" s="178">
        <f>+IF(WEEKDAY(AL23)=1,SUM(AU21:AU$29),"")</f>
        <v>65.5</v>
      </c>
      <c r="AX21" s="176"/>
      <c r="AY21" s="764"/>
      <c r="AZ21" s="764"/>
      <c r="BA21" s="764"/>
      <c r="BB21" s="764"/>
      <c r="BC21" s="764"/>
      <c r="BD21" s="764"/>
    </row>
    <row r="22" spans="1:56" ht="17.25" thickBot="1">
      <c r="C22" s="307">
        <f>(C21/$C$21)</f>
        <v>1</v>
      </c>
      <c r="D22" s="307">
        <f>(D21/$C$21)</f>
        <v>0.43562854504682763</v>
      </c>
      <c r="E22" s="387"/>
      <c r="G22" s="307">
        <f>(G21/$C$21)</f>
        <v>1.4008705975464978E-3</v>
      </c>
      <c r="H22" s="307">
        <f>(H21/$C$21)</f>
        <v>8.6466165413533844E-2</v>
      </c>
      <c r="I22" s="307">
        <f>(I21/$C$21)</f>
        <v>1.3190871916633691E-2</v>
      </c>
      <c r="N22" s="928" t="s">
        <v>76</v>
      </c>
      <c r="O22" s="929"/>
      <c r="P22" s="930"/>
      <c r="Z22" s="1" t="s">
        <v>173</v>
      </c>
      <c r="AB22" s="439">
        <f>+C21/AB21</f>
        <v>7.3459302325581399</v>
      </c>
      <c r="AC22" s="1" t="s">
        <v>196</v>
      </c>
      <c r="AK22" s="797" t="str">
        <f t="shared" si="2"/>
        <v/>
      </c>
      <c r="AL22" s="286">
        <f>+'MaiN-1'!C21</f>
        <v>43603</v>
      </c>
      <c r="AM22" s="287">
        <f>+'MaiN-1'!D21</f>
        <v>0</v>
      </c>
      <c r="AN22" s="287" t="str">
        <f t="shared" si="0"/>
        <v/>
      </c>
      <c r="AO22" s="288" t="str">
        <f>+'MaiN-1'!W21</f>
        <v/>
      </c>
      <c r="AP22" s="288" t="str">
        <f>+'MaiN-1'!X21</f>
        <v/>
      </c>
      <c r="AQ22" s="289" t="str">
        <f>+'MaiN-1'!AF24</f>
        <v/>
      </c>
      <c r="AR22" s="289" t="str">
        <f t="shared" si="1"/>
        <v/>
      </c>
      <c r="AS22" s="289" t="str">
        <f>+'MaiN-1'!AE24</f>
        <v/>
      </c>
      <c r="AT22" s="289">
        <f>+'MaiN-1'!J21</f>
        <v>0</v>
      </c>
      <c r="AU22" s="279" t="str">
        <f t="shared" si="13"/>
        <v/>
      </c>
      <c r="AV22" s="178" t="str">
        <f>+IF(WEEKDAY(AL24)=1,SUM(AP22:AP$24),"")</f>
        <v/>
      </c>
      <c r="AW22" s="178" t="str">
        <f>+IF(WEEKDAY(AL24)=1,SUM(AU22:AU$29),"")</f>
        <v/>
      </c>
      <c r="AX22" s="176"/>
      <c r="AY22" s="764"/>
      <c r="AZ22" s="764"/>
      <c r="BA22" s="764"/>
      <c r="BB22" s="764"/>
      <c r="BC22" s="764"/>
      <c r="BD22" s="764"/>
    </row>
    <row r="23" spans="1:56" ht="21" customHeight="1" thickBot="1">
      <c r="N23" s="931">
        <v>25</v>
      </c>
      <c r="O23" s="932"/>
      <c r="P23" s="933"/>
      <c r="T23" s="1" t="s">
        <v>26</v>
      </c>
      <c r="W23" s="1">
        <f>+'Bulletin de paie juin janv.'!D5</f>
        <v>0</v>
      </c>
      <c r="AB23" s="439">
        <f>+AB21/13</f>
        <v>13.23076923076923</v>
      </c>
      <c r="AC23" s="1" t="s">
        <v>195</v>
      </c>
      <c r="AJ23" s="807"/>
      <c r="AK23" s="797" t="str">
        <f t="shared" si="2"/>
        <v/>
      </c>
      <c r="AL23" s="286">
        <f>+'MaiN-1'!C22</f>
        <v>43604</v>
      </c>
      <c r="AM23" s="287">
        <f>+'MaiN-1'!D22</f>
        <v>0</v>
      </c>
      <c r="AN23" s="287" t="str">
        <f t="shared" si="0"/>
        <v/>
      </c>
      <c r="AO23" s="288" t="str">
        <f>+'MaiN-1'!W22</f>
        <v/>
      </c>
      <c r="AP23" s="288" t="str">
        <f>+'MaiN-1'!X22</f>
        <v/>
      </c>
      <c r="AQ23" s="289" t="str">
        <f>+'MaiN-1'!AF25</f>
        <v/>
      </c>
      <c r="AR23" s="289" t="str">
        <f t="shared" si="1"/>
        <v/>
      </c>
      <c r="AS23" s="289" t="str">
        <f>+'MaiN-1'!AE25</f>
        <v/>
      </c>
      <c r="AT23" s="289">
        <f>+'MaiN-1'!J22</f>
        <v>0</v>
      </c>
      <c r="AU23" s="279" t="str">
        <f t="shared" si="13"/>
        <v/>
      </c>
      <c r="AV23" s="178" t="str">
        <f>+IF(WEEKDAY(AL25)=1,SUM(AP23:AP$24),"")</f>
        <v/>
      </c>
      <c r="AW23" s="178" t="str">
        <f>+IF(WEEKDAY(AL25)=1,SUM(AU23:AU$29),"")</f>
        <v/>
      </c>
      <c r="AX23" s="176"/>
      <c r="AY23" s="764"/>
      <c r="AZ23" s="764"/>
      <c r="BA23" s="764"/>
      <c r="BB23" s="764"/>
      <c r="BC23" s="764"/>
      <c r="BD23" s="764"/>
    </row>
    <row r="24" spans="1:56" ht="21.75" customHeight="1" thickBot="1">
      <c r="B24" s="376" t="s">
        <v>78</v>
      </c>
      <c r="C24" s="312">
        <v>1584</v>
      </c>
      <c r="D24" s="926" t="s">
        <v>77</v>
      </c>
      <c r="E24" s="927"/>
      <c r="G24" s="943">
        <f>+C24-C21</f>
        <v>320.5</v>
      </c>
      <c r="H24" s="944"/>
      <c r="W24" s="1">
        <f>+W23*$X$21</f>
        <v>0</v>
      </c>
      <c r="AH24" s="377"/>
      <c r="AK24" s="977">
        <f>IF(MOD((AL24-$AF$27)/28,1),"",MOD((AL24-$AF$27)/28,13)+1)</f>
        <v>1</v>
      </c>
      <c r="AL24" s="286">
        <f>+'MaiN-1'!C23</f>
        <v>43605</v>
      </c>
      <c r="AM24" s="287" t="str">
        <f>+'MaiN-1'!D23</f>
        <v>AM</v>
      </c>
      <c r="AN24" s="287">
        <f t="shared" ref="AN24:AN25" si="14">+IF(AM24=0,"",IF(AM24="CP","",1))</f>
        <v>1</v>
      </c>
      <c r="AO24" s="288">
        <f>+'MaiN-1'!W23</f>
        <v>7.7499999999999991</v>
      </c>
      <c r="AP24" s="288" t="str">
        <f>+'MaiN-1'!X23</f>
        <v/>
      </c>
      <c r="AQ24" s="289" t="str">
        <f>+'MaiN-1'!AF26</f>
        <v/>
      </c>
      <c r="AR24" s="289" t="str">
        <f t="shared" si="1"/>
        <v/>
      </c>
      <c r="AS24" s="289" t="str">
        <f>+'MaiN-1'!AE26</f>
        <v/>
      </c>
      <c r="AT24" s="289">
        <f>+'MaiN-1'!J23</f>
        <v>0</v>
      </c>
      <c r="AU24" s="279" t="str">
        <f t="shared" si="13"/>
        <v/>
      </c>
      <c r="AV24" s="178" t="str">
        <f>+IF(WEEKDAY(AL26)=1,SUM(AP$24:AP24),"")</f>
        <v/>
      </c>
      <c r="AW24" s="178" t="str">
        <f>+IF(WEEKDAY(AL26)=1,SUM(AU24:AU$29),"")</f>
        <v/>
      </c>
      <c r="AX24" s="385"/>
      <c r="AY24" s="7"/>
      <c r="AZ24" s="7"/>
      <c r="BA24" s="7"/>
      <c r="BB24" s="7"/>
      <c r="BC24" s="588"/>
      <c r="BD24" s="7"/>
    </row>
    <row r="25" spans="1:56" ht="14.25" customHeight="1" thickBot="1">
      <c r="L25" s="618"/>
      <c r="M25" s="618"/>
      <c r="N25" s="921" t="s">
        <v>1</v>
      </c>
      <c r="O25" s="922"/>
      <c r="P25" s="923"/>
      <c r="AK25" s="977" t="str">
        <f t="shared" ref="AK25:AK80" si="15">IF(MOD((AL25-$AF$27)/28,1),"",MOD((AL25-$AF$27)/28,13)+1)</f>
        <v/>
      </c>
      <c r="AL25" s="286">
        <f>+'MaiN-1'!C24</f>
        <v>43606</v>
      </c>
      <c r="AM25" s="287" t="str">
        <f>+'MaiN-1'!D24</f>
        <v>AM</v>
      </c>
      <c r="AN25" s="287">
        <f t="shared" si="14"/>
        <v>1</v>
      </c>
      <c r="AO25" s="288">
        <f>+'MaiN-1'!W24</f>
        <v>7.7499999999999991</v>
      </c>
      <c r="AP25" s="288" t="str">
        <f>+'MaiN-1'!X24</f>
        <v/>
      </c>
      <c r="AQ25" s="289" t="str">
        <f>+'MaiN-1'!AF27</f>
        <v/>
      </c>
      <c r="AR25" s="289" t="str">
        <f t="shared" si="1"/>
        <v/>
      </c>
      <c r="AS25" s="289" t="str">
        <f>+'MaiN-1'!AE27</f>
        <v/>
      </c>
      <c r="AT25" s="289">
        <f>+'MaiN-1'!J24</f>
        <v>0</v>
      </c>
      <c r="AU25" s="279" t="str">
        <f t="shared" si="13"/>
        <v/>
      </c>
      <c r="AV25" s="178" t="str">
        <f>+IF(WEEKDAY(AL27)=1,SUM(AP$24:AP25),"")</f>
        <v/>
      </c>
      <c r="AW25" s="178" t="str">
        <f>+IF(WEEKDAY(AL27)=1,SUM(AU25:AU$29),"")</f>
        <v/>
      </c>
      <c r="AX25" s="385"/>
      <c r="AY25" s="7"/>
      <c r="AZ25" s="7"/>
      <c r="BA25" s="7"/>
      <c r="BB25" s="7"/>
      <c r="BC25" s="588"/>
      <c r="BD25" s="7"/>
    </row>
    <row r="26" spans="1:56" ht="15.75" thickBot="1">
      <c r="C26" s="467" t="s">
        <v>184</v>
      </c>
      <c r="D26" s="468" t="s">
        <v>186</v>
      </c>
      <c r="E26" s="469" t="s">
        <v>189</v>
      </c>
      <c r="G26" s="511" t="s">
        <v>79</v>
      </c>
      <c r="H26" s="512" t="s">
        <v>192</v>
      </c>
      <c r="I26" s="513" t="s">
        <v>5</v>
      </c>
      <c r="K26" s="571" t="s">
        <v>11</v>
      </c>
      <c r="L26" s="617"/>
      <c r="N26" s="653" t="s">
        <v>79</v>
      </c>
      <c r="O26" s="654" t="s">
        <v>5</v>
      </c>
      <c r="P26" s="655" t="s">
        <v>11</v>
      </c>
      <c r="AE26" s="587" t="s">
        <v>88</v>
      </c>
      <c r="AF26" s="945" t="s">
        <v>89</v>
      </c>
      <c r="AG26" s="946"/>
      <c r="AH26" s="946"/>
      <c r="AI26" s="303" t="s">
        <v>161</v>
      </c>
      <c r="AK26" s="977" t="str">
        <f t="shared" si="15"/>
        <v/>
      </c>
      <c r="AL26" s="286">
        <f>+'MaiN-1'!C25</f>
        <v>43607</v>
      </c>
      <c r="AM26" s="287" t="str">
        <f>+'MaiN-1'!D25</f>
        <v>AM</v>
      </c>
      <c r="AN26" s="287">
        <f t="shared" ref="AN26:AN64" si="16">+IF(AM26=0,"",IF(AM26="CP","",1))</f>
        <v>1</v>
      </c>
      <c r="AO26" s="288">
        <f>+'MaiN-1'!W25</f>
        <v>7.7499999999999991</v>
      </c>
      <c r="AP26" s="288" t="str">
        <f>+'MaiN-1'!X25</f>
        <v/>
      </c>
      <c r="AQ26" s="289" t="str">
        <f>+'MaiN-1'!AF28</f>
        <v/>
      </c>
      <c r="AR26" s="289" t="str">
        <f t="shared" si="1"/>
        <v/>
      </c>
      <c r="AS26" s="289" t="str">
        <f>+'MaiN-1'!AE28</f>
        <v/>
      </c>
      <c r="AT26" s="289">
        <f>+'MaiN-1'!J25</f>
        <v>0</v>
      </c>
      <c r="AU26" s="279" t="str">
        <f t="shared" si="13"/>
        <v/>
      </c>
      <c r="AV26" s="178" t="str">
        <f>+IF(WEEKDAY(AL28)=1,SUM(AP$24:AP26),"")</f>
        <v/>
      </c>
      <c r="AW26" s="178" t="str">
        <f>+IF(WEEKDAY(AL28)=1,SUM(AU26:AU$29),"")</f>
        <v/>
      </c>
      <c r="AX26" s="385"/>
      <c r="AZ26" s="28"/>
      <c r="BA26" s="28"/>
      <c r="BB26" s="28"/>
      <c r="BC26" s="28"/>
      <c r="BD26" s="28"/>
    </row>
    <row r="27" spans="1:56" ht="17.25" thickBot="1">
      <c r="B27" s="561" t="str">
        <f t="shared" ref="B27:B38" si="17">+B7</f>
        <v>juin</v>
      </c>
      <c r="C27" s="470">
        <f>+juin!D40</f>
        <v>162.66666666666666</v>
      </c>
      <c r="D27" s="471">
        <f>+juin!D41</f>
        <v>0</v>
      </c>
      <c r="E27" s="450">
        <f>+juin!D42</f>
        <v>0</v>
      </c>
      <c r="G27" s="498">
        <f>+juin!$AJ41</f>
        <v>7</v>
      </c>
      <c r="H27" s="499">
        <f>+juin!$AJ42</f>
        <v>9</v>
      </c>
      <c r="I27" s="500">
        <f>+juin!$AJ43</f>
        <v>5</v>
      </c>
      <c r="K27" s="572">
        <f>SUM(G27:I27)</f>
        <v>21</v>
      </c>
      <c r="L27" s="177"/>
      <c r="N27" s="658">
        <f>+juin!K36</f>
        <v>2</v>
      </c>
      <c r="O27" s="656">
        <f>+juin!K38</f>
        <v>1</v>
      </c>
      <c r="P27" s="662">
        <f>+N27+O27</f>
        <v>3</v>
      </c>
      <c r="AE27" s="428">
        <v>1</v>
      </c>
      <c r="AF27" s="788">
        <v>43605</v>
      </c>
      <c r="AG27" s="789"/>
      <c r="AH27" s="790">
        <f t="shared" ref="AH27:AH39" si="18">+AF27+27</f>
        <v>43632</v>
      </c>
      <c r="AI27" s="304"/>
      <c r="AK27" s="977" t="str">
        <f t="shared" si="15"/>
        <v/>
      </c>
      <c r="AL27" s="286">
        <f>+'MaiN-1'!C26</f>
        <v>43608</v>
      </c>
      <c r="AM27" s="287" t="str">
        <f>+'MaiN-1'!D26</f>
        <v>AM</v>
      </c>
      <c r="AN27" s="287">
        <f t="shared" ref="AN27:AN63" si="19">+IF(AM27=0,"",IF(AM27="CP","",1))</f>
        <v>1</v>
      </c>
      <c r="AO27" s="288">
        <f>+'MaiN-1'!W26</f>
        <v>7.7499999999999991</v>
      </c>
      <c r="AP27" s="288" t="str">
        <f>+'MaiN-1'!X26</f>
        <v/>
      </c>
      <c r="AQ27" s="289" t="str">
        <f>+'MaiN-1'!AF29</f>
        <v/>
      </c>
      <c r="AR27" s="289" t="str">
        <f t="shared" si="1"/>
        <v/>
      </c>
      <c r="AS27" s="289" t="str">
        <f>+'MaiN-1'!AE29</f>
        <v/>
      </c>
      <c r="AT27" s="289">
        <f>+'MaiN-1'!J26</f>
        <v>0</v>
      </c>
      <c r="AU27" s="279" t="str">
        <f t="shared" si="13"/>
        <v/>
      </c>
      <c r="AV27" s="178" t="str">
        <f>+IF(WEEKDAY(AL29)=1,SUM(AP$24:AP27),"")</f>
        <v/>
      </c>
      <c r="AW27" s="178" t="str">
        <f>+IF(WEEKDAY(AL29)=1,SUM(AU27:AU$29),"")</f>
        <v/>
      </c>
      <c r="AX27" s="385"/>
      <c r="AZ27" s="28"/>
      <c r="BA27" s="28"/>
      <c r="BB27" s="28"/>
      <c r="BC27" s="28"/>
      <c r="BD27" s="28"/>
    </row>
    <row r="28" spans="1:56" ht="16.5">
      <c r="B28" s="560" t="str">
        <f t="shared" si="17"/>
        <v>juillet</v>
      </c>
      <c r="C28" s="463">
        <f ca="1">+Juillet!D41</f>
        <v>162.41666666666666</v>
      </c>
      <c r="D28" s="465">
        <f>+Juillet!D42</f>
        <v>0</v>
      </c>
      <c r="E28" s="461">
        <f>+Juillet!D43</f>
        <v>0</v>
      </c>
      <c r="G28" s="509">
        <f>+Juillet!$M43</f>
        <v>7</v>
      </c>
      <c r="H28" s="501">
        <f>+Juillet!$M44</f>
        <v>10</v>
      </c>
      <c r="I28" s="510">
        <f>+Juillet!$M45</f>
        <v>5</v>
      </c>
      <c r="K28" s="573">
        <f t="shared" ref="K28:K38" si="20">SUM(G28:I28)</f>
        <v>22</v>
      </c>
      <c r="L28" s="177"/>
      <c r="N28" s="659">
        <f>+Juillet!K37</f>
        <v>2</v>
      </c>
      <c r="O28" s="657">
        <f>+Juillet!K39</f>
        <v>1</v>
      </c>
      <c r="P28" s="663">
        <f t="shared" ref="P28:P38" si="21">+N28+O28</f>
        <v>3</v>
      </c>
      <c r="AE28" s="429">
        <v>2</v>
      </c>
      <c r="AF28" s="791">
        <f t="shared" ref="AF28:AF39" si="22">+AH27+1</f>
        <v>43633</v>
      </c>
      <c r="AG28" s="792"/>
      <c r="AH28" s="790">
        <f t="shared" si="18"/>
        <v>43660</v>
      </c>
      <c r="AI28" s="305"/>
      <c r="AK28" s="977" t="str">
        <f t="shared" si="15"/>
        <v/>
      </c>
      <c r="AL28" s="286">
        <f>+'MaiN-1'!C27</f>
        <v>43609</v>
      </c>
      <c r="AM28" s="287">
        <f>+'MaiN-1'!D27</f>
        <v>0</v>
      </c>
      <c r="AN28" s="287" t="str">
        <f t="shared" si="19"/>
        <v/>
      </c>
      <c r="AO28" s="288" t="str">
        <f>+'MaiN-1'!W27</f>
        <v/>
      </c>
      <c r="AP28" s="288" t="str">
        <f>+'MaiN-1'!X27</f>
        <v/>
      </c>
      <c r="AQ28" s="289" t="str">
        <f>+'MaiN-1'!AF30</f>
        <v/>
      </c>
      <c r="AR28" s="289" t="str">
        <f t="shared" si="1"/>
        <v/>
      </c>
      <c r="AS28" s="289" t="str">
        <f>+'MaiN-1'!AE30</f>
        <v/>
      </c>
      <c r="AT28" s="289">
        <f>+'MaiN-1'!J27</f>
        <v>0</v>
      </c>
      <c r="AU28" s="279">
        <f t="shared" si="13"/>
        <v>30.999999999999996</v>
      </c>
      <c r="AV28" s="178">
        <f>+IF(WEEKDAY(AL30)=1,SUM(AP$24:AP28),"")</f>
        <v>0</v>
      </c>
      <c r="AW28" s="178">
        <f>+IF(WEEKDAY(AL30)=1,SUM(AU28:AU$29),"")</f>
        <v>30.999999999999996</v>
      </c>
      <c r="AX28" s="385"/>
      <c r="AZ28" s="28"/>
      <c r="BA28" s="28"/>
      <c r="BB28" s="28"/>
      <c r="BC28" s="28"/>
      <c r="BD28" s="28"/>
    </row>
    <row r="29" spans="1:56" ht="16.5">
      <c r="B29" s="560" t="str">
        <f t="shared" si="17"/>
        <v>aout</v>
      </c>
      <c r="C29" s="463">
        <f ca="1">+Août!D41</f>
        <v>113.41666666666667</v>
      </c>
      <c r="D29" s="465">
        <f>+Août!D42</f>
        <v>7.666666666666667</v>
      </c>
      <c r="E29" s="461">
        <f>+Août!CF43</f>
        <v>0</v>
      </c>
      <c r="G29" s="509">
        <f>+Août!$M43</f>
        <v>7</v>
      </c>
      <c r="H29" s="501">
        <f>+Août!$M44</f>
        <v>0</v>
      </c>
      <c r="I29" s="510">
        <f>+Août!$M45</f>
        <v>9</v>
      </c>
      <c r="K29" s="573">
        <f t="shared" si="20"/>
        <v>16</v>
      </c>
      <c r="L29" s="177"/>
      <c r="N29" s="659">
        <f>+Août!K37</f>
        <v>1</v>
      </c>
      <c r="O29" s="657">
        <f>+Août!K39</f>
        <v>2</v>
      </c>
      <c r="P29" s="663">
        <f t="shared" si="21"/>
        <v>3</v>
      </c>
      <c r="AE29" s="429">
        <v>3</v>
      </c>
      <c r="AF29" s="791">
        <f t="shared" si="22"/>
        <v>43661</v>
      </c>
      <c r="AG29" s="792"/>
      <c r="AH29" s="790">
        <f t="shared" si="18"/>
        <v>43688</v>
      </c>
      <c r="AI29" s="305"/>
      <c r="AK29" s="977" t="str">
        <f t="shared" si="15"/>
        <v/>
      </c>
      <c r="AL29" s="286">
        <f>+'MaiN-1'!C28</f>
        <v>43610</v>
      </c>
      <c r="AM29" s="287">
        <f>+'MaiN-1'!D28</f>
        <v>0</v>
      </c>
      <c r="AN29" s="287" t="str">
        <f t="shared" si="19"/>
        <v/>
      </c>
      <c r="AO29" s="288" t="str">
        <f>+'MaiN-1'!W28</f>
        <v/>
      </c>
      <c r="AP29" s="288" t="str">
        <f>+'MaiN-1'!X28</f>
        <v/>
      </c>
      <c r="AQ29" s="289" t="str">
        <f>+'MaiN-1'!AF31</f>
        <v/>
      </c>
      <c r="AR29" s="289" t="str">
        <f t="shared" si="1"/>
        <v/>
      </c>
      <c r="AS29" s="289" t="str">
        <f>+'MaiN-1'!AE31</f>
        <v/>
      </c>
      <c r="AT29" s="289">
        <f>+'MaiN-1'!J28</f>
        <v>0</v>
      </c>
      <c r="AU29" s="279" t="str">
        <f t="shared" si="13"/>
        <v/>
      </c>
      <c r="AV29" s="178" t="str">
        <f>+IF(WEEKDAY(AL31)=1,SUM(AP$24:AP29),"")</f>
        <v/>
      </c>
      <c r="AW29" s="178" t="str">
        <f>+IF(WEEKDAY(AL31)=1,SUM(AU$29:AU29),"")</f>
        <v/>
      </c>
      <c r="AX29" s="385"/>
      <c r="AZ29" s="28"/>
      <c r="BA29" s="28"/>
      <c r="BB29" s="28"/>
      <c r="BC29" s="28"/>
      <c r="BD29" s="28"/>
    </row>
    <row r="30" spans="1:56" ht="16.5">
      <c r="B30" s="560" t="str">
        <f t="shared" si="17"/>
        <v>septembre</v>
      </c>
      <c r="C30" s="463">
        <f ca="1">+Septembre!D41</f>
        <v>116.16666666666667</v>
      </c>
      <c r="D30" s="465">
        <f>+Septembre!D42</f>
        <v>0</v>
      </c>
      <c r="E30" s="461">
        <f>+Septembre!D43</f>
        <v>0</v>
      </c>
      <c r="G30" s="509">
        <f>+Septembre!$M43</f>
        <v>5</v>
      </c>
      <c r="H30" s="501">
        <f>+Septembre!$M44</f>
        <v>4</v>
      </c>
      <c r="I30" s="510">
        <f>+Septembre!$M45</f>
        <v>6</v>
      </c>
      <c r="K30" s="573">
        <f t="shared" si="20"/>
        <v>15</v>
      </c>
      <c r="L30" s="177"/>
      <c r="N30" s="659">
        <f>+Septembre!K37</f>
        <v>0</v>
      </c>
      <c r="O30" s="657">
        <f>+Septembre!K39</f>
        <v>1</v>
      </c>
      <c r="P30" s="663">
        <f t="shared" si="21"/>
        <v>1</v>
      </c>
      <c r="AE30" s="429">
        <v>4</v>
      </c>
      <c r="AF30" s="791">
        <f t="shared" si="22"/>
        <v>43689</v>
      </c>
      <c r="AG30" s="792"/>
      <c r="AH30" s="790">
        <f t="shared" si="18"/>
        <v>43716</v>
      </c>
      <c r="AI30" s="305"/>
      <c r="AK30" s="977" t="str">
        <f t="shared" si="15"/>
        <v/>
      </c>
      <c r="AL30" s="286">
        <f>+'MaiN-1'!C29</f>
        <v>43611</v>
      </c>
      <c r="AM30" s="287" t="str">
        <f>+'MaiN-1'!D29</f>
        <v>N</v>
      </c>
      <c r="AN30" s="287">
        <f t="shared" si="19"/>
        <v>1</v>
      </c>
      <c r="AO30" s="288">
        <f>+'MaiN-1'!W29</f>
        <v>7.666666666666667</v>
      </c>
      <c r="AP30" s="288" t="str">
        <f>+'MaiN-1'!X29</f>
        <v/>
      </c>
      <c r="AQ30" s="289" t="str">
        <f>+'MaiN-1'!AF32</f>
        <v/>
      </c>
      <c r="AR30" s="289" t="str">
        <f t="shared" si="1"/>
        <v/>
      </c>
      <c r="AS30" s="289" t="str">
        <f>+'MaiN-1'!AE32</f>
        <v/>
      </c>
      <c r="AT30" s="289">
        <f>+'MaiN-1'!J29</f>
        <v>0</v>
      </c>
      <c r="AU30" s="279" t="str">
        <f t="shared" si="13"/>
        <v/>
      </c>
      <c r="AV30" s="178" t="str">
        <f>+IF(WEEKDAY(AL32)=1,SUM(AP$24:AP30),"")</f>
        <v/>
      </c>
      <c r="AW30" s="178" t="str">
        <f>+IF(WEEKDAY(AL32)=1,SUM(AU$29:AU30),"")</f>
        <v/>
      </c>
      <c r="AX30" s="385"/>
      <c r="AZ30" s="28"/>
      <c r="BA30" s="28"/>
      <c r="BB30" s="28"/>
      <c r="BC30" s="28"/>
      <c r="BD30" s="28"/>
    </row>
    <row r="31" spans="1:56" ht="17.25" thickBot="1">
      <c r="B31" s="560" t="str">
        <f t="shared" si="17"/>
        <v>octobre</v>
      </c>
      <c r="C31" s="463">
        <f ca="1">+Octobre!D41</f>
        <v>175.25</v>
      </c>
      <c r="D31" s="465">
        <f>+Octobre!D42</f>
        <v>0</v>
      </c>
      <c r="E31" s="461">
        <f>+Octobre!D43</f>
        <v>0</v>
      </c>
      <c r="G31" s="509">
        <f>+Octobre!$M43</f>
        <v>6</v>
      </c>
      <c r="H31" s="501">
        <f>+Octobre!$M44</f>
        <v>5</v>
      </c>
      <c r="I31" s="510">
        <f>+Octobre!$M45</f>
        <v>12</v>
      </c>
      <c r="K31" s="573">
        <f t="shared" si="20"/>
        <v>23</v>
      </c>
      <c r="L31" s="177"/>
      <c r="N31" s="659">
        <f>+Octobre!K37</f>
        <v>1</v>
      </c>
      <c r="O31" s="657">
        <f>+Octobre!K39</f>
        <v>2</v>
      </c>
      <c r="P31" s="663">
        <f t="shared" si="21"/>
        <v>3</v>
      </c>
      <c r="AE31" s="429">
        <v>5</v>
      </c>
      <c r="AF31" s="791">
        <f t="shared" si="22"/>
        <v>43717</v>
      </c>
      <c r="AG31" s="792"/>
      <c r="AH31" s="790">
        <f t="shared" si="18"/>
        <v>43744</v>
      </c>
      <c r="AI31" s="305"/>
      <c r="AK31" s="977" t="str">
        <f t="shared" si="15"/>
        <v/>
      </c>
      <c r="AL31" s="286">
        <f>+'MaiN-1'!C30</f>
        <v>43612</v>
      </c>
      <c r="AM31" s="287" t="str">
        <f>+'MaiN-1'!D30</f>
        <v>N</v>
      </c>
      <c r="AN31" s="287">
        <f t="shared" si="19"/>
        <v>1</v>
      </c>
      <c r="AO31" s="288">
        <f>+'MaiN-1'!W30</f>
        <v>7.7499999999999991</v>
      </c>
      <c r="AP31" s="288" t="str">
        <f>+'MaiN-1'!X30</f>
        <v/>
      </c>
      <c r="AQ31" s="289">
        <f>+'MaiN-1'!AF33</f>
        <v>6.9</v>
      </c>
      <c r="AR31" s="289" t="str">
        <f t="shared" si="1"/>
        <v/>
      </c>
      <c r="AS31" s="289">
        <f>+'MaiN-1'!AE33</f>
        <v>3</v>
      </c>
      <c r="AT31" s="289">
        <f>+'MaiN-1'!J30</f>
        <v>0</v>
      </c>
      <c r="AU31" s="279" t="str">
        <f t="shared" si="13"/>
        <v/>
      </c>
      <c r="AV31" s="178" t="str">
        <f>+IF(WEEKDAY(AL33)=1,SUM(AP$24:AP31),"")</f>
        <v/>
      </c>
      <c r="AW31" s="178" t="str">
        <f>+IF(WEEKDAY(AL33)=1,SUM(AU$29:AU31),"")</f>
        <v/>
      </c>
      <c r="AX31" s="385"/>
      <c r="AZ31" s="28"/>
      <c r="BA31" s="28"/>
      <c r="BB31" s="28"/>
      <c r="BC31" s="28"/>
      <c r="BD31" s="28"/>
    </row>
    <row r="32" spans="1:56" ht="17.25" thickBot="1">
      <c r="B32" s="560" t="str">
        <f t="shared" si="17"/>
        <v>novembre</v>
      </c>
      <c r="C32" s="463">
        <f ca="1">+Novembre!D41</f>
        <v>92.416666666666657</v>
      </c>
      <c r="D32" s="465">
        <f>+Novembre!D42</f>
        <v>22.249999999999996</v>
      </c>
      <c r="E32" s="461">
        <f>+Novembre!D43</f>
        <v>31.000000000000004</v>
      </c>
      <c r="G32" s="509">
        <f>+Novembre!$M43</f>
        <v>6</v>
      </c>
      <c r="H32" s="501">
        <f>+Novembre!$M44</f>
        <v>3</v>
      </c>
      <c r="I32" s="510">
        <f>+Novembre!$M45</f>
        <v>5</v>
      </c>
      <c r="K32" s="573">
        <f t="shared" si="20"/>
        <v>14</v>
      </c>
      <c r="L32" s="177"/>
      <c r="M32" s="177"/>
      <c r="N32" s="659">
        <f>+Novembre!K37</f>
        <v>1</v>
      </c>
      <c r="O32" s="657">
        <f>+Novembre!K39</f>
        <v>1</v>
      </c>
      <c r="P32" s="663">
        <f t="shared" si="21"/>
        <v>2</v>
      </c>
      <c r="S32" s="28"/>
      <c r="U32" s="1"/>
      <c r="W32" s="98"/>
      <c r="Y32" s="1"/>
      <c r="AE32" s="429">
        <v>6</v>
      </c>
      <c r="AF32" s="791">
        <f>+AH31+1</f>
        <v>43745</v>
      </c>
      <c r="AG32" s="792"/>
      <c r="AH32" s="790">
        <f>+AF32+27</f>
        <v>43772</v>
      </c>
      <c r="AI32" s="305"/>
      <c r="AK32" s="977" t="str">
        <f t="shared" si="15"/>
        <v/>
      </c>
      <c r="AL32" s="286">
        <f>+'MaiN-1'!C31</f>
        <v>43613</v>
      </c>
      <c r="AM32" s="287" t="str">
        <f>+'MaiN-1'!D31</f>
        <v>N</v>
      </c>
      <c r="AN32" s="287">
        <f t="shared" si="19"/>
        <v>1</v>
      </c>
      <c r="AO32" s="288">
        <f>+'MaiN-1'!W31</f>
        <v>7.7499999999999991</v>
      </c>
      <c r="AP32" s="288" t="str">
        <f>+'MaiN-1'!X31</f>
        <v/>
      </c>
      <c r="AQ32" s="289" t="str">
        <f>+'MaiN-1'!AF34</f>
        <v/>
      </c>
      <c r="AR32" s="289" t="str">
        <f t="shared" si="1"/>
        <v/>
      </c>
      <c r="AS32" s="289" t="str">
        <f>+'MaiN-1'!AE34</f>
        <v/>
      </c>
      <c r="AT32" s="289">
        <f>+'MaiN-1'!J31</f>
        <v>0</v>
      </c>
      <c r="AU32" s="279" t="str">
        <f t="shared" si="13"/>
        <v/>
      </c>
      <c r="AV32" s="178" t="str">
        <f>+IF(WEEKDAY(AL34)=1,SUM(AP$24:AP32),"")</f>
        <v/>
      </c>
      <c r="AW32" s="803" t="str">
        <f>+IF(WEEKDAY(AL34)=1,SUM(AU$29:AU32),"")</f>
        <v/>
      </c>
      <c r="AX32" s="801"/>
      <c r="AZ32" s="28"/>
      <c r="BA32" s="28"/>
      <c r="BB32" s="28"/>
      <c r="BC32" s="28"/>
      <c r="BD32" s="28"/>
    </row>
    <row r="33" spans="2:56" ht="17.25" thickBot="1">
      <c r="B33" s="560" t="str">
        <f t="shared" si="17"/>
        <v>décembre</v>
      </c>
      <c r="C33" s="463">
        <f ca="1">+Décembre!D41</f>
        <v>53.583333333333336</v>
      </c>
      <c r="D33" s="465">
        <f>+Décembre!D42</f>
        <v>0</v>
      </c>
      <c r="E33" s="461">
        <f>+Décembre!D43</f>
        <v>0</v>
      </c>
      <c r="G33" s="509">
        <f>+Décembre!$M43</f>
        <v>1</v>
      </c>
      <c r="H33" s="501">
        <f>+Décembre!$M44</f>
        <v>0</v>
      </c>
      <c r="I33" s="510">
        <f>+Décembre!$M45</f>
        <v>6</v>
      </c>
      <c r="K33" s="573">
        <f t="shared" si="20"/>
        <v>7</v>
      </c>
      <c r="L33" s="177"/>
      <c r="M33" s="177"/>
      <c r="N33" s="659">
        <f>+Décembre!K37</f>
        <v>1</v>
      </c>
      <c r="O33" s="657">
        <f>+Décembre!K39</f>
        <v>1</v>
      </c>
      <c r="P33" s="663">
        <f t="shared" si="21"/>
        <v>2</v>
      </c>
      <c r="S33" s="28"/>
      <c r="U33" s="1"/>
      <c r="W33" s="98"/>
      <c r="Y33" s="1"/>
      <c r="AE33" s="429">
        <v>7</v>
      </c>
      <c r="AF33" s="791">
        <f>+AH32+1</f>
        <v>43773</v>
      </c>
      <c r="AG33" s="792"/>
      <c r="AH33" s="790">
        <f>+AF33+27</f>
        <v>43800</v>
      </c>
      <c r="AI33" s="305"/>
      <c r="AK33" s="977" t="str">
        <f t="shared" si="15"/>
        <v/>
      </c>
      <c r="AL33" s="286">
        <f>+'MaiN-1'!C32</f>
        <v>43614</v>
      </c>
      <c r="AM33" s="287">
        <f>+'MaiN-1'!D32</f>
        <v>0</v>
      </c>
      <c r="AN33" s="287" t="str">
        <f t="shared" si="19"/>
        <v/>
      </c>
      <c r="AO33" s="288" t="str">
        <f>+'MaiN-1'!W32</f>
        <v/>
      </c>
      <c r="AP33" s="288" t="str">
        <f>+'MaiN-1'!X32</f>
        <v/>
      </c>
      <c r="AQ33" s="289" t="str">
        <f>+'MaiN-1'!AF35</f>
        <v/>
      </c>
      <c r="AR33" s="289" t="str">
        <f t="shared" si="1"/>
        <v/>
      </c>
      <c r="AS33" s="289" t="str">
        <f>+'MaiN-1'!AE35</f>
        <v/>
      </c>
      <c r="AT33" s="289">
        <f>+'MaiN-1'!J32</f>
        <v>0</v>
      </c>
      <c r="AU33" s="279" t="str">
        <f t="shared" si="13"/>
        <v/>
      </c>
      <c r="AV33" s="178" t="str">
        <f>+IF(WEEKDAY(AL35)=1,SUM(AP$24:AP33),"")</f>
        <v/>
      </c>
      <c r="AW33" s="178" t="str">
        <f>+IF(WEEKDAY(AL35)=1,SUM(AU$29:AU33),"")</f>
        <v/>
      </c>
      <c r="AX33" s="223">
        <f t="shared" ref="AX33:BD33" si="23">+IF(WEEKDAY($AL$24)=1,SUM(AN24:AN51),IF(WEEKDAY($AL$25)=1,SUM(AN25:AN52),IF(WEEKDAY($AL$26)=1,SUM(AN26:AN53),IF(WEEKDAY($AL$27)=1,SUM(AN27:AN54),IF(WEEKDAY($AL$28)=1,SUM(AN28:AN55),IF(WEEKDAY($AL$29)=1,SUM(AN29:AN56),IF(WEEKDAY($AL$30)=1,SUM(AN30:AN57),"")))))))</f>
        <v>19</v>
      </c>
      <c r="AY33" s="223">
        <f t="shared" si="23"/>
        <v>148.41666666666669</v>
      </c>
      <c r="AZ33" s="223">
        <f t="shared" si="23"/>
        <v>0</v>
      </c>
      <c r="BA33" s="223">
        <f t="shared" si="23"/>
        <v>27.6</v>
      </c>
      <c r="BB33" s="223">
        <f t="shared" si="23"/>
        <v>0</v>
      </c>
      <c r="BC33" s="223">
        <f t="shared" si="23"/>
        <v>16.666666666666668</v>
      </c>
      <c r="BD33" s="223">
        <f t="shared" si="23"/>
        <v>0</v>
      </c>
    </row>
    <row r="34" spans="2:56" ht="17.25" thickBot="1">
      <c r="B34" s="560" t="str">
        <f t="shared" si="17"/>
        <v>janvier</v>
      </c>
      <c r="C34" s="463">
        <f ca="1">+Janvier!D41</f>
        <v>117.08333333333334</v>
      </c>
      <c r="D34" s="465">
        <f>+Janvier!D42</f>
        <v>0</v>
      </c>
      <c r="E34" s="461">
        <f>+Janvier!D43</f>
        <v>0</v>
      </c>
      <c r="G34" s="509">
        <f>+Janvier!$M43</f>
        <v>5</v>
      </c>
      <c r="H34" s="501">
        <f>+Janvier!$M44</f>
        <v>3</v>
      </c>
      <c r="I34" s="510">
        <f>+Janvier!$M45</f>
        <v>8</v>
      </c>
      <c r="K34" s="573">
        <f t="shared" si="20"/>
        <v>16</v>
      </c>
      <c r="L34" s="177"/>
      <c r="M34" s="177"/>
      <c r="N34" s="659">
        <f>+Janvier!K37</f>
        <v>1</v>
      </c>
      <c r="O34" s="657">
        <f>+Janvier!K39</f>
        <v>1</v>
      </c>
      <c r="P34" s="663">
        <f t="shared" si="21"/>
        <v>2</v>
      </c>
      <c r="S34" s="28"/>
      <c r="U34" s="1"/>
      <c r="W34" s="98"/>
      <c r="Y34" s="1"/>
      <c r="AE34" s="429">
        <v>8</v>
      </c>
      <c r="AF34" s="791">
        <f>+AH33+1</f>
        <v>43801</v>
      </c>
      <c r="AG34" s="792"/>
      <c r="AH34" s="790">
        <f>+AF34+27</f>
        <v>43828</v>
      </c>
      <c r="AI34" s="305">
        <v>14</v>
      </c>
      <c r="AK34" s="977" t="str">
        <f t="shared" si="15"/>
        <v/>
      </c>
      <c r="AL34" s="286">
        <f>+'MaiN-1'!C33</f>
        <v>43615</v>
      </c>
      <c r="AM34" s="287" t="str">
        <f>+'MaiN-1'!D33</f>
        <v>N</v>
      </c>
      <c r="AN34" s="287">
        <f t="shared" si="19"/>
        <v>1</v>
      </c>
      <c r="AO34" s="288">
        <f>+'MaiN-1'!W33</f>
        <v>7.4999999999999991</v>
      </c>
      <c r="AP34" s="288" t="str">
        <f>+'MaiN-1'!X33</f>
        <v/>
      </c>
      <c r="AQ34" s="289">
        <f>+'MaiN-1'!AF36</f>
        <v>0</v>
      </c>
      <c r="AR34" s="289" t="str">
        <f t="shared" si="1"/>
        <v/>
      </c>
      <c r="AS34" s="289">
        <f>+'MaiN-1'!AE36</f>
        <v>0</v>
      </c>
      <c r="AT34" s="289">
        <f>+'MaiN-1'!J33</f>
        <v>0</v>
      </c>
      <c r="AU34" s="279" t="str">
        <f t="shared" si="13"/>
        <v/>
      </c>
      <c r="AV34" s="178" t="str">
        <f>+IF(WEEKDAY(AL36)=1,SUM(AP$24:AP34),"")</f>
        <v/>
      </c>
      <c r="AW34" s="178" t="str">
        <f>+IF(WEEKDAY(AL36)=1,SUM(AU$29:AU34),"")</f>
        <v/>
      </c>
      <c r="AX34" s="385"/>
      <c r="AY34" s="209"/>
      <c r="AZ34" s="209"/>
      <c r="BA34" s="209"/>
      <c r="BB34" s="209"/>
      <c r="BC34" s="209"/>
      <c r="BD34" s="209"/>
    </row>
    <row r="35" spans="2:56" ht="18" thickTop="1" thickBot="1">
      <c r="B35" s="560" t="str">
        <f t="shared" si="17"/>
        <v>février</v>
      </c>
      <c r="C35" s="463">
        <f ca="1">+Février!D41</f>
        <v>142.25</v>
      </c>
      <c r="D35" s="465">
        <f>+Février!D42</f>
        <v>0</v>
      </c>
      <c r="E35" s="461">
        <f>+Février!D43</f>
        <v>0</v>
      </c>
      <c r="G35" s="509">
        <f>+Février!$M43</f>
        <v>6</v>
      </c>
      <c r="H35" s="501">
        <f>+Février!$M44</f>
        <v>8</v>
      </c>
      <c r="I35" s="510">
        <f>+Février!$M45</f>
        <v>5</v>
      </c>
      <c r="K35" s="573">
        <f t="shared" si="20"/>
        <v>19</v>
      </c>
      <c r="L35" s="177"/>
      <c r="N35" s="659">
        <f>+Février!K37</f>
        <v>0</v>
      </c>
      <c r="O35" s="657">
        <f>+Février!K39</f>
        <v>1</v>
      </c>
      <c r="P35" s="663">
        <f t="shared" si="21"/>
        <v>1</v>
      </c>
      <c r="AE35" s="429">
        <v>9</v>
      </c>
      <c r="AF35" s="791">
        <f>+AH34+1</f>
        <v>43829</v>
      </c>
      <c r="AG35" s="792"/>
      <c r="AH35" s="790">
        <f t="shared" si="18"/>
        <v>43856</v>
      </c>
      <c r="AI35" s="305"/>
      <c r="AK35" s="977" t="str">
        <f t="shared" si="15"/>
        <v/>
      </c>
      <c r="AL35" s="286">
        <f>+'MaiN-1'!C34</f>
        <v>43616</v>
      </c>
      <c r="AM35" s="287">
        <f>+'MaiN-1'!D34</f>
        <v>0</v>
      </c>
      <c r="AN35" s="287" t="str">
        <f t="shared" si="19"/>
        <v/>
      </c>
      <c r="AO35" s="288" t="str">
        <f>+'MaiN-1'!W34</f>
        <v/>
      </c>
      <c r="AP35" s="288" t="str">
        <f>+'MaiN-1'!X34</f>
        <v/>
      </c>
      <c r="AQ35" s="289">
        <f>+'MaiN-1'!AF37</f>
        <v>20.700000000000003</v>
      </c>
      <c r="AR35" s="289" t="str">
        <f t="shared" si="1"/>
        <v/>
      </c>
      <c r="AS35" s="289">
        <f>+'MaiN-1'!AE37</f>
        <v>6</v>
      </c>
      <c r="AT35" s="289">
        <f>+'MaiN-1'!J34</f>
        <v>0</v>
      </c>
      <c r="AU35" s="279">
        <f t="shared" si="13"/>
        <v>30.666666666666664</v>
      </c>
      <c r="AV35" s="178">
        <f>+IF(WEEKDAY(AL37)=1,SUM(AP$24:AP35),"")</f>
        <v>0</v>
      </c>
      <c r="AW35" s="178">
        <f>+IF(WEEKDAY(AL37)=1,SUM(AU$29:AU35),"")</f>
        <v>30.666666666666664</v>
      </c>
      <c r="AX35" s="385"/>
      <c r="AY35" s="209"/>
      <c r="AZ35" s="936" t="str">
        <f>+IF(WEEKDAY(AL$26)=1,"Fin cycle 1",IF(WEEKDAY(AL$27)=1,"Fin cycle 1",IF(WEEKDAY(AL$28)=1,"Fin cycle 1",IF(WEEKDAY(AL$29)=1,"Fin cycle 1",IF(WEEKDAY(AL$30)=1,"Fin cycle 1",IF(WEEKDAY(AL$31)=1,"Fin cycle 1",IF(WEEKDAY(AL$32)=1,"Fin cycle 1","")))))))</f>
        <v>Fin cycle 1</v>
      </c>
      <c r="BA35" s="939"/>
      <c r="BB35" s="276">
        <f>SUM(AY33:AZ33)</f>
        <v>148.41666666666669</v>
      </c>
      <c r="BC35" s="209"/>
      <c r="BD35" s="209"/>
    </row>
    <row r="36" spans="2:56" ht="16.5">
      <c r="B36" s="560" t="str">
        <f t="shared" si="17"/>
        <v>mars</v>
      </c>
      <c r="C36" s="463">
        <f ca="1">+Mars!D41</f>
        <v>38.666666666666664</v>
      </c>
      <c r="D36" s="465">
        <f>+Mars!D42</f>
        <v>30.999999999999996</v>
      </c>
      <c r="E36" s="461">
        <f>+Mars!D43</f>
        <v>0</v>
      </c>
      <c r="G36" s="509">
        <f>+Mars!$M43</f>
        <v>0</v>
      </c>
      <c r="H36" s="501">
        <f>+Mars!$M44</f>
        <v>4</v>
      </c>
      <c r="I36" s="510">
        <f>+Mars!$M45</f>
        <v>5</v>
      </c>
      <c r="K36" s="573">
        <f t="shared" si="20"/>
        <v>9</v>
      </c>
      <c r="L36" s="177"/>
      <c r="N36" s="659">
        <f>+Mars!K37</f>
        <v>0</v>
      </c>
      <c r="O36" s="657">
        <f>+Mars!K39</f>
        <v>1</v>
      </c>
      <c r="P36" s="663">
        <f t="shared" si="21"/>
        <v>1</v>
      </c>
      <c r="AE36" s="429">
        <v>10</v>
      </c>
      <c r="AF36" s="791">
        <f t="shared" si="22"/>
        <v>43857</v>
      </c>
      <c r="AG36" s="792"/>
      <c r="AH36" s="790">
        <f t="shared" si="18"/>
        <v>43884</v>
      </c>
      <c r="AI36" s="305"/>
      <c r="AK36" s="977" t="str">
        <f t="shared" si="15"/>
        <v/>
      </c>
      <c r="AL36" s="286">
        <f>+juin!C4</f>
        <v>43617</v>
      </c>
      <c r="AM36" s="805">
        <f>+juin!D4</f>
        <v>0</v>
      </c>
      <c r="AN36" s="287" t="str">
        <f t="shared" si="19"/>
        <v/>
      </c>
      <c r="AO36" s="288" t="str">
        <f>+juin!W4</f>
        <v/>
      </c>
      <c r="AP36" s="289" t="str">
        <f>+juin!X4</f>
        <v/>
      </c>
      <c r="AQ36" s="289" t="str">
        <f>+juin!AF4</f>
        <v/>
      </c>
      <c r="AR36" s="289" t="str">
        <f t="shared" ref="AR36:AR66" si="24">+IF(AS36&lt;&gt;"","",AQ36)</f>
        <v/>
      </c>
      <c r="AS36" s="289" t="str">
        <f>+juin!AE4</f>
        <v/>
      </c>
      <c r="AT36" s="289">
        <f>+juin!J4</f>
        <v>0</v>
      </c>
      <c r="AU36" s="279" t="str">
        <f t="shared" si="13"/>
        <v/>
      </c>
      <c r="AV36" s="178" t="str">
        <f>+IF(WEEKDAY(AL38)=1,SUM(AP$24:AP36),"")</f>
        <v/>
      </c>
      <c r="AW36" s="178" t="str">
        <f>+IF(WEEKDAY(AL38)=1,SUM(AU$29:AU36),"")</f>
        <v/>
      </c>
      <c r="AX36" s="385"/>
      <c r="AY36" s="209"/>
      <c r="AZ36" s="209"/>
      <c r="BA36" s="209"/>
      <c r="BB36" s="209"/>
      <c r="BC36" s="209"/>
      <c r="BD36" s="209"/>
    </row>
    <row r="37" spans="2:56" ht="16.5">
      <c r="B37" s="560" t="str">
        <f t="shared" si="17"/>
        <v>avril</v>
      </c>
      <c r="C37" s="463">
        <f ca="1">+Avril!D41</f>
        <v>0</v>
      </c>
      <c r="D37" s="465">
        <f>+Avril!D42</f>
        <v>0</v>
      </c>
      <c r="E37" s="461">
        <f>+Avril!D43</f>
        <v>0</v>
      </c>
      <c r="G37" s="509">
        <f>+Avril!$M43</f>
        <v>0</v>
      </c>
      <c r="H37" s="501">
        <f>+Avril!$M44</f>
        <v>0</v>
      </c>
      <c r="I37" s="510">
        <f>+Avril!$M45</f>
        <v>0</v>
      </c>
      <c r="K37" s="573">
        <f t="shared" si="20"/>
        <v>0</v>
      </c>
      <c r="L37" s="177"/>
      <c r="N37" s="659">
        <f>+Avril!K37</f>
        <v>0</v>
      </c>
      <c r="O37" s="657">
        <f>+Avril!K39</f>
        <v>0</v>
      </c>
      <c r="P37" s="663">
        <f t="shared" si="21"/>
        <v>0</v>
      </c>
      <c r="AE37" s="429">
        <v>11</v>
      </c>
      <c r="AF37" s="791">
        <f t="shared" si="22"/>
        <v>43885</v>
      </c>
      <c r="AG37" s="792"/>
      <c r="AH37" s="790">
        <f t="shared" si="18"/>
        <v>43912</v>
      </c>
      <c r="AI37" s="305">
        <v>11</v>
      </c>
      <c r="AK37" s="977" t="str">
        <f t="shared" si="15"/>
        <v/>
      </c>
      <c r="AL37" s="286">
        <f>+juin!C5</f>
        <v>43618</v>
      </c>
      <c r="AM37" s="287">
        <f>+juin!D5</f>
        <v>0</v>
      </c>
      <c r="AN37" s="287" t="str">
        <f t="shared" si="19"/>
        <v/>
      </c>
      <c r="AO37" s="288" t="str">
        <f>+juin!W5</f>
        <v/>
      </c>
      <c r="AP37" s="289" t="str">
        <f>+juin!X5</f>
        <v/>
      </c>
      <c r="AQ37" s="289" t="str">
        <f>+juin!AF5</f>
        <v/>
      </c>
      <c r="AR37" s="289" t="str">
        <f t="shared" si="24"/>
        <v/>
      </c>
      <c r="AS37" s="289" t="str">
        <f>+juin!AE5</f>
        <v/>
      </c>
      <c r="AT37" s="289">
        <f>+juin!J5</f>
        <v>0</v>
      </c>
      <c r="AU37" s="279" t="str">
        <f t="shared" si="13"/>
        <v/>
      </c>
      <c r="AV37" s="178" t="str">
        <f>+IF(WEEKDAY(AL39)=1,SUM(AP$24:AP37),"")</f>
        <v/>
      </c>
      <c r="AW37" s="178" t="str">
        <f>+IF(WEEKDAY(AL39)=1,SUM(AU$29:AU37),"")</f>
        <v/>
      </c>
      <c r="AX37" s="385"/>
      <c r="AY37" s="209"/>
      <c r="AZ37" s="209"/>
      <c r="BA37" s="209"/>
      <c r="BB37" s="209"/>
      <c r="BC37" s="209"/>
      <c r="BD37" s="209"/>
    </row>
    <row r="38" spans="2:56" ht="17.25" thickBot="1">
      <c r="B38" s="562" t="str">
        <f t="shared" si="17"/>
        <v>mai</v>
      </c>
      <c r="C38" s="464">
        <f ca="1">+Mai!D41</f>
        <v>0</v>
      </c>
      <c r="D38" s="466">
        <f>+Mai!D42</f>
        <v>0</v>
      </c>
      <c r="E38" s="452">
        <f>+Mai!D43</f>
        <v>0</v>
      </c>
      <c r="G38" s="514">
        <f>+Mai!$M43</f>
        <v>0</v>
      </c>
      <c r="H38" s="515">
        <f>+Mai!$M44</f>
        <v>0</v>
      </c>
      <c r="I38" s="516">
        <f>+Mai!$M45</f>
        <v>0</v>
      </c>
      <c r="K38" s="574">
        <f t="shared" si="20"/>
        <v>0</v>
      </c>
      <c r="L38" s="177"/>
      <c r="N38" s="660">
        <f>+Mai!K37</f>
        <v>0</v>
      </c>
      <c r="O38" s="661">
        <f>+Mai!K39</f>
        <v>0</v>
      </c>
      <c r="P38" s="664">
        <f t="shared" si="21"/>
        <v>0</v>
      </c>
      <c r="AE38" s="429">
        <v>12</v>
      </c>
      <c r="AF38" s="791">
        <f t="shared" si="22"/>
        <v>43913</v>
      </c>
      <c r="AG38" s="792"/>
      <c r="AH38" s="790">
        <f t="shared" si="18"/>
        <v>43940</v>
      </c>
      <c r="AI38" s="305"/>
      <c r="AK38" s="977" t="str">
        <f t="shared" si="15"/>
        <v/>
      </c>
      <c r="AL38" s="286">
        <f>+juin!C6</f>
        <v>43619</v>
      </c>
      <c r="AM38" s="287" t="str">
        <f>+juin!D6</f>
        <v>M</v>
      </c>
      <c r="AN38" s="287">
        <f t="shared" si="19"/>
        <v>1</v>
      </c>
      <c r="AO38" s="288">
        <f>+juin!W6</f>
        <v>7.7500000000000009</v>
      </c>
      <c r="AP38" s="289" t="str">
        <f>+juin!X6</f>
        <v/>
      </c>
      <c r="AQ38" s="289" t="str">
        <f>+juin!AF6</f>
        <v/>
      </c>
      <c r="AR38" s="289" t="str">
        <f t="shared" si="24"/>
        <v/>
      </c>
      <c r="AS38" s="289" t="str">
        <f>+juin!AE6</f>
        <v/>
      </c>
      <c r="AT38" s="289">
        <f>+juin!J6</f>
        <v>0</v>
      </c>
      <c r="AU38" s="279" t="str">
        <f t="shared" si="13"/>
        <v/>
      </c>
      <c r="AV38" s="178" t="str">
        <f>+IF(WEEKDAY(AL40)=1,SUM(AP$24:AP38),"")</f>
        <v/>
      </c>
      <c r="AW38" s="178" t="str">
        <f>+IF(WEEKDAY(AL40)=1,SUM(AU$29:AU38),"")</f>
        <v/>
      </c>
      <c r="AX38" s="385"/>
      <c r="AY38" s="209"/>
      <c r="AZ38" s="209"/>
      <c r="BA38" s="209"/>
      <c r="BB38" s="209"/>
      <c r="BC38" s="209"/>
      <c r="BD38" s="209"/>
    </row>
    <row r="39" spans="2:56" ht="17.25" thickBot="1">
      <c r="B39" s="503" t="s">
        <v>8</v>
      </c>
      <c r="C39" s="517">
        <f ca="1">SUM(C27:C38)</f>
        <v>1173.9166666666667</v>
      </c>
      <c r="D39" s="518">
        <f>SUM(D27:D38)</f>
        <v>60.916666666666657</v>
      </c>
      <c r="E39" s="519">
        <f>SUM(E27:E38)</f>
        <v>31.000000000000004</v>
      </c>
      <c r="F39" s="520"/>
      <c r="G39" s="521">
        <f>SUM(G27:G38)</f>
        <v>50</v>
      </c>
      <c r="H39" s="522">
        <f>SUM(H27:H38)</f>
        <v>46</v>
      </c>
      <c r="I39" s="523">
        <f>SUM(I27:I38)</f>
        <v>66</v>
      </c>
      <c r="K39" s="665">
        <f>SUM(G39:I39)</f>
        <v>162</v>
      </c>
      <c r="L39" s="177"/>
      <c r="N39" s="652">
        <f>SUM(N27:N38)</f>
        <v>9</v>
      </c>
      <c r="O39" s="691">
        <f>SUM(O27:O38)</f>
        <v>12</v>
      </c>
      <c r="P39" s="692">
        <f>SUM(N39:O39)</f>
        <v>21</v>
      </c>
      <c r="AE39" s="429">
        <v>13</v>
      </c>
      <c r="AF39" s="793">
        <f t="shared" si="22"/>
        <v>43941</v>
      </c>
      <c r="AG39" s="794"/>
      <c r="AH39" s="795">
        <f t="shared" si="18"/>
        <v>43968</v>
      </c>
      <c r="AI39" s="306"/>
      <c r="AK39" s="977" t="str">
        <f t="shared" si="15"/>
        <v/>
      </c>
      <c r="AL39" s="286">
        <f>+juin!C7</f>
        <v>43620</v>
      </c>
      <c r="AM39" s="287" t="str">
        <f>+juin!D7</f>
        <v>M</v>
      </c>
      <c r="AN39" s="287">
        <f t="shared" si="19"/>
        <v>1</v>
      </c>
      <c r="AO39" s="288">
        <f>+juin!W7</f>
        <v>7.7500000000000009</v>
      </c>
      <c r="AP39" s="289" t="str">
        <f>+juin!X7</f>
        <v/>
      </c>
      <c r="AQ39" s="289" t="str">
        <f>+juin!AF7</f>
        <v/>
      </c>
      <c r="AR39" s="289" t="str">
        <f t="shared" si="24"/>
        <v/>
      </c>
      <c r="AS39" s="289" t="str">
        <f>+juin!AE7</f>
        <v/>
      </c>
      <c r="AT39" s="289">
        <f>+juin!J7</f>
        <v>0</v>
      </c>
      <c r="AU39" s="279" t="str">
        <f t="shared" si="13"/>
        <v/>
      </c>
      <c r="AV39" s="178" t="str">
        <f>+IF(WEEKDAY(AL41)=1,SUM(AP$24:AP39),"")</f>
        <v/>
      </c>
      <c r="AW39" s="178" t="str">
        <f>+IF(WEEKDAY(AL41)=1,SUM(AU$29:AU39),"")</f>
        <v/>
      </c>
      <c r="AX39" s="385"/>
      <c r="AY39" s="209"/>
      <c r="AZ39" s="209"/>
      <c r="BA39" s="209"/>
      <c r="BB39" s="209"/>
      <c r="BC39" s="209"/>
      <c r="BD39" s="209"/>
    </row>
    <row r="40" spans="2:56" ht="15.75" thickBot="1">
      <c r="C40" s="524">
        <f ca="1">+C39/$C$21</f>
        <v>0.92909906344809401</v>
      </c>
      <c r="D40" s="566">
        <f>+D39/$C$21</f>
        <v>4.8212636855296129E-2</v>
      </c>
      <c r="E40" s="567">
        <f>+E39/$C$21</f>
        <v>2.4535021764938665E-2</v>
      </c>
      <c r="G40" s="568">
        <f>AVERAGE(G27:G38)</f>
        <v>4.166666666666667</v>
      </c>
      <c r="H40" s="569">
        <f t="shared" ref="H40:I40" si="25">AVERAGE(H27:H38)</f>
        <v>3.8333333333333335</v>
      </c>
      <c r="I40" s="570">
        <f t="shared" si="25"/>
        <v>5.5</v>
      </c>
      <c r="K40" s="906" t="s">
        <v>194</v>
      </c>
      <c r="L40" s="907"/>
      <c r="O40" s="924">
        <f>+P39/K39</f>
        <v>0.12962962962962962</v>
      </c>
      <c r="P40" s="925"/>
      <c r="AE40" s="1"/>
      <c r="AK40" s="977" t="str">
        <f t="shared" si="15"/>
        <v/>
      </c>
      <c r="AL40" s="286">
        <f>+juin!C8</f>
        <v>43621</v>
      </c>
      <c r="AM40" s="287" t="str">
        <f>+juin!D8</f>
        <v>M</v>
      </c>
      <c r="AN40" s="287">
        <f t="shared" si="19"/>
        <v>1</v>
      </c>
      <c r="AO40" s="288">
        <f>+juin!W8</f>
        <v>7.8333333333333348</v>
      </c>
      <c r="AP40" s="289" t="str">
        <f>+juin!X8</f>
        <v/>
      </c>
      <c r="AQ40" s="289" t="str">
        <f>+juin!AF8</f>
        <v/>
      </c>
      <c r="AR40" s="289" t="str">
        <f t="shared" si="24"/>
        <v/>
      </c>
      <c r="AS40" s="289" t="str">
        <f>+juin!AE8</f>
        <v/>
      </c>
      <c r="AT40" s="289">
        <f>+juin!J8</f>
        <v>0</v>
      </c>
      <c r="AU40" s="279" t="str">
        <f t="shared" si="13"/>
        <v/>
      </c>
      <c r="AV40" s="178" t="str">
        <f>+IF(WEEKDAY(AL42)=1,SUM(AP$24:AP40),"")</f>
        <v/>
      </c>
      <c r="AW40" s="178" t="str">
        <f>+IF(WEEKDAY(AL42)=1,SUM(AU$29:AU40),"")</f>
        <v/>
      </c>
      <c r="AX40" s="385"/>
      <c r="AY40" s="209"/>
      <c r="AZ40" s="209"/>
      <c r="BA40" s="209"/>
      <c r="BB40" s="209"/>
      <c r="BC40" s="209"/>
      <c r="BD40" s="209"/>
    </row>
    <row r="41" spans="2:56" ht="15.75" thickBot="1">
      <c r="G41" s="693">
        <f>+G39/$K$39</f>
        <v>0.30864197530864196</v>
      </c>
      <c r="H41" s="694">
        <f t="shared" ref="H41:I41" si="26">+H39/$K$39</f>
        <v>0.2839506172839506</v>
      </c>
      <c r="I41" s="695">
        <f t="shared" si="26"/>
        <v>0.40740740740740738</v>
      </c>
      <c r="K41" s="696">
        <f>SUM(G41:I41)</f>
        <v>1</v>
      </c>
      <c r="AE41" s="1"/>
      <c r="AK41" s="977" t="str">
        <f t="shared" si="15"/>
        <v/>
      </c>
      <c r="AL41" s="286">
        <f>+juin!C9</f>
        <v>43622</v>
      </c>
      <c r="AM41" s="287" t="str">
        <f>+juin!D9</f>
        <v>M</v>
      </c>
      <c r="AN41" s="287">
        <f t="shared" si="19"/>
        <v>1</v>
      </c>
      <c r="AO41" s="288">
        <f>+juin!W9</f>
        <v>7.7500000000000009</v>
      </c>
      <c r="AP41" s="289" t="str">
        <f>+juin!X9</f>
        <v/>
      </c>
      <c r="AQ41" s="289" t="str">
        <f>+juin!AF9</f>
        <v/>
      </c>
      <c r="AR41" s="289" t="str">
        <f t="shared" si="24"/>
        <v/>
      </c>
      <c r="AS41" s="289" t="str">
        <f>+juin!AE9</f>
        <v/>
      </c>
      <c r="AT41" s="289">
        <f>+juin!J9</f>
        <v>0</v>
      </c>
      <c r="AU41" s="279" t="str">
        <f t="shared" si="13"/>
        <v/>
      </c>
      <c r="AV41" s="178" t="str">
        <f>+IF(WEEKDAY(AL43)=1,SUM(AP$24:AP41),"")</f>
        <v/>
      </c>
      <c r="AW41" s="178" t="str">
        <f>+IF(WEEKDAY(AL43)=1,SUM(AU$29:AU41),"")</f>
        <v/>
      </c>
      <c r="AX41" s="385"/>
      <c r="AY41" s="209"/>
      <c r="AZ41" s="209"/>
      <c r="BA41" s="209"/>
      <c r="BB41" s="209"/>
      <c r="BC41" s="209"/>
      <c r="BD41" s="209"/>
    </row>
    <row r="42" spans="2:56" ht="15">
      <c r="AE42" s="1"/>
      <c r="AK42" s="977" t="str">
        <f t="shared" si="15"/>
        <v/>
      </c>
      <c r="AL42" s="286">
        <f>+juin!C10</f>
        <v>43623</v>
      </c>
      <c r="AM42" s="287">
        <f>+juin!D10</f>
        <v>0</v>
      </c>
      <c r="AN42" s="287" t="str">
        <f t="shared" si="19"/>
        <v/>
      </c>
      <c r="AO42" s="288" t="str">
        <f>+juin!W10</f>
        <v/>
      </c>
      <c r="AP42" s="289" t="str">
        <f>+juin!X10</f>
        <v/>
      </c>
      <c r="AQ42" s="289" t="str">
        <f>+juin!AF10</f>
        <v/>
      </c>
      <c r="AR42" s="289" t="str">
        <f t="shared" si="24"/>
        <v/>
      </c>
      <c r="AS42" s="289" t="str">
        <f>+juin!AE10</f>
        <v/>
      </c>
      <c r="AT42" s="289">
        <f>+juin!J10</f>
        <v>0</v>
      </c>
      <c r="AU42" s="279">
        <f>+IF(WEEKDAY(AL44)=1,SUM(AO38:AP44),"")</f>
        <v>37.916666666666671</v>
      </c>
      <c r="AV42" s="178">
        <f>+IF(WEEKDAY(AL44)=1,SUM(AP$24:AP42),"")</f>
        <v>0</v>
      </c>
      <c r="AW42" s="178">
        <f>+IF(WEEKDAY(AL44)=1,SUM(AU$29:AU42),"")</f>
        <v>68.583333333333343</v>
      </c>
      <c r="AX42" s="385"/>
      <c r="AY42" s="209"/>
      <c r="AZ42" s="209"/>
      <c r="BA42" s="209"/>
      <c r="BB42" s="209"/>
      <c r="BC42" s="209"/>
      <c r="BD42" s="209"/>
    </row>
    <row r="43" spans="2:56" ht="15">
      <c r="AC43" s="189"/>
      <c r="AE43" s="160"/>
      <c r="AK43" s="977" t="str">
        <f t="shared" si="15"/>
        <v/>
      </c>
      <c r="AL43" s="286">
        <f>+juin!C11</f>
        <v>43624</v>
      </c>
      <c r="AM43" s="287">
        <f>+juin!D11</f>
        <v>0</v>
      </c>
      <c r="AN43" s="287" t="str">
        <f t="shared" si="19"/>
        <v/>
      </c>
      <c r="AO43" s="288" t="str">
        <f>+juin!W11</f>
        <v/>
      </c>
      <c r="AP43" s="289" t="str">
        <f>+juin!X11</f>
        <v/>
      </c>
      <c r="AQ43" s="289" t="str">
        <f>+juin!AF11</f>
        <v/>
      </c>
      <c r="AR43" s="289" t="str">
        <f t="shared" si="24"/>
        <v/>
      </c>
      <c r="AS43" s="289" t="str">
        <f>+juin!AE11</f>
        <v/>
      </c>
      <c r="AT43" s="289">
        <f>+juin!J11</f>
        <v>0</v>
      </c>
      <c r="AU43" s="279" t="str">
        <f t="shared" ref="AU43:AU48" si="27">+IF(WEEKDAY(AL45)=1,SUM(AO37:AP43),"")</f>
        <v/>
      </c>
      <c r="AV43" s="178" t="str">
        <f>+IF(WEEKDAY(AL45)=1,SUM(AP$24:AP43),"")</f>
        <v/>
      </c>
      <c r="AW43" s="178" t="str">
        <f>+IF(WEEKDAY(AL45)=1,SUM(AU$29:AU43),"")</f>
        <v/>
      </c>
      <c r="AX43" s="385"/>
      <c r="AY43" s="209"/>
      <c r="AZ43" s="209"/>
      <c r="BA43" s="209"/>
      <c r="BB43" s="209"/>
      <c r="BC43" s="209"/>
      <c r="BD43" s="209"/>
    </row>
    <row r="44" spans="2:56" ht="15">
      <c r="AC44" s="189"/>
      <c r="AE44" s="160"/>
      <c r="AK44" s="977" t="str">
        <f t="shared" si="15"/>
        <v/>
      </c>
      <c r="AL44" s="286">
        <f>+juin!C12</f>
        <v>43625</v>
      </c>
      <c r="AM44" s="287" t="str">
        <f>+juin!D12</f>
        <v>M</v>
      </c>
      <c r="AN44" s="287">
        <f t="shared" si="19"/>
        <v>1</v>
      </c>
      <c r="AO44" s="288">
        <f>+juin!W12</f>
        <v>6.833333333333333</v>
      </c>
      <c r="AP44" s="289" t="str">
        <f>+juin!X12</f>
        <v/>
      </c>
      <c r="AQ44" s="289" t="str">
        <f>+juin!AF12</f>
        <v/>
      </c>
      <c r="AR44" s="289" t="str">
        <f t="shared" si="24"/>
        <v/>
      </c>
      <c r="AS44" s="289" t="str">
        <f>+juin!AE12</f>
        <v/>
      </c>
      <c r="AT44" s="289">
        <f>+juin!J12</f>
        <v>0</v>
      </c>
      <c r="AU44" s="279" t="str">
        <f t="shared" si="27"/>
        <v/>
      </c>
      <c r="AV44" s="178" t="str">
        <f>+IF(WEEKDAY(AL46)=1,SUM(AP$24:AP44),"")</f>
        <v/>
      </c>
      <c r="AW44" s="178" t="str">
        <f>+IF(WEEKDAY(AL46)=1,SUM(AU$29:AU44),"")</f>
        <v/>
      </c>
      <c r="AX44" s="385"/>
      <c r="AY44" s="209"/>
      <c r="AZ44" s="209"/>
      <c r="BA44" s="209"/>
      <c r="BB44" s="209"/>
      <c r="BC44" s="209"/>
      <c r="BD44" s="209"/>
    </row>
    <row r="45" spans="2:56" ht="15">
      <c r="AC45" s="189"/>
      <c r="AE45" s="160"/>
      <c r="AK45" s="977" t="str">
        <f t="shared" si="15"/>
        <v/>
      </c>
      <c r="AL45" s="286">
        <f>+juin!C13</f>
        <v>43626</v>
      </c>
      <c r="AM45" s="287" t="str">
        <f>+juin!D13</f>
        <v>M</v>
      </c>
      <c r="AN45" s="287">
        <f t="shared" si="19"/>
        <v>1</v>
      </c>
      <c r="AO45" s="288">
        <f>+juin!W13</f>
        <v>7.666666666666667</v>
      </c>
      <c r="AP45" s="289" t="str">
        <f>+juin!X13</f>
        <v/>
      </c>
      <c r="AQ45" s="289" t="str">
        <f>+juin!AF13</f>
        <v/>
      </c>
      <c r="AR45" s="289" t="str">
        <f t="shared" si="24"/>
        <v/>
      </c>
      <c r="AS45" s="289">
        <f>+juin!AE13</f>
        <v>7.666666666666667</v>
      </c>
      <c r="AT45" s="289">
        <f>+juin!J13</f>
        <v>0</v>
      </c>
      <c r="AU45" s="279" t="str">
        <f t="shared" si="27"/>
        <v/>
      </c>
      <c r="AV45" s="178" t="str">
        <f>+IF(WEEKDAY(AL47)=1,SUM(AP$24:AP45),"")</f>
        <v/>
      </c>
      <c r="AW45" s="178" t="str">
        <f>+IF(WEEKDAY(AL47)=1,SUM(AU$29:AU45),"")</f>
        <v/>
      </c>
      <c r="AX45" s="385"/>
      <c r="AY45" s="209"/>
      <c r="AZ45" s="209"/>
      <c r="BA45" s="209"/>
      <c r="BB45" s="209"/>
      <c r="BC45" s="209"/>
      <c r="BD45" s="209"/>
    </row>
    <row r="46" spans="2:56" ht="15">
      <c r="AC46" s="189"/>
      <c r="AE46" s="160"/>
      <c r="AK46" s="977" t="str">
        <f t="shared" si="15"/>
        <v/>
      </c>
      <c r="AL46" s="286">
        <f>+juin!C14</f>
        <v>43627</v>
      </c>
      <c r="AM46" s="287" t="str">
        <f>+juin!D14</f>
        <v>AM</v>
      </c>
      <c r="AN46" s="287">
        <f t="shared" si="19"/>
        <v>1</v>
      </c>
      <c r="AO46" s="288">
        <f>+juin!W14</f>
        <v>8.6666666666666661</v>
      </c>
      <c r="AP46" s="289" t="str">
        <f>+juin!X14</f>
        <v/>
      </c>
      <c r="AQ46" s="289" t="str">
        <f>+juin!AF14</f>
        <v/>
      </c>
      <c r="AR46" s="289" t="str">
        <f t="shared" si="24"/>
        <v/>
      </c>
      <c r="AS46" s="289" t="str">
        <f>+juin!AE14</f>
        <v/>
      </c>
      <c r="AT46" s="289">
        <f>+juin!J14</f>
        <v>0</v>
      </c>
      <c r="AU46" s="279" t="str">
        <f t="shared" si="27"/>
        <v/>
      </c>
      <c r="AV46" s="178" t="str">
        <f>+IF(WEEKDAY(AL48)=1,SUM(AP$24:AP46),"")</f>
        <v/>
      </c>
      <c r="AW46" s="178" t="str">
        <f>+IF(WEEKDAY(AL48)=1,SUM(AU$29:AU46),"")</f>
        <v/>
      </c>
      <c r="AX46" s="385"/>
      <c r="AY46" s="209"/>
      <c r="AZ46" s="209"/>
      <c r="BA46" s="209"/>
      <c r="BB46" s="209"/>
      <c r="BC46" s="209"/>
      <c r="BD46" s="209"/>
    </row>
    <row r="47" spans="2:56" ht="15">
      <c r="AC47" s="189"/>
      <c r="AE47" s="160"/>
      <c r="AK47" s="977" t="str">
        <f t="shared" si="15"/>
        <v/>
      </c>
      <c r="AL47" s="286">
        <f>+juin!C15</f>
        <v>43628</v>
      </c>
      <c r="AM47" s="287" t="str">
        <f>+juin!D15</f>
        <v>AM</v>
      </c>
      <c r="AN47" s="287">
        <f t="shared" si="19"/>
        <v>1</v>
      </c>
      <c r="AO47" s="288">
        <f>+juin!W15</f>
        <v>8.6666666666666661</v>
      </c>
      <c r="AP47" s="289" t="str">
        <f>+juin!X15</f>
        <v/>
      </c>
      <c r="AQ47" s="289" t="str">
        <f>+juin!AF15</f>
        <v/>
      </c>
      <c r="AR47" s="289" t="str">
        <f t="shared" si="24"/>
        <v/>
      </c>
      <c r="AS47" s="289" t="str">
        <f>+juin!AE15</f>
        <v/>
      </c>
      <c r="AT47" s="289">
        <f>+juin!J15</f>
        <v>0</v>
      </c>
      <c r="AU47" s="279" t="str">
        <f t="shared" si="27"/>
        <v/>
      </c>
      <c r="AV47" s="178" t="str">
        <f>+IF(WEEKDAY(AL49)=1,SUM(AP$24:AP47),"")</f>
        <v/>
      </c>
      <c r="AW47" s="178" t="str">
        <f>+IF(WEEKDAY(AL49)=1,SUM(AU$29:AU47),"")</f>
        <v/>
      </c>
      <c r="AX47" s="385"/>
      <c r="AY47" s="209"/>
      <c r="AZ47" s="209"/>
      <c r="BA47" s="209"/>
      <c r="BB47" s="209"/>
      <c r="BC47" s="209"/>
      <c r="BD47" s="209"/>
    </row>
    <row r="48" spans="2:56" ht="15.75" thickBot="1">
      <c r="AC48" s="189"/>
      <c r="AE48" s="160"/>
      <c r="AK48" s="977" t="str">
        <f t="shared" si="15"/>
        <v/>
      </c>
      <c r="AL48" s="286">
        <f>+juin!C16</f>
        <v>43629</v>
      </c>
      <c r="AM48" s="287" t="str">
        <f>+juin!D16</f>
        <v>AM</v>
      </c>
      <c r="AN48" s="287">
        <f t="shared" si="19"/>
        <v>1</v>
      </c>
      <c r="AO48" s="288">
        <f>+juin!W16</f>
        <v>8.6666666666666661</v>
      </c>
      <c r="AP48" s="289" t="str">
        <f>+juin!X16</f>
        <v/>
      </c>
      <c r="AQ48" s="289" t="str">
        <f>+juin!AF16</f>
        <v/>
      </c>
      <c r="AR48" s="289" t="str">
        <f t="shared" si="24"/>
        <v/>
      </c>
      <c r="AS48" s="289" t="str">
        <f>+juin!AE16</f>
        <v/>
      </c>
      <c r="AT48" s="289">
        <f>+juin!J16</f>
        <v>0</v>
      </c>
      <c r="AU48" s="782" t="str">
        <f t="shared" si="27"/>
        <v/>
      </c>
      <c r="AV48" s="783" t="str">
        <f>+IF(WEEKDAY(AL50)=1,SUM(AP$24:AP48),"")</f>
        <v/>
      </c>
      <c r="AW48" s="783" t="str">
        <f>+IF(WEEKDAY(AL50)=1,SUM(AU$29:AU48),"")</f>
        <v/>
      </c>
      <c r="AX48" s="385"/>
      <c r="AY48" s="209"/>
      <c r="AZ48" s="209"/>
      <c r="BA48" s="209"/>
      <c r="BB48" s="209"/>
      <c r="BC48" s="209"/>
      <c r="BD48" s="209"/>
    </row>
    <row r="49" spans="28:56" ht="15.75" thickBot="1">
      <c r="AC49" s="189"/>
      <c r="AE49" s="1"/>
      <c r="AK49" s="977" t="str">
        <f t="shared" si="15"/>
        <v/>
      </c>
      <c r="AL49" s="286">
        <f>+juin!C17</f>
        <v>43630</v>
      </c>
      <c r="AM49" s="287" t="str">
        <f>+juin!D17</f>
        <v>AM</v>
      </c>
      <c r="AN49" s="287">
        <f>+IF(AM49=0,"",IF(AM49="CP","",1))</f>
        <v>1</v>
      </c>
      <c r="AO49" s="288">
        <f>+juin!W17</f>
        <v>7.4999999999999973</v>
      </c>
      <c r="AP49" s="289" t="str">
        <f>+juin!X17</f>
        <v/>
      </c>
      <c r="AQ49" s="289" t="str">
        <f>+juin!AF17</f>
        <v/>
      </c>
      <c r="AR49" s="289" t="str">
        <f t="shared" si="24"/>
        <v/>
      </c>
      <c r="AS49" s="289" t="str">
        <f>+juin!AE17</f>
        <v/>
      </c>
      <c r="AT49" s="781">
        <f>+juin!J17</f>
        <v>0</v>
      </c>
      <c r="AU49" s="786">
        <f>+IF(WEEKDAY(AL51)=1,SUM(AO45:AP51),"")</f>
        <v>48.833333333333329</v>
      </c>
      <c r="AV49" s="787">
        <f>+IF(WEEKDAY(AL51)=1,SUM(AP45:AP51),"")</f>
        <v>0</v>
      </c>
      <c r="AW49" s="783">
        <f>+IF(WEEKDAY(AL51)=1,SUM(AU$29:AU49),"")</f>
        <v>117.41666666666667</v>
      </c>
      <c r="AX49" s="780"/>
      <c r="AY49" s="209"/>
      <c r="AZ49" s="209"/>
      <c r="BA49" s="209"/>
      <c r="BB49" s="209"/>
      <c r="BC49" s="209"/>
      <c r="BD49" s="209"/>
    </row>
    <row r="50" spans="28:56" ht="15">
      <c r="AC50" s="189"/>
      <c r="AE50" s="1"/>
      <c r="AK50" s="977" t="str">
        <f t="shared" si="15"/>
        <v/>
      </c>
      <c r="AL50" s="286">
        <f>+juin!C18</f>
        <v>43631</v>
      </c>
      <c r="AM50" s="287">
        <f>+juin!D18</f>
        <v>0</v>
      </c>
      <c r="AN50" s="287" t="str">
        <f>+IF(AM50=0,"",IF(AM50="CP","",1))</f>
        <v/>
      </c>
      <c r="AO50" s="288" t="str">
        <f>+juin!W18</f>
        <v/>
      </c>
      <c r="AP50" s="289" t="str">
        <f>+juin!X18</f>
        <v/>
      </c>
      <c r="AQ50" s="289" t="str">
        <f>+juin!AF18</f>
        <v/>
      </c>
      <c r="AR50" s="289" t="str">
        <f t="shared" si="24"/>
        <v/>
      </c>
      <c r="AS50" s="289" t="str">
        <f>+juin!AE18</f>
        <v/>
      </c>
      <c r="AT50" s="289">
        <f>+juin!J18</f>
        <v>0</v>
      </c>
      <c r="AU50" s="784" t="str">
        <f t="shared" ref="AU50:AU56" si="28">+IF(WEEKDAY(AL52)=1,SUM(AO44:AP50),"")</f>
        <v/>
      </c>
      <c r="AV50" s="785" t="str">
        <f>+IF(WEEKDAY(AL52)=1,SUM(AP$24:AP50),"")</f>
        <v/>
      </c>
      <c r="AW50" s="783" t="str">
        <f>+IF(WEEKDAY(AL52)=1,SUM(AU$29:AU50),"")</f>
        <v/>
      </c>
      <c r="AX50" s="385"/>
      <c r="AY50" s="209"/>
      <c r="AZ50" s="209"/>
      <c r="BA50" s="209"/>
      <c r="BB50" s="209"/>
      <c r="BC50" s="209"/>
      <c r="BD50" s="209"/>
    </row>
    <row r="51" spans="28:56" ht="15">
      <c r="AC51" s="189"/>
      <c r="AE51" s="1"/>
      <c r="AK51" s="977" t="str">
        <f t="shared" si="15"/>
        <v/>
      </c>
      <c r="AL51" s="286">
        <f>+juin!C19</f>
        <v>43632</v>
      </c>
      <c r="AM51" s="805" t="str">
        <f>+juin!D19</f>
        <v>N</v>
      </c>
      <c r="AN51" s="287">
        <f>+IF(AM51=0,"",IF(AM51="CP","",1))</f>
        <v>1</v>
      </c>
      <c r="AO51" s="288">
        <f>+juin!W19</f>
        <v>7.666666666666667</v>
      </c>
      <c r="AP51" s="289" t="str">
        <f>+juin!X19</f>
        <v/>
      </c>
      <c r="AQ51" s="289" t="str">
        <f>+juin!AF19</f>
        <v/>
      </c>
      <c r="AR51" s="289" t="str">
        <f t="shared" si="24"/>
        <v/>
      </c>
      <c r="AS51" s="289" t="str">
        <f>+juin!AE19</f>
        <v/>
      </c>
      <c r="AT51" s="289">
        <f>+juin!J19</f>
        <v>0</v>
      </c>
      <c r="AU51" s="279" t="str">
        <f t="shared" si="28"/>
        <v/>
      </c>
      <c r="AV51" s="178" t="str">
        <f>+IF(WEEKDAY(AL53)=1,SUM(AP$24:AP51),"")</f>
        <v/>
      </c>
      <c r="AW51" s="178" t="str">
        <f>+IF(WEEKDAY(AL53)=1,SUM(AU$50:AU51),"")</f>
        <v/>
      </c>
      <c r="AX51" s="385"/>
      <c r="AY51" s="209"/>
      <c r="AZ51" s="209"/>
      <c r="BA51" s="209"/>
    </row>
    <row r="52" spans="28:56" ht="15">
      <c r="AC52" s="189"/>
      <c r="AE52" s="1"/>
      <c r="AK52" s="977">
        <f t="shared" si="15"/>
        <v>2</v>
      </c>
      <c r="AL52" s="286">
        <f>+juin!C20</f>
        <v>43633</v>
      </c>
      <c r="AM52" s="287" t="str">
        <f>+juin!D20</f>
        <v>N</v>
      </c>
      <c r="AN52" s="287">
        <f t="shared" si="19"/>
        <v>1</v>
      </c>
      <c r="AO52" s="288">
        <f>+juin!W20</f>
        <v>7.7499999999999991</v>
      </c>
      <c r="AP52" s="289" t="str">
        <f>+juin!X20</f>
        <v/>
      </c>
      <c r="AQ52" s="289" t="str">
        <f>+juin!AF20</f>
        <v/>
      </c>
      <c r="AR52" s="289" t="str">
        <f t="shared" si="24"/>
        <v/>
      </c>
      <c r="AS52" s="289" t="str">
        <f>+juin!AE20</f>
        <v/>
      </c>
      <c r="AT52" s="289">
        <f>+juin!J20</f>
        <v>0</v>
      </c>
      <c r="AU52" s="279" t="str">
        <f t="shared" si="28"/>
        <v/>
      </c>
      <c r="AV52" s="178" t="str">
        <f>+IF(WEEKDAY(AL54)=1,SUM(AP$24:AP52),"")</f>
        <v/>
      </c>
      <c r="AW52" s="178" t="str">
        <f>+IF(WEEKDAY(AL54)=1,SUM(AU$50:AU52),"")</f>
        <v/>
      </c>
      <c r="AX52" s="385"/>
      <c r="AY52" s="209"/>
      <c r="AZ52" s="209"/>
      <c r="BA52" s="209"/>
    </row>
    <row r="53" spans="28:56" ht="15">
      <c r="AB53" s="188"/>
      <c r="AC53" s="189"/>
      <c r="AD53" s="188"/>
      <c r="AE53" s="1"/>
      <c r="AK53" s="977" t="str">
        <f t="shared" si="15"/>
        <v/>
      </c>
      <c r="AL53" s="286">
        <f>+juin!C21</f>
        <v>43634</v>
      </c>
      <c r="AM53" s="287" t="str">
        <f>+juin!D21</f>
        <v>N</v>
      </c>
      <c r="AN53" s="287">
        <f t="shared" si="19"/>
        <v>1</v>
      </c>
      <c r="AO53" s="288">
        <f>+juin!W21</f>
        <v>7.7499999999999991</v>
      </c>
      <c r="AP53" s="289" t="str">
        <f>+juin!X21</f>
        <v/>
      </c>
      <c r="AQ53" s="289" t="str">
        <f>+juin!AF21</f>
        <v/>
      </c>
      <c r="AR53" s="289" t="str">
        <f t="shared" si="24"/>
        <v/>
      </c>
      <c r="AS53" s="289" t="str">
        <f>+juin!AE21</f>
        <v/>
      </c>
      <c r="AT53" s="289">
        <f>+juin!J21</f>
        <v>0</v>
      </c>
      <c r="AU53" s="279" t="str">
        <f t="shared" si="28"/>
        <v/>
      </c>
      <c r="AV53" s="178" t="str">
        <f>+IF(WEEKDAY(AL55)=1,SUM(AP$24:AP53),"")</f>
        <v/>
      </c>
      <c r="AW53" s="178" t="str">
        <f>+IF(WEEKDAY(AL55)=1,SUM(AU$50:AU53),"")</f>
        <v/>
      </c>
      <c r="AX53" s="385"/>
      <c r="AY53" s="209"/>
      <c r="AZ53" s="209"/>
      <c r="BA53" s="209"/>
    </row>
    <row r="54" spans="28:56" ht="15">
      <c r="AC54" s="189"/>
      <c r="AE54" s="1"/>
      <c r="AK54" s="977" t="str">
        <f t="shared" si="15"/>
        <v/>
      </c>
      <c r="AL54" s="286">
        <f>+juin!C22</f>
        <v>43635</v>
      </c>
      <c r="AM54" s="287" t="str">
        <f>+juin!D22</f>
        <v>N</v>
      </c>
      <c r="AN54" s="287">
        <f t="shared" si="19"/>
        <v>1</v>
      </c>
      <c r="AO54" s="288">
        <f>+juin!W22</f>
        <v>7.7499999999999991</v>
      </c>
      <c r="AP54" s="289" t="str">
        <f>+juin!X22</f>
        <v/>
      </c>
      <c r="AQ54" s="289" t="str">
        <f>+juin!AF22</f>
        <v/>
      </c>
      <c r="AR54" s="289" t="str">
        <f t="shared" si="24"/>
        <v/>
      </c>
      <c r="AS54" s="289" t="str">
        <f>+juin!AE22</f>
        <v/>
      </c>
      <c r="AT54" s="289">
        <f>+juin!J22</f>
        <v>0</v>
      </c>
      <c r="AU54" s="279" t="str">
        <f t="shared" si="28"/>
        <v/>
      </c>
      <c r="AV54" s="178" t="str">
        <f>+IF(WEEKDAY(AL56)=1,SUM(AP$24:AP54),"")</f>
        <v/>
      </c>
      <c r="AW54" s="178" t="str">
        <f>+IF(WEEKDAY(AL56)=1,SUM(AU$50:AU54),"")</f>
        <v/>
      </c>
      <c r="AX54" s="385"/>
      <c r="AY54" s="209"/>
      <c r="AZ54" s="209"/>
      <c r="BA54" s="209"/>
      <c r="BB54" s="209"/>
      <c r="BC54" s="209"/>
      <c r="BD54" s="209"/>
    </row>
    <row r="55" spans="28:56" ht="15">
      <c r="AC55" s="189"/>
      <c r="AE55" s="1"/>
      <c r="AK55" s="977" t="str">
        <f t="shared" si="15"/>
        <v/>
      </c>
      <c r="AL55" s="286">
        <f>+juin!C23</f>
        <v>43636</v>
      </c>
      <c r="AM55" s="287" t="str">
        <f>+juin!D23</f>
        <v>N</v>
      </c>
      <c r="AN55" s="287">
        <f t="shared" si="19"/>
        <v>1</v>
      </c>
      <c r="AO55" s="288">
        <f>+juin!W23</f>
        <v>7.7499999999999991</v>
      </c>
      <c r="AP55" s="289" t="str">
        <f>+juin!X23</f>
        <v/>
      </c>
      <c r="AQ55" s="289" t="str">
        <f>+juin!AF23</f>
        <v/>
      </c>
      <c r="AR55" s="289" t="str">
        <f t="shared" si="24"/>
        <v/>
      </c>
      <c r="AS55" s="289" t="str">
        <f>+juin!AE23</f>
        <v/>
      </c>
      <c r="AT55" s="289">
        <f>+juin!J23</f>
        <v>0</v>
      </c>
      <c r="AU55" s="279" t="str">
        <f t="shared" si="28"/>
        <v/>
      </c>
      <c r="AV55" s="178" t="str">
        <f>+IF(WEEKDAY(AL57)=1,SUM(AP$24:AP55),"")</f>
        <v/>
      </c>
      <c r="AW55" s="178" t="str">
        <f>+IF(WEEKDAY(AL57)=1,SUM(AU$50:AU55),"")</f>
        <v/>
      </c>
      <c r="AX55" s="385"/>
      <c r="AY55" s="209"/>
      <c r="AZ55" s="209"/>
      <c r="BA55" s="209"/>
      <c r="BB55" s="209"/>
      <c r="BC55" s="209"/>
      <c r="BD55" s="209"/>
    </row>
    <row r="56" spans="28:56" ht="15">
      <c r="AC56" s="189"/>
      <c r="AE56" s="1"/>
      <c r="AK56" s="977" t="str">
        <f t="shared" si="15"/>
        <v/>
      </c>
      <c r="AL56" s="286">
        <f>+juin!C24</f>
        <v>43637</v>
      </c>
      <c r="AM56" s="287">
        <f>+juin!D24</f>
        <v>0</v>
      </c>
      <c r="AN56" s="287" t="str">
        <f t="shared" si="19"/>
        <v/>
      </c>
      <c r="AO56" s="288" t="str">
        <f>+juin!W24</f>
        <v/>
      </c>
      <c r="AP56" s="289" t="str">
        <f>+juin!X24</f>
        <v/>
      </c>
      <c r="AQ56" s="289" t="str">
        <f>+juin!AF24</f>
        <v/>
      </c>
      <c r="AR56" s="289" t="str">
        <f t="shared" si="24"/>
        <v/>
      </c>
      <c r="AS56" s="289" t="str">
        <f>+juin!AE24</f>
        <v/>
      </c>
      <c r="AT56" s="289">
        <f>+juin!J24</f>
        <v>0</v>
      </c>
      <c r="AU56" s="279">
        <f t="shared" si="28"/>
        <v>38.666666666666664</v>
      </c>
      <c r="AV56" s="178">
        <f>+IF(WEEKDAY(AL58)=1,SUM(AP$24:AP56),"")</f>
        <v>0</v>
      </c>
      <c r="AW56" s="178">
        <f>+IF(WEEKDAY(AL58)=1,SUM(AU$50:AU56),"")</f>
        <v>38.666666666666664</v>
      </c>
      <c r="AX56" s="385"/>
      <c r="AY56" s="209"/>
      <c r="AZ56" s="209"/>
      <c r="BA56" s="209"/>
      <c r="BB56" s="209"/>
      <c r="BC56" s="209"/>
      <c r="BD56" s="209"/>
    </row>
    <row r="57" spans="28:56" ht="15">
      <c r="AC57" s="189"/>
      <c r="AE57" s="1"/>
      <c r="AK57" s="977" t="str">
        <f t="shared" si="15"/>
        <v/>
      </c>
      <c r="AL57" s="286">
        <f>+juin!C25</f>
        <v>43638</v>
      </c>
      <c r="AM57" s="287">
        <f>+juin!D25</f>
        <v>0</v>
      </c>
      <c r="AN57" s="287" t="str">
        <f t="shared" si="19"/>
        <v/>
      </c>
      <c r="AO57" s="288" t="str">
        <f>+juin!W25</f>
        <v/>
      </c>
      <c r="AP57" s="289" t="str">
        <f>+juin!X25</f>
        <v/>
      </c>
      <c r="AQ57" s="289" t="str">
        <f>+juin!AF25</f>
        <v/>
      </c>
      <c r="AR57" s="289" t="str">
        <f t="shared" si="24"/>
        <v/>
      </c>
      <c r="AS57" s="289" t="str">
        <f>+juin!AE25</f>
        <v/>
      </c>
      <c r="AT57" s="289">
        <f>+juin!J25</f>
        <v>0</v>
      </c>
      <c r="AU57" s="279" t="str">
        <f>+IF(WEEKDAY(AL59)=1,SUM(AO$24:AP57),"")</f>
        <v/>
      </c>
      <c r="AV57" s="178" t="str">
        <f>+IF(WEEKDAY(AL59)=1,SUM(AP$24:AP57),"")</f>
        <v/>
      </c>
      <c r="AW57" s="179" t="str">
        <f>+IF(WEEKDAY(AL59)=1,SUM(AU$57:AU57),"")</f>
        <v/>
      </c>
      <c r="AX57" s="385"/>
      <c r="AY57" s="209"/>
      <c r="AZ57" s="209"/>
      <c r="BA57" s="209"/>
      <c r="BB57" s="209"/>
      <c r="BC57" s="209"/>
      <c r="BD57" s="209"/>
    </row>
    <row r="58" spans="28:56" ht="15">
      <c r="AC58" s="189"/>
      <c r="AE58" s="1"/>
      <c r="AK58" s="977" t="str">
        <f t="shared" si="15"/>
        <v/>
      </c>
      <c r="AL58" s="286">
        <f>+juin!C26</f>
        <v>43639</v>
      </c>
      <c r="AM58" s="287" t="str">
        <f>+juin!D26</f>
        <v>M</v>
      </c>
      <c r="AN58" s="287">
        <f t="shared" si="19"/>
        <v>1</v>
      </c>
      <c r="AO58" s="288">
        <f>+juin!W26</f>
        <v>8.5</v>
      </c>
      <c r="AP58" s="289" t="str">
        <f>+juin!X26</f>
        <v/>
      </c>
      <c r="AQ58" s="289" t="str">
        <f>+juin!AF26</f>
        <v/>
      </c>
      <c r="AR58" s="289" t="str">
        <f t="shared" si="24"/>
        <v/>
      </c>
      <c r="AS58" s="289" t="str">
        <f>+juin!AE26</f>
        <v/>
      </c>
      <c r="AT58" s="289">
        <f>+juin!J26</f>
        <v>0</v>
      </c>
      <c r="AU58" s="279" t="str">
        <f>+IF(WEEKDAY(AL60)=1,SUM(AO$24:AP58),"")</f>
        <v/>
      </c>
      <c r="AV58" s="178" t="str">
        <f>+IF(WEEKDAY(AL60)=1,SUM(AP$24:AP58),"")</f>
        <v/>
      </c>
      <c r="AW58" s="179" t="str">
        <f>+IF(WEEKDAY(AL60)=1,SUM(AU$57:AU58),"")</f>
        <v/>
      </c>
      <c r="AX58" s="385"/>
      <c r="AY58" s="209"/>
      <c r="AZ58" s="209"/>
      <c r="BA58" s="209"/>
      <c r="BB58" s="209"/>
      <c r="BC58" s="209"/>
      <c r="BD58" s="209"/>
    </row>
    <row r="59" spans="28:56" ht="15">
      <c r="AC59" s="189"/>
      <c r="AE59" s="1"/>
      <c r="AK59" s="977" t="str">
        <f t="shared" si="15"/>
        <v/>
      </c>
      <c r="AL59" s="286">
        <f>+juin!C27</f>
        <v>43640</v>
      </c>
      <c r="AM59" s="287" t="str">
        <f>+juin!D27</f>
        <v>AM</v>
      </c>
      <c r="AN59" s="287">
        <f t="shared" si="19"/>
        <v>1</v>
      </c>
      <c r="AO59" s="288">
        <f>+juin!W27</f>
        <v>7.7499999999999991</v>
      </c>
      <c r="AP59" s="289" t="str">
        <f>+juin!X27</f>
        <v/>
      </c>
      <c r="AQ59" s="289" t="str">
        <f>+juin!AF27</f>
        <v/>
      </c>
      <c r="AR59" s="289" t="str">
        <f t="shared" si="24"/>
        <v/>
      </c>
      <c r="AS59" s="289" t="str">
        <f>+juin!AE27</f>
        <v/>
      </c>
      <c r="AT59" s="289">
        <f>+juin!J27</f>
        <v>0</v>
      </c>
      <c r="AU59" s="279" t="str">
        <f>+IF(WEEKDAY(AL61)=1,SUM(AO$24:AP59),"")</f>
        <v/>
      </c>
      <c r="AV59" s="178" t="str">
        <f>+IF(WEEKDAY(AL61)=1,SUM(AP$24:AP59),"")</f>
        <v/>
      </c>
      <c r="AW59" s="179" t="str">
        <f>+IF(WEEKDAY(AL61)=1,SUM(AU$57:AU59),"")</f>
        <v/>
      </c>
      <c r="AX59" s="386"/>
      <c r="AY59" s="209"/>
      <c r="AZ59" s="209"/>
      <c r="BA59" s="209"/>
      <c r="BB59" s="209"/>
      <c r="BC59" s="209"/>
      <c r="BD59" s="209"/>
    </row>
    <row r="60" spans="28:56" ht="15">
      <c r="AC60" s="189"/>
      <c r="AE60" s="1"/>
      <c r="AK60" s="977" t="str">
        <f t="shared" si="15"/>
        <v/>
      </c>
      <c r="AL60" s="286">
        <f>+juin!C28</f>
        <v>43641</v>
      </c>
      <c r="AM60" s="287" t="str">
        <f>+juin!D28</f>
        <v>AM</v>
      </c>
      <c r="AN60" s="287">
        <f t="shared" si="19"/>
        <v>1</v>
      </c>
      <c r="AO60" s="288">
        <f>+juin!W28</f>
        <v>7.7499999999999991</v>
      </c>
      <c r="AP60" s="289" t="str">
        <f>+juin!X28</f>
        <v/>
      </c>
      <c r="AQ60" s="289" t="str">
        <f>+juin!AF28</f>
        <v/>
      </c>
      <c r="AR60" s="289" t="str">
        <f t="shared" si="24"/>
        <v/>
      </c>
      <c r="AS60" s="289" t="str">
        <f>+juin!AE28</f>
        <v/>
      </c>
      <c r="AT60" s="289">
        <f>+juin!J28</f>
        <v>0</v>
      </c>
      <c r="AU60" s="279" t="str">
        <f>+IF(WEEKDAY(AL62)=1,SUM(AO$24:AP60),"")</f>
        <v/>
      </c>
      <c r="AV60" s="178" t="str">
        <f>+IF(WEEKDAY(AL62)=1,SUM(AP$24:AP60),"")</f>
        <v/>
      </c>
      <c r="AW60" s="179" t="str">
        <f>+IF(WEEKDAY(AL62)=1,SUM(AU$57:AU60),"")</f>
        <v/>
      </c>
      <c r="AX60" s="386"/>
      <c r="AY60" s="209"/>
      <c r="AZ60" s="209"/>
      <c r="BA60" s="209"/>
      <c r="BB60" s="209"/>
      <c r="BC60" s="209"/>
      <c r="BD60" s="209"/>
    </row>
    <row r="61" spans="28:56" ht="15">
      <c r="AC61" s="189"/>
      <c r="AE61" s="1"/>
      <c r="AK61" s="977" t="str">
        <f t="shared" si="15"/>
        <v/>
      </c>
      <c r="AL61" s="286">
        <f>+juin!C29</f>
        <v>43642</v>
      </c>
      <c r="AM61" s="287" t="str">
        <f>+juin!D29</f>
        <v>AM</v>
      </c>
      <c r="AN61" s="287">
        <f t="shared" si="19"/>
        <v>1</v>
      </c>
      <c r="AO61" s="288">
        <f>+juin!W29</f>
        <v>7.7499999999999991</v>
      </c>
      <c r="AP61" s="289" t="str">
        <f>+juin!X29</f>
        <v/>
      </c>
      <c r="AQ61" s="289" t="str">
        <f>+juin!AF29</f>
        <v/>
      </c>
      <c r="AR61" s="289" t="str">
        <f t="shared" si="24"/>
        <v/>
      </c>
      <c r="AS61" s="289" t="str">
        <f>+juin!AE29</f>
        <v/>
      </c>
      <c r="AT61" s="289">
        <f>+juin!J29</f>
        <v>0</v>
      </c>
      <c r="AU61" s="279" t="str">
        <f t="shared" ref="AU61:AU92" si="29">+IF(WEEKDAY(AL63)=1,SUM(AO55:AP61),"")</f>
        <v/>
      </c>
      <c r="AV61" s="178" t="str">
        <f t="shared" ref="AV61:AV124" si="30">+IF(WEEKDAY(AL63)=1,SUM(AP55:AP61),"")</f>
        <v/>
      </c>
      <c r="AW61" s="178" t="str">
        <f>+IF(WEEKDAY(AL63)=1,SUM(AU$57:AU61),"")</f>
        <v/>
      </c>
      <c r="AX61" s="386"/>
      <c r="AY61" s="209"/>
      <c r="AZ61" s="209"/>
      <c r="BA61" s="209"/>
      <c r="BB61" s="209"/>
      <c r="BC61" s="209"/>
      <c r="BD61" s="209"/>
    </row>
    <row r="62" spans="28:56" ht="15.75" thickBot="1">
      <c r="AC62" s="189"/>
      <c r="AE62" s="1"/>
      <c r="AK62" s="977" t="str">
        <f t="shared" si="15"/>
        <v/>
      </c>
      <c r="AL62" s="286">
        <f>+juin!C30</f>
        <v>43643</v>
      </c>
      <c r="AM62" s="287" t="str">
        <f>+juin!D30</f>
        <v>AM</v>
      </c>
      <c r="AN62" s="287">
        <f t="shared" si="19"/>
        <v>1</v>
      </c>
      <c r="AO62" s="288">
        <f>+juin!W30</f>
        <v>7.7499999999999991</v>
      </c>
      <c r="AP62" s="289" t="str">
        <f>+juin!X30</f>
        <v/>
      </c>
      <c r="AQ62" s="289" t="str">
        <f>+juin!AF30</f>
        <v/>
      </c>
      <c r="AR62" s="289" t="str">
        <f t="shared" si="24"/>
        <v/>
      </c>
      <c r="AS62" s="289" t="str">
        <f>+juin!AE30</f>
        <v/>
      </c>
      <c r="AT62" s="289">
        <f>+juin!J30</f>
        <v>0</v>
      </c>
      <c r="AU62" s="279" t="str">
        <f t="shared" si="29"/>
        <v/>
      </c>
      <c r="AV62" s="178" t="str">
        <f t="shared" si="30"/>
        <v/>
      </c>
      <c r="AW62" s="178" t="str">
        <f>+IF(WEEKDAY(AL64)=1,SUM(AU$57:AU62),"")</f>
        <v/>
      </c>
      <c r="AX62" s="386"/>
      <c r="AY62" s="210"/>
      <c r="AZ62" s="210"/>
      <c r="BA62" s="210"/>
      <c r="BB62" s="210"/>
      <c r="BC62" s="210"/>
      <c r="BD62" s="210"/>
    </row>
    <row r="63" spans="28:56" ht="15.75" thickBot="1">
      <c r="AC63" s="189"/>
      <c r="AE63" s="1"/>
      <c r="AK63" s="977" t="str">
        <f t="shared" si="15"/>
        <v/>
      </c>
      <c r="AL63" s="286">
        <f>+juin!C31</f>
        <v>43644</v>
      </c>
      <c r="AM63" s="287" t="str">
        <f>+juin!D31</f>
        <v>AM</v>
      </c>
      <c r="AN63" s="287">
        <f t="shared" si="19"/>
        <v>1</v>
      </c>
      <c r="AO63" s="288">
        <f>+juin!W31</f>
        <v>5.4166666666666643</v>
      </c>
      <c r="AP63" s="289" t="str">
        <f>+juin!X31</f>
        <v/>
      </c>
      <c r="AQ63" s="289" t="str">
        <f>+juin!AF31</f>
        <v/>
      </c>
      <c r="AR63" s="289" t="str">
        <f t="shared" si="24"/>
        <v/>
      </c>
      <c r="AS63" s="289" t="str">
        <f>+juin!AE31</f>
        <v/>
      </c>
      <c r="AT63" s="289">
        <f>+juin!J31</f>
        <v>0</v>
      </c>
      <c r="AU63" s="279">
        <f t="shared" si="29"/>
        <v>44.916666666666664</v>
      </c>
      <c r="AV63" s="178">
        <f t="shared" si="30"/>
        <v>0</v>
      </c>
      <c r="AW63" s="178">
        <f>+IF(WEEKDAY(AL65)=1,SUM(AU$57:AU63),"")</f>
        <v>44.916666666666664</v>
      </c>
      <c r="AX63" s="223">
        <f>+IF(WEEKDAY($AL$24)=1,SUM(AN52:AN79),IF(WEEKDAY($AL$25)=1,SUM(AN53:AN80),IF(WEEKDAY($AL$26)=1,SUM(AN54:AN81),IF(WEEKDAY($AL$27)=1,SUM(AN55:AN82),IF(WEEKDAY($AL$28)=1,SUM(AN56:AN83),IF(WEEKDAY($AL$29)=1,SUM(AN57:AN84),IF(WEEKDAY($AL$30)=1,SUM(AN58:AN85),"")))))))</f>
        <v>21</v>
      </c>
      <c r="AY63" s="223">
        <f t="shared" ref="AY63:BD63" si="31">+IF(WEEKDAY($AL$24)=1,SUM(AO52:AO79),IF(WEEKDAY($AL$25)=1,SUM(AO53:AO80),IF(WEEKDAY($AL$26)=1,SUM(AO54:AO81),IF(WEEKDAY($AL$27)=1,SUM(AO55:AO82),IF(WEEKDAY($AL$28)=1,SUM(AO56:AO83),IF(WEEKDAY($AL$29)=1,SUM(AO57:AO84),IF(WEEKDAY($AL$30)=1,SUM(AO58:AO85),"")))))))</f>
        <v>153.58333333333334</v>
      </c>
      <c r="AZ63" s="223">
        <f t="shared" si="31"/>
        <v>0</v>
      </c>
      <c r="BA63" s="223">
        <f t="shared" si="31"/>
        <v>0</v>
      </c>
      <c r="BB63" s="223">
        <f t="shared" si="31"/>
        <v>0</v>
      </c>
      <c r="BC63" s="223">
        <f t="shared" si="31"/>
        <v>3</v>
      </c>
      <c r="BD63" s="223">
        <f t="shared" si="31"/>
        <v>0</v>
      </c>
    </row>
    <row r="64" spans="28:56" ht="15.75" thickBot="1">
      <c r="AC64" s="189"/>
      <c r="AE64" s="1"/>
      <c r="AK64" s="977" t="str">
        <f t="shared" si="15"/>
        <v/>
      </c>
      <c r="AL64" s="286">
        <f>+juin!C32</f>
        <v>43645</v>
      </c>
      <c r="AM64" s="287">
        <f>+juin!D32</f>
        <v>0</v>
      </c>
      <c r="AN64" s="287" t="str">
        <f t="shared" si="16"/>
        <v/>
      </c>
      <c r="AO64" s="288" t="str">
        <f>+juin!W32</f>
        <v/>
      </c>
      <c r="AP64" s="289" t="str">
        <f>+juin!X32</f>
        <v/>
      </c>
      <c r="AQ64" s="289" t="str">
        <f>+juin!AF32</f>
        <v/>
      </c>
      <c r="AR64" s="289" t="str">
        <f t="shared" si="24"/>
        <v/>
      </c>
      <c r="AS64" s="289" t="str">
        <f>+juin!AE32</f>
        <v/>
      </c>
      <c r="AT64" s="289">
        <f>+juin!J32</f>
        <v>0</v>
      </c>
      <c r="AU64" s="279" t="str">
        <f t="shared" si="29"/>
        <v/>
      </c>
      <c r="AV64" s="178" t="str">
        <f t="shared" si="30"/>
        <v/>
      </c>
      <c r="AW64" s="178" t="str">
        <f>+IF(WEEKDAY(AL66)=1,SUM(AU$57:AU64),"")</f>
        <v/>
      </c>
      <c r="AX64" s="385"/>
      <c r="AY64" s="208"/>
    </row>
    <row r="65" spans="29:55" ht="16.5" thickTop="1" thickBot="1">
      <c r="AC65" s="189"/>
      <c r="AE65" s="1"/>
      <c r="AK65" s="977" t="str">
        <f t="shared" si="15"/>
        <v/>
      </c>
      <c r="AL65" s="286">
        <f>+juin!C33</f>
        <v>43646</v>
      </c>
      <c r="AM65" s="287">
        <f>+juin!D33</f>
        <v>0</v>
      </c>
      <c r="AN65" s="287" t="str">
        <f t="shared" ref="AN65:AN66" si="32">+IF(AM65=0,"",IF(AM65="CP","",1))</f>
        <v/>
      </c>
      <c r="AO65" s="288" t="str">
        <f>+juin!W33</f>
        <v/>
      </c>
      <c r="AP65" s="289" t="str">
        <f>+juin!X33</f>
        <v/>
      </c>
      <c r="AQ65" s="289" t="str">
        <f>+juin!AF33</f>
        <v/>
      </c>
      <c r="AR65" s="289" t="str">
        <f t="shared" si="24"/>
        <v/>
      </c>
      <c r="AS65" s="289" t="str">
        <f>+juin!AE33</f>
        <v/>
      </c>
      <c r="AT65" s="289">
        <f>+juin!J33</f>
        <v>0</v>
      </c>
      <c r="AU65" s="279" t="str">
        <f t="shared" si="29"/>
        <v/>
      </c>
      <c r="AV65" s="178" t="str">
        <f t="shared" si="30"/>
        <v/>
      </c>
      <c r="AW65" s="178" t="str">
        <f>+IF(WEEKDAY(AL67)=1,SUM(AU$57:AU65),"")</f>
        <v/>
      </c>
      <c r="AX65" s="385"/>
      <c r="AY65" s="208"/>
      <c r="AZ65" s="936" t="str">
        <f>+IF(WEEKDAY(AL$26)=1,"Fin cycle 2",IF(WEEKDAY(AL$27)=1,"Fin cycle 2",IF(WEEKDAY(AL$28)=1,"Fin cycle 2",IF(WEEKDAY(AL$29)=1,"Fin cycle 2",IF(WEEKDAY(AL$30)=1,"Fin cycle 2",IF(WEEKDAY(AL$31)=1,"Fin cycle 2",IF(WEEKDAY(AL$32)=1,"Fin cycle 2","")))))))</f>
        <v>Fin cycle 2</v>
      </c>
      <c r="BA65" s="937"/>
      <c r="BB65" s="275">
        <f>SUM(AY63:AZ63)</f>
        <v>153.58333333333334</v>
      </c>
      <c r="BC65" s="590"/>
    </row>
    <row r="66" spans="29:55" ht="15">
      <c r="AC66" s="189"/>
      <c r="AE66" s="1"/>
      <c r="AK66" s="977" t="str">
        <f t="shared" si="15"/>
        <v/>
      </c>
      <c r="AL66" s="286">
        <f>+AL65+1</f>
        <v>43647</v>
      </c>
      <c r="AM66" s="287" t="str">
        <f>+Juillet!D4</f>
        <v>M</v>
      </c>
      <c r="AN66" s="287">
        <f t="shared" si="32"/>
        <v>1</v>
      </c>
      <c r="AO66" s="288">
        <f>+Juillet!W4</f>
        <v>7.7500000000000009</v>
      </c>
      <c r="AP66" s="288" t="str">
        <f>+Juillet!X4</f>
        <v/>
      </c>
      <c r="AQ66" s="288" t="str">
        <f>+Juillet!AF4</f>
        <v/>
      </c>
      <c r="AR66" s="289" t="str">
        <f t="shared" si="24"/>
        <v/>
      </c>
      <c r="AS66" s="288" t="str">
        <f>+Juillet!AE4</f>
        <v/>
      </c>
      <c r="AT66" s="288">
        <f>+Juillet!J4</f>
        <v>0</v>
      </c>
      <c r="AU66" s="279" t="str">
        <f t="shared" si="29"/>
        <v/>
      </c>
      <c r="AV66" s="178" t="str">
        <f t="shared" si="30"/>
        <v/>
      </c>
      <c r="AW66" s="178" t="str">
        <f>+IF(WEEKDAY(AL68)=1,SUM(AU$57:AU66),"")</f>
        <v/>
      </c>
      <c r="AX66" s="385"/>
      <c r="AY66" s="208"/>
    </row>
    <row r="67" spans="29:55" ht="15">
      <c r="AC67" s="189"/>
      <c r="AE67" s="1"/>
      <c r="AK67" s="977" t="str">
        <f t="shared" si="15"/>
        <v/>
      </c>
      <c r="AL67" s="286">
        <f t="shared" ref="AL67:AL70" si="33">+AL66+1</f>
        <v>43648</v>
      </c>
      <c r="AM67" s="287" t="str">
        <f>+Juillet!D5</f>
        <v>M</v>
      </c>
      <c r="AN67" s="287">
        <f t="shared" ref="AN67:AN96" si="34">+IF(AM67=0,"",IF(AM67="CP","",1))</f>
        <v>1</v>
      </c>
      <c r="AO67" s="288">
        <f>+Juillet!W5</f>
        <v>7.7500000000000009</v>
      </c>
      <c r="AP67" s="288" t="str">
        <f>+Juillet!X5</f>
        <v/>
      </c>
      <c r="AQ67" s="288" t="str">
        <f>+Juillet!AF5</f>
        <v/>
      </c>
      <c r="AR67" s="289" t="str">
        <f t="shared" ref="AR67:AR96" si="35">+IF(AS67&lt;&gt;"","",AQ67)</f>
        <v/>
      </c>
      <c r="AS67" s="288" t="str">
        <f>+Juillet!AE5</f>
        <v/>
      </c>
      <c r="AT67" s="288">
        <f>+Juillet!J5</f>
        <v>0</v>
      </c>
      <c r="AU67" s="279" t="str">
        <f t="shared" si="29"/>
        <v/>
      </c>
      <c r="AV67" s="178" t="str">
        <f t="shared" si="30"/>
        <v/>
      </c>
      <c r="AW67" s="178" t="str">
        <f>+IF(WEEKDAY(AL69)=1,SUM(AU$57:AU67),"")</f>
        <v/>
      </c>
      <c r="AX67" s="385"/>
      <c r="AY67" s="208"/>
    </row>
    <row r="68" spans="29:55" ht="15">
      <c r="AC68" s="189"/>
      <c r="AE68" s="1"/>
      <c r="AK68" s="977" t="str">
        <f t="shared" si="15"/>
        <v/>
      </c>
      <c r="AL68" s="286">
        <f t="shared" si="33"/>
        <v>43649</v>
      </c>
      <c r="AM68" s="287" t="str">
        <f>+Juillet!D6</f>
        <v>M</v>
      </c>
      <c r="AN68" s="287">
        <f t="shared" si="34"/>
        <v>1</v>
      </c>
      <c r="AO68" s="288">
        <f>+Juillet!W6</f>
        <v>7.7500000000000009</v>
      </c>
      <c r="AP68" s="288" t="str">
        <f>+Juillet!X6</f>
        <v/>
      </c>
      <c r="AQ68" s="288" t="str">
        <f>+Juillet!AF6</f>
        <v/>
      </c>
      <c r="AR68" s="289" t="str">
        <f t="shared" si="35"/>
        <v/>
      </c>
      <c r="AS68" s="288" t="str">
        <f>+Juillet!AE6</f>
        <v/>
      </c>
      <c r="AT68" s="288">
        <f>+Juillet!J6</f>
        <v>0</v>
      </c>
      <c r="AU68" s="279" t="str">
        <f t="shared" si="29"/>
        <v/>
      </c>
      <c r="AV68" s="178" t="str">
        <f t="shared" si="30"/>
        <v/>
      </c>
      <c r="AW68" s="178" t="str">
        <f>+IF(WEEKDAY(AL70)=1,SUM(AU$57:AU68),"")</f>
        <v/>
      </c>
      <c r="AX68" s="385"/>
      <c r="AY68" s="208"/>
    </row>
    <row r="69" spans="29:55" ht="15">
      <c r="AC69" s="189"/>
      <c r="AE69" s="1"/>
      <c r="AK69" s="977" t="str">
        <f t="shared" si="15"/>
        <v/>
      </c>
      <c r="AL69" s="286">
        <f t="shared" si="33"/>
        <v>43650</v>
      </c>
      <c r="AM69" s="287" t="str">
        <f>+Juillet!D7</f>
        <v>M</v>
      </c>
      <c r="AN69" s="287">
        <f t="shared" si="34"/>
        <v>1</v>
      </c>
      <c r="AO69" s="288">
        <f>+Juillet!W7</f>
        <v>7.7500000000000009</v>
      </c>
      <c r="AP69" s="288" t="str">
        <f>+Juillet!X7</f>
        <v/>
      </c>
      <c r="AQ69" s="288" t="str">
        <f>+Juillet!AF7</f>
        <v/>
      </c>
      <c r="AR69" s="289" t="str">
        <f t="shared" si="35"/>
        <v/>
      </c>
      <c r="AS69" s="288" t="str">
        <f>+Juillet!AE7</f>
        <v/>
      </c>
      <c r="AT69" s="288">
        <f>+Juillet!J7</f>
        <v>0</v>
      </c>
      <c r="AU69" s="279" t="str">
        <f t="shared" si="29"/>
        <v/>
      </c>
      <c r="AV69" s="178" t="str">
        <f t="shared" si="30"/>
        <v/>
      </c>
      <c r="AW69" s="178" t="str">
        <f>+IF(WEEKDAY(AL71)=1,SUM(AU$57:AU69),"")</f>
        <v/>
      </c>
      <c r="AX69" s="385"/>
      <c r="AY69" s="208"/>
    </row>
    <row r="70" spans="29:55" ht="15">
      <c r="AC70" s="189"/>
      <c r="AE70" s="1"/>
      <c r="AK70" s="977" t="str">
        <f t="shared" si="15"/>
        <v/>
      </c>
      <c r="AL70" s="286">
        <f t="shared" si="33"/>
        <v>43651</v>
      </c>
      <c r="AM70" s="287">
        <f>+Juillet!D8</f>
        <v>0</v>
      </c>
      <c r="AN70" s="287" t="str">
        <f t="shared" si="34"/>
        <v/>
      </c>
      <c r="AO70" s="288" t="str">
        <f>+Juillet!W8</f>
        <v/>
      </c>
      <c r="AP70" s="288" t="str">
        <f>+Juillet!X8</f>
        <v/>
      </c>
      <c r="AQ70" s="288" t="str">
        <f>+Juillet!AF8</f>
        <v/>
      </c>
      <c r="AR70" s="289" t="str">
        <f t="shared" si="35"/>
        <v/>
      </c>
      <c r="AS70" s="288" t="str">
        <f>+Juillet!AE8</f>
        <v/>
      </c>
      <c r="AT70" s="288">
        <f>+Juillet!J8</f>
        <v>0</v>
      </c>
      <c r="AU70" s="279">
        <f t="shared" si="29"/>
        <v>31.000000000000004</v>
      </c>
      <c r="AV70" s="178">
        <f t="shared" si="30"/>
        <v>0</v>
      </c>
      <c r="AW70" s="178">
        <f>+IF(WEEKDAY(AL72)=1,SUM(AU$57:AU70),"")</f>
        <v>75.916666666666671</v>
      </c>
      <c r="AX70" s="385"/>
      <c r="AY70" s="208"/>
    </row>
    <row r="71" spans="29:55" ht="15">
      <c r="AC71" s="189"/>
      <c r="AE71" s="1"/>
      <c r="AK71" s="977" t="str">
        <f t="shared" si="15"/>
        <v/>
      </c>
      <c r="AL71" s="286">
        <f t="shared" ref="AL71:AL99" si="36">+AL70+1</f>
        <v>43652</v>
      </c>
      <c r="AM71" s="287">
        <f>+Juillet!D9</f>
        <v>0</v>
      </c>
      <c r="AN71" s="287" t="str">
        <f t="shared" si="34"/>
        <v/>
      </c>
      <c r="AO71" s="288" t="str">
        <f>+Juillet!W9</f>
        <v/>
      </c>
      <c r="AP71" s="288" t="str">
        <f>+Juillet!X9</f>
        <v/>
      </c>
      <c r="AQ71" s="288" t="str">
        <f>+Juillet!AF9</f>
        <v/>
      </c>
      <c r="AR71" s="289" t="str">
        <f t="shared" si="35"/>
        <v/>
      </c>
      <c r="AS71" s="288" t="str">
        <f>+Juillet!AE9</f>
        <v/>
      </c>
      <c r="AT71" s="288">
        <f>+Juillet!J9</f>
        <v>0</v>
      </c>
      <c r="AU71" s="279" t="str">
        <f t="shared" si="29"/>
        <v/>
      </c>
      <c r="AV71" s="178" t="str">
        <f t="shared" si="30"/>
        <v/>
      </c>
      <c r="AW71" s="178" t="str">
        <f>+IF(WEEKDAY(AL73)=1,SUM(AU$57:AU71),"")</f>
        <v/>
      </c>
      <c r="AX71" s="385"/>
      <c r="AY71" s="208"/>
    </row>
    <row r="72" spans="29:55" ht="15">
      <c r="AC72" s="189"/>
      <c r="AE72" s="1"/>
      <c r="AK72" s="977" t="str">
        <f t="shared" si="15"/>
        <v/>
      </c>
      <c r="AL72" s="286">
        <f t="shared" si="36"/>
        <v>43653</v>
      </c>
      <c r="AM72" s="287" t="str">
        <f>+Juillet!D10</f>
        <v>M</v>
      </c>
      <c r="AN72" s="287">
        <f t="shared" si="34"/>
        <v>1</v>
      </c>
      <c r="AO72" s="288">
        <f>+Juillet!W10</f>
        <v>6.1666666666666661</v>
      </c>
      <c r="AP72" s="288" t="str">
        <f>+Juillet!X10</f>
        <v/>
      </c>
      <c r="AQ72" s="288" t="str">
        <f>+Juillet!AF10</f>
        <v/>
      </c>
      <c r="AR72" s="289" t="str">
        <f t="shared" si="35"/>
        <v/>
      </c>
      <c r="AS72" s="288" t="str">
        <f>+Juillet!AE10</f>
        <v/>
      </c>
      <c r="AT72" s="288">
        <f>+Juillet!J10</f>
        <v>0</v>
      </c>
      <c r="AU72" s="279" t="str">
        <f t="shared" si="29"/>
        <v/>
      </c>
      <c r="AV72" s="178" t="str">
        <f t="shared" si="30"/>
        <v/>
      </c>
      <c r="AW72" s="178" t="str">
        <f>+IF(WEEKDAY(AL74)=1,SUM(AU$57:AU72),"")</f>
        <v/>
      </c>
      <c r="AX72" s="385"/>
      <c r="AY72" s="208"/>
    </row>
    <row r="73" spans="29:55" ht="15">
      <c r="AK73" s="977" t="str">
        <f t="shared" si="15"/>
        <v/>
      </c>
      <c r="AL73" s="286">
        <f t="shared" si="36"/>
        <v>43654</v>
      </c>
      <c r="AM73" s="287" t="str">
        <f>+Juillet!D11</f>
        <v>AM</v>
      </c>
      <c r="AN73" s="287">
        <f t="shared" si="34"/>
        <v>1</v>
      </c>
      <c r="AO73" s="288">
        <f>+Juillet!W11</f>
        <v>7.7499999999999991</v>
      </c>
      <c r="AP73" s="288" t="str">
        <f>+Juillet!X11</f>
        <v/>
      </c>
      <c r="AQ73" s="288" t="str">
        <f>+Juillet!AF11</f>
        <v/>
      </c>
      <c r="AR73" s="289" t="str">
        <f t="shared" si="35"/>
        <v/>
      </c>
      <c r="AS73" s="288" t="str">
        <f>+Juillet!AE11</f>
        <v/>
      </c>
      <c r="AT73" s="288">
        <f>+Juillet!J11</f>
        <v>0</v>
      </c>
      <c r="AU73" s="279" t="str">
        <f t="shared" si="29"/>
        <v/>
      </c>
      <c r="AV73" s="178" t="str">
        <f t="shared" si="30"/>
        <v/>
      </c>
      <c r="AW73" s="178" t="str">
        <f>+IF(WEEKDAY(AL75)=1,SUM(AU$57:AU73),"")</f>
        <v/>
      </c>
      <c r="AX73" s="385"/>
      <c r="AY73" s="208"/>
    </row>
    <row r="74" spans="29:55" ht="15">
      <c r="AK74" s="977" t="str">
        <f t="shared" si="15"/>
        <v/>
      </c>
      <c r="AL74" s="286">
        <f t="shared" si="36"/>
        <v>43655</v>
      </c>
      <c r="AM74" s="287" t="str">
        <f>+Juillet!D12</f>
        <v>AM</v>
      </c>
      <c r="AN74" s="287">
        <f t="shared" si="34"/>
        <v>1</v>
      </c>
      <c r="AO74" s="288">
        <f>+Juillet!W12</f>
        <v>7.7499999999999991</v>
      </c>
      <c r="AP74" s="288" t="str">
        <f>+Juillet!X12</f>
        <v/>
      </c>
      <c r="AQ74" s="288" t="str">
        <f>+Juillet!AF12</f>
        <v/>
      </c>
      <c r="AR74" s="289" t="str">
        <f t="shared" si="35"/>
        <v/>
      </c>
      <c r="AS74" s="288" t="str">
        <f>+Juillet!AE12</f>
        <v/>
      </c>
      <c r="AT74" s="288">
        <f>+Juillet!J12</f>
        <v>0</v>
      </c>
      <c r="AU74" s="279" t="str">
        <f t="shared" si="29"/>
        <v/>
      </c>
      <c r="AV74" s="178" t="str">
        <f t="shared" si="30"/>
        <v/>
      </c>
      <c r="AW74" s="178" t="str">
        <f>+IF(WEEKDAY(AL76)=1,SUM(AU$57:AU74),"")</f>
        <v/>
      </c>
      <c r="AX74" s="385"/>
      <c r="AY74" s="208"/>
    </row>
    <row r="75" spans="29:55" ht="15">
      <c r="AK75" s="977" t="str">
        <f t="shared" si="15"/>
        <v/>
      </c>
      <c r="AL75" s="286">
        <f t="shared" si="36"/>
        <v>43656</v>
      </c>
      <c r="AM75" s="287" t="str">
        <f>+Juillet!D13</f>
        <v>AM</v>
      </c>
      <c r="AN75" s="287">
        <f t="shared" si="34"/>
        <v>1</v>
      </c>
      <c r="AO75" s="288">
        <f>+Juillet!W13</f>
        <v>7.7499999999999991</v>
      </c>
      <c r="AP75" s="288" t="str">
        <f>+Juillet!X13</f>
        <v/>
      </c>
      <c r="AQ75" s="288" t="str">
        <f>+Juillet!AF13</f>
        <v/>
      </c>
      <c r="AR75" s="289" t="str">
        <f t="shared" si="35"/>
        <v/>
      </c>
      <c r="AS75" s="288" t="str">
        <f>+Juillet!AE13</f>
        <v/>
      </c>
      <c r="AT75" s="288">
        <f>+Juillet!J13</f>
        <v>0</v>
      </c>
      <c r="AU75" s="279" t="str">
        <f t="shared" si="29"/>
        <v/>
      </c>
      <c r="AV75" s="178" t="str">
        <f t="shared" si="30"/>
        <v/>
      </c>
      <c r="AW75" s="178" t="str">
        <f>+IF(WEEKDAY(AL77)=1,SUM(AU$57:AU75),"")</f>
        <v/>
      </c>
      <c r="AX75" s="385"/>
      <c r="AY75" s="208"/>
    </row>
    <row r="76" spans="29:55" ht="15">
      <c r="AK76" s="977" t="str">
        <f t="shared" si="15"/>
        <v/>
      </c>
      <c r="AL76" s="286">
        <f t="shared" si="36"/>
        <v>43657</v>
      </c>
      <c r="AM76" s="287" t="str">
        <f>+Juillet!D14</f>
        <v>AM</v>
      </c>
      <c r="AN76" s="287">
        <f t="shared" si="34"/>
        <v>1</v>
      </c>
      <c r="AO76" s="288">
        <f>+Juillet!W14</f>
        <v>6.0833333333333321</v>
      </c>
      <c r="AP76" s="288" t="str">
        <f>+Juillet!X14</f>
        <v/>
      </c>
      <c r="AQ76" s="288" t="str">
        <f>+Juillet!AF14</f>
        <v/>
      </c>
      <c r="AR76" s="289" t="str">
        <f t="shared" si="35"/>
        <v/>
      </c>
      <c r="AS76" s="288" t="str">
        <f>+Juillet!AE14</f>
        <v/>
      </c>
      <c r="AT76" s="288">
        <f>+Juillet!J14</f>
        <v>0</v>
      </c>
      <c r="AU76" s="279" t="str">
        <f t="shared" si="29"/>
        <v/>
      </c>
      <c r="AV76" s="178" t="str">
        <f t="shared" si="30"/>
        <v/>
      </c>
      <c r="AW76" s="178" t="str">
        <f>+IF(WEEKDAY(AL78)=1,SUM(AU$57:AU76),"")</f>
        <v/>
      </c>
      <c r="AX76" s="385"/>
      <c r="AY76" s="208"/>
    </row>
    <row r="77" spans="29:55" ht="15">
      <c r="AK77" s="977" t="str">
        <f t="shared" si="15"/>
        <v/>
      </c>
      <c r="AL77" s="286">
        <f t="shared" si="36"/>
        <v>43658</v>
      </c>
      <c r="AM77" s="287" t="str">
        <f>+Juillet!D15</f>
        <v>AM</v>
      </c>
      <c r="AN77" s="287">
        <f t="shared" si="34"/>
        <v>1</v>
      </c>
      <c r="AO77" s="288">
        <f>+Juillet!W15</f>
        <v>5.9999999999999956</v>
      </c>
      <c r="AP77" s="288" t="str">
        <f>+Juillet!X15</f>
        <v/>
      </c>
      <c r="AQ77" s="288" t="str">
        <f>+Juillet!AF15</f>
        <v/>
      </c>
      <c r="AR77" s="289" t="str">
        <f t="shared" si="35"/>
        <v/>
      </c>
      <c r="AS77" s="288" t="str">
        <f>+Juillet!AE15</f>
        <v/>
      </c>
      <c r="AT77" s="288">
        <f>+Juillet!J15</f>
        <v>0</v>
      </c>
      <c r="AU77" s="279">
        <f t="shared" si="29"/>
        <v>41.499999999999993</v>
      </c>
      <c r="AV77" s="178">
        <f t="shared" si="30"/>
        <v>0</v>
      </c>
      <c r="AW77" s="178">
        <f>+IF(WEEKDAY(AL79)=1,SUM(AU$57:AU77),"")</f>
        <v>117.41666666666666</v>
      </c>
      <c r="AX77" s="385"/>
      <c r="AY77" s="208"/>
    </row>
    <row r="78" spans="29:55" ht="15">
      <c r="AK78" s="977" t="str">
        <f t="shared" si="15"/>
        <v/>
      </c>
      <c r="AL78" s="286">
        <f t="shared" si="36"/>
        <v>43659</v>
      </c>
      <c r="AM78" s="287">
        <f>+Juillet!D16</f>
        <v>0</v>
      </c>
      <c r="AN78" s="287" t="str">
        <f t="shared" si="34"/>
        <v/>
      </c>
      <c r="AO78" s="288" t="str">
        <f>+Juillet!W16</f>
        <v/>
      </c>
      <c r="AP78" s="288" t="str">
        <f>+Juillet!X16</f>
        <v/>
      </c>
      <c r="AQ78" s="288" t="str">
        <f>+Juillet!AF16</f>
        <v/>
      </c>
      <c r="AR78" s="289" t="str">
        <f t="shared" si="35"/>
        <v/>
      </c>
      <c r="AS78" s="288" t="str">
        <f>+Juillet!AE16</f>
        <v/>
      </c>
      <c r="AT78" s="288">
        <f>+Juillet!J16</f>
        <v>0</v>
      </c>
      <c r="AU78" s="279" t="str">
        <f t="shared" si="29"/>
        <v/>
      </c>
      <c r="AV78" s="178" t="str">
        <f t="shared" si="30"/>
        <v/>
      </c>
      <c r="AW78" s="179" t="str">
        <f>+IF(WEEKDAY(AL80)=1,SUM(AU$57:AU78),"")</f>
        <v/>
      </c>
      <c r="AX78" s="385"/>
      <c r="AY78" s="208"/>
    </row>
    <row r="79" spans="29:55" ht="15">
      <c r="AK79" s="977" t="str">
        <f t="shared" si="15"/>
        <v/>
      </c>
      <c r="AL79" s="286">
        <f t="shared" si="36"/>
        <v>43660</v>
      </c>
      <c r="AM79" s="287" t="str">
        <f>+Juillet!D17</f>
        <v>N</v>
      </c>
      <c r="AN79" s="287">
        <f t="shared" si="34"/>
        <v>1</v>
      </c>
      <c r="AO79" s="288">
        <f>+Juillet!W17</f>
        <v>7.666666666666667</v>
      </c>
      <c r="AP79" s="288" t="str">
        <f>+Juillet!X17</f>
        <v/>
      </c>
      <c r="AQ79" s="288" t="str">
        <f>+Juillet!AF17</f>
        <v/>
      </c>
      <c r="AR79" s="289" t="str">
        <f t="shared" si="35"/>
        <v/>
      </c>
      <c r="AS79" s="288">
        <f>+Juillet!AE17</f>
        <v>3</v>
      </c>
      <c r="AT79" s="288">
        <f>+Juillet!J17</f>
        <v>0</v>
      </c>
      <c r="AU79" s="279" t="str">
        <f t="shared" si="29"/>
        <v/>
      </c>
      <c r="AV79" s="178" t="str">
        <f t="shared" si="30"/>
        <v/>
      </c>
      <c r="AW79" s="179" t="str">
        <f>+IF(WEEKDAY(AL81)=1,SUM(AU$57:AU79),"")</f>
        <v/>
      </c>
      <c r="AX79" s="385"/>
      <c r="AY79" s="208"/>
    </row>
    <row r="80" spans="29:55" ht="15">
      <c r="AK80" s="977">
        <f t="shared" si="15"/>
        <v>3</v>
      </c>
      <c r="AL80" s="286">
        <f t="shared" si="36"/>
        <v>43661</v>
      </c>
      <c r="AM80" s="287" t="str">
        <f>+Juillet!D18</f>
        <v>N</v>
      </c>
      <c r="AN80" s="287">
        <f t="shared" si="34"/>
        <v>1</v>
      </c>
      <c r="AO80" s="288">
        <f>+Juillet!W18</f>
        <v>7.7499999999999991</v>
      </c>
      <c r="AP80" s="288" t="str">
        <f>+Juillet!X18</f>
        <v/>
      </c>
      <c r="AQ80" s="288" t="str">
        <f>+Juillet!AF18</f>
        <v/>
      </c>
      <c r="AR80" s="289" t="str">
        <f t="shared" si="35"/>
        <v/>
      </c>
      <c r="AS80" s="288" t="str">
        <f>+Juillet!AE18</f>
        <v/>
      </c>
      <c r="AT80" s="288">
        <f>+Juillet!J18</f>
        <v>0</v>
      </c>
      <c r="AU80" s="279" t="str">
        <f t="shared" si="29"/>
        <v/>
      </c>
      <c r="AV80" s="178" t="str">
        <f t="shared" si="30"/>
        <v/>
      </c>
      <c r="AW80" s="179" t="str">
        <f>+IF(WEEKDAY(AL82)=1,SUM(AU$57:AU80),"")</f>
        <v/>
      </c>
      <c r="AX80" s="386"/>
      <c r="AY80" s="208"/>
    </row>
    <row r="81" spans="29:56" ht="15">
      <c r="AK81" s="976" t="str">
        <f t="shared" ref="AK78:AK88" si="37">IF(MOD((AL81-$AF$27)/28,1),"",MOD((AL81-$AF$27)/28,13)+1)</f>
        <v/>
      </c>
      <c r="AL81" s="286">
        <f t="shared" si="36"/>
        <v>43662</v>
      </c>
      <c r="AM81" s="287" t="str">
        <f>+Juillet!D19</f>
        <v>N</v>
      </c>
      <c r="AN81" s="287">
        <f t="shared" si="34"/>
        <v>1</v>
      </c>
      <c r="AO81" s="288">
        <f>+Juillet!W19</f>
        <v>7.7499999999999991</v>
      </c>
      <c r="AP81" s="288" t="str">
        <f>+Juillet!X19</f>
        <v/>
      </c>
      <c r="AQ81" s="288" t="str">
        <f>+Juillet!AF19</f>
        <v/>
      </c>
      <c r="AR81" s="289" t="str">
        <f t="shared" si="35"/>
        <v/>
      </c>
      <c r="AS81" s="288" t="str">
        <f>+Juillet!AE19</f>
        <v/>
      </c>
      <c r="AT81" s="288">
        <f>+Juillet!J19</f>
        <v>0</v>
      </c>
      <c r="AU81" s="279" t="str">
        <f t="shared" si="29"/>
        <v/>
      </c>
      <c r="AV81" s="178" t="str">
        <f t="shared" si="30"/>
        <v/>
      </c>
      <c r="AW81" s="179" t="str">
        <f>+IF(WEEKDAY(AL83)=1,SUM(AU$57:AU81),"")</f>
        <v/>
      </c>
      <c r="AX81" s="386"/>
      <c r="AY81" s="208"/>
    </row>
    <row r="82" spans="29:56" ht="15">
      <c r="AK82" s="976" t="str">
        <f t="shared" si="37"/>
        <v/>
      </c>
      <c r="AL82" s="286">
        <f t="shared" si="36"/>
        <v>43663</v>
      </c>
      <c r="AM82" s="287" t="str">
        <f>+Juillet!D20</f>
        <v>N</v>
      </c>
      <c r="AN82" s="287">
        <f t="shared" si="34"/>
        <v>1</v>
      </c>
      <c r="AO82" s="288">
        <f>+Juillet!W20</f>
        <v>7.7499999999999991</v>
      </c>
      <c r="AP82" s="288" t="str">
        <f>+Juillet!X20</f>
        <v/>
      </c>
      <c r="AQ82" s="288" t="str">
        <f>+Juillet!AF20</f>
        <v/>
      </c>
      <c r="AR82" s="289" t="str">
        <f t="shared" si="35"/>
        <v/>
      </c>
      <c r="AS82" s="288" t="str">
        <f>+Juillet!AE20</f>
        <v/>
      </c>
      <c r="AT82" s="288">
        <f>+Juillet!J20</f>
        <v>0</v>
      </c>
      <c r="AU82" s="279" t="str">
        <f t="shared" si="29"/>
        <v/>
      </c>
      <c r="AV82" s="178" t="str">
        <f t="shared" si="30"/>
        <v/>
      </c>
      <c r="AW82" s="179" t="str">
        <f>+IF(WEEKDAY(AL84)=1,SUM(AU$57:AU82),"")</f>
        <v/>
      </c>
      <c r="AX82" s="386"/>
      <c r="AY82" s="208"/>
    </row>
    <row r="83" spans="29:56" ht="15">
      <c r="AK83" s="976" t="str">
        <f t="shared" si="37"/>
        <v/>
      </c>
      <c r="AL83" s="286">
        <f t="shared" si="36"/>
        <v>43664</v>
      </c>
      <c r="AM83" s="287" t="str">
        <f>+Juillet!D21</f>
        <v>N</v>
      </c>
      <c r="AN83" s="287">
        <f t="shared" si="34"/>
        <v>1</v>
      </c>
      <c r="AO83" s="288">
        <f>+Juillet!W21</f>
        <v>5.25</v>
      </c>
      <c r="AP83" s="288" t="str">
        <f>+Juillet!X21</f>
        <v/>
      </c>
      <c r="AQ83" s="288" t="str">
        <f>+Juillet!AF21</f>
        <v/>
      </c>
      <c r="AR83" s="289" t="str">
        <f t="shared" si="35"/>
        <v/>
      </c>
      <c r="AS83" s="288" t="str">
        <f>+Juillet!AE21</f>
        <v/>
      </c>
      <c r="AT83" s="288">
        <f>+Juillet!J21</f>
        <v>0</v>
      </c>
      <c r="AU83" s="279" t="str">
        <f t="shared" si="29"/>
        <v/>
      </c>
      <c r="AV83" s="178" t="str">
        <f t="shared" si="30"/>
        <v/>
      </c>
      <c r="AW83" s="179" t="str">
        <f>+IF(WEEKDAY(AL85)=1,SUM(AU$57:AU83),"")</f>
        <v/>
      </c>
      <c r="AX83" s="386"/>
      <c r="AY83" s="208"/>
    </row>
    <row r="84" spans="29:56" ht="15">
      <c r="AC84" s="17"/>
      <c r="AK84" s="976" t="str">
        <f t="shared" si="37"/>
        <v/>
      </c>
      <c r="AL84" s="286">
        <f t="shared" si="36"/>
        <v>43665</v>
      </c>
      <c r="AM84" s="287">
        <f>+Juillet!D22</f>
        <v>0</v>
      </c>
      <c r="AN84" s="287" t="str">
        <f t="shared" si="34"/>
        <v/>
      </c>
      <c r="AO84" s="288" t="str">
        <f>+Juillet!W22</f>
        <v/>
      </c>
      <c r="AP84" s="288" t="str">
        <f>+Juillet!X22</f>
        <v/>
      </c>
      <c r="AQ84" s="288" t="str">
        <f>+Juillet!AF22</f>
        <v/>
      </c>
      <c r="AR84" s="289" t="str">
        <f t="shared" si="35"/>
        <v/>
      </c>
      <c r="AS84" s="288" t="str">
        <f>+Juillet!AE22</f>
        <v/>
      </c>
      <c r="AT84" s="288">
        <f>+Juillet!J22</f>
        <v>0</v>
      </c>
      <c r="AU84" s="279">
        <f t="shared" si="29"/>
        <v>36.166666666666664</v>
      </c>
      <c r="AV84" s="178">
        <f t="shared" si="30"/>
        <v>0</v>
      </c>
      <c r="AW84" s="179">
        <f>+IF(WEEKDAY(AL86)=1,SUM(AU$57:AU84),"")</f>
        <v>153.58333333333331</v>
      </c>
      <c r="AX84" s="386"/>
      <c r="AY84" s="208"/>
    </row>
    <row r="85" spans="29:56" ht="15">
      <c r="AK85" s="976" t="str">
        <f t="shared" si="37"/>
        <v/>
      </c>
      <c r="AL85" s="286">
        <f t="shared" si="36"/>
        <v>43666</v>
      </c>
      <c r="AM85" s="287">
        <f>+Juillet!D23</f>
        <v>0</v>
      </c>
      <c r="AN85" s="287" t="str">
        <f t="shared" si="34"/>
        <v/>
      </c>
      <c r="AO85" s="288" t="str">
        <f>+Juillet!W23</f>
        <v/>
      </c>
      <c r="AP85" s="288" t="str">
        <f>+Juillet!X23</f>
        <v/>
      </c>
      <c r="AQ85" s="288" t="str">
        <f>+Juillet!AF23</f>
        <v/>
      </c>
      <c r="AR85" s="289" t="str">
        <f t="shared" si="35"/>
        <v/>
      </c>
      <c r="AS85" s="288" t="str">
        <f>+Juillet!AE23</f>
        <v/>
      </c>
      <c r="AT85" s="288">
        <f>+Juillet!J23</f>
        <v>0</v>
      </c>
      <c r="AU85" s="279" t="str">
        <f t="shared" si="29"/>
        <v/>
      </c>
      <c r="AV85" s="178" t="str">
        <f t="shared" si="30"/>
        <v/>
      </c>
      <c r="AW85" s="179" t="str">
        <f>+IF(WEEKDAY(AL87)=1,SUM(AU$85:AU85),"")</f>
        <v/>
      </c>
      <c r="AX85" s="386"/>
      <c r="AY85" s="208"/>
    </row>
    <row r="86" spans="29:56" ht="15">
      <c r="AK86" s="976" t="str">
        <f t="shared" si="37"/>
        <v/>
      </c>
      <c r="AL86" s="286">
        <f t="shared" si="36"/>
        <v>43667</v>
      </c>
      <c r="AM86" s="287" t="str">
        <f>+Juillet!D24</f>
        <v>M</v>
      </c>
      <c r="AN86" s="287">
        <f t="shared" si="34"/>
        <v>1</v>
      </c>
      <c r="AO86" s="288">
        <f>+Juillet!W24</f>
        <v>7.3333333333333348</v>
      </c>
      <c r="AP86" s="288" t="str">
        <f>+Juillet!X24</f>
        <v/>
      </c>
      <c r="AQ86" s="288" t="str">
        <f>+Juillet!AF24</f>
        <v/>
      </c>
      <c r="AR86" s="289" t="str">
        <f t="shared" si="35"/>
        <v/>
      </c>
      <c r="AS86" s="288" t="str">
        <f>+Juillet!AE24</f>
        <v/>
      </c>
      <c r="AT86" s="288">
        <f>+Juillet!J24</f>
        <v>0</v>
      </c>
      <c r="AU86" s="279" t="str">
        <f t="shared" si="29"/>
        <v/>
      </c>
      <c r="AV86" s="178" t="str">
        <f t="shared" si="30"/>
        <v/>
      </c>
      <c r="AW86" s="179" t="str">
        <f>+IF(WEEKDAY(AL88)=1,SUM(AU$85:AU86),"")</f>
        <v/>
      </c>
      <c r="AX86" s="386"/>
      <c r="AY86" s="208"/>
    </row>
    <row r="87" spans="29:56" ht="15">
      <c r="AK87" s="976" t="str">
        <f t="shared" si="37"/>
        <v/>
      </c>
      <c r="AL87" s="286">
        <f t="shared" si="36"/>
        <v>43668</v>
      </c>
      <c r="AM87" s="287" t="str">
        <f>+Juillet!D25</f>
        <v>AM</v>
      </c>
      <c r="AN87" s="287">
        <f t="shared" si="34"/>
        <v>1</v>
      </c>
      <c r="AO87" s="288">
        <f>+Juillet!W25</f>
        <v>7.7499999999999991</v>
      </c>
      <c r="AP87" s="288" t="str">
        <f>+Juillet!X25</f>
        <v/>
      </c>
      <c r="AQ87" s="288" t="str">
        <f>+Juillet!AF25</f>
        <v/>
      </c>
      <c r="AR87" s="289" t="str">
        <f t="shared" si="35"/>
        <v/>
      </c>
      <c r="AS87" s="288" t="str">
        <f>+Juillet!AE25</f>
        <v/>
      </c>
      <c r="AT87" s="288">
        <f>+Juillet!J25</f>
        <v>0</v>
      </c>
      <c r="AU87" s="279" t="str">
        <f t="shared" si="29"/>
        <v/>
      </c>
      <c r="AV87" s="178" t="str">
        <f t="shared" si="30"/>
        <v/>
      </c>
      <c r="AW87" s="179" t="str">
        <f>+IF(WEEKDAY(AL89)=1,SUM(AU$85:AU87),"")</f>
        <v/>
      </c>
      <c r="AX87" s="386"/>
      <c r="AY87" s="208"/>
    </row>
    <row r="88" spans="29:56" ht="15">
      <c r="AK88" s="976" t="str">
        <f t="shared" si="37"/>
        <v/>
      </c>
      <c r="AL88" s="286">
        <f t="shared" si="36"/>
        <v>43669</v>
      </c>
      <c r="AM88" s="287" t="str">
        <f>+Juillet!D26</f>
        <v>AM</v>
      </c>
      <c r="AN88" s="287">
        <f t="shared" si="34"/>
        <v>1</v>
      </c>
      <c r="AO88" s="288">
        <f>+Juillet!W26</f>
        <v>7.7499999999999991</v>
      </c>
      <c r="AP88" s="288" t="str">
        <f>+Juillet!X26</f>
        <v/>
      </c>
      <c r="AQ88" s="288" t="str">
        <f>+Juillet!AF26</f>
        <v/>
      </c>
      <c r="AR88" s="289" t="str">
        <f t="shared" si="35"/>
        <v/>
      </c>
      <c r="AS88" s="288" t="str">
        <f>+Juillet!AE26</f>
        <v/>
      </c>
      <c r="AT88" s="288">
        <f>+Juillet!J26</f>
        <v>0</v>
      </c>
      <c r="AU88" s="279" t="str">
        <f t="shared" si="29"/>
        <v/>
      </c>
      <c r="AV88" s="178" t="str">
        <f t="shared" si="30"/>
        <v/>
      </c>
      <c r="AW88" s="179" t="str">
        <f>+IF(WEEKDAY(AL90)=1,SUM(AU$85:AU88),"")</f>
        <v/>
      </c>
      <c r="AX88" s="386"/>
      <c r="AY88" s="208"/>
    </row>
    <row r="89" spans="29:56" ht="15">
      <c r="AK89" s="976" t="str">
        <f t="shared" ref="AK89:AK108" si="38">IF(MOD((AL89-$AF$27)/28,1),"",MOD((AL89-$AF$27)/28,13)+1)</f>
        <v/>
      </c>
      <c r="AL89" s="286">
        <f t="shared" si="36"/>
        <v>43670</v>
      </c>
      <c r="AM89" s="287" t="str">
        <f>+Juillet!D27</f>
        <v>AM</v>
      </c>
      <c r="AN89" s="287">
        <f t="shared" si="34"/>
        <v>1</v>
      </c>
      <c r="AO89" s="288">
        <f>+Juillet!W27</f>
        <v>7.7499999999999991</v>
      </c>
      <c r="AP89" s="288" t="str">
        <f>+Juillet!X27</f>
        <v/>
      </c>
      <c r="AQ89" s="288" t="str">
        <f>+Juillet!AF27</f>
        <v/>
      </c>
      <c r="AR89" s="289" t="str">
        <f t="shared" si="35"/>
        <v/>
      </c>
      <c r="AS89" s="288" t="str">
        <f>+Juillet!AE27</f>
        <v/>
      </c>
      <c r="AT89" s="288">
        <f>+Juillet!J27</f>
        <v>0</v>
      </c>
      <c r="AU89" s="279" t="str">
        <f t="shared" si="29"/>
        <v/>
      </c>
      <c r="AV89" s="178" t="str">
        <f t="shared" si="30"/>
        <v/>
      </c>
      <c r="AW89" s="179" t="str">
        <f>+IF(WEEKDAY(AL91)=1,SUM(AU$85:AU89),"")</f>
        <v/>
      </c>
      <c r="AX89" s="386"/>
      <c r="AY89" s="208"/>
    </row>
    <row r="90" spans="29:56" ht="15">
      <c r="AK90" s="976" t="str">
        <f t="shared" si="38"/>
        <v/>
      </c>
      <c r="AL90" s="286">
        <f t="shared" si="36"/>
        <v>43671</v>
      </c>
      <c r="AM90" s="287" t="str">
        <f>+Juillet!D28</f>
        <v>AM</v>
      </c>
      <c r="AN90" s="287">
        <f t="shared" si="34"/>
        <v>1</v>
      </c>
      <c r="AO90" s="288">
        <f>+Juillet!W28</f>
        <v>7.7499999999999991</v>
      </c>
      <c r="AP90" s="288" t="str">
        <f>+Juillet!X28</f>
        <v/>
      </c>
      <c r="AQ90" s="288" t="str">
        <f>+Juillet!AF28</f>
        <v/>
      </c>
      <c r="AR90" s="289" t="str">
        <f t="shared" si="35"/>
        <v/>
      </c>
      <c r="AS90" s="288" t="str">
        <f>+Juillet!AE28</f>
        <v/>
      </c>
      <c r="AT90" s="288">
        <f>+Juillet!J28</f>
        <v>0</v>
      </c>
      <c r="AU90" s="279" t="str">
        <f t="shared" si="29"/>
        <v/>
      </c>
      <c r="AV90" s="178" t="str">
        <f t="shared" si="30"/>
        <v/>
      </c>
      <c r="AW90" s="179" t="str">
        <f>+IF(WEEKDAY(AL92)=1,SUM(AU$85:AU90),"")</f>
        <v/>
      </c>
      <c r="AX90" s="386"/>
      <c r="AY90" s="208"/>
    </row>
    <row r="91" spans="29:56" ht="15">
      <c r="AK91" s="976" t="str">
        <f t="shared" si="38"/>
        <v/>
      </c>
      <c r="AL91" s="286">
        <f t="shared" si="36"/>
        <v>43672</v>
      </c>
      <c r="AM91" s="287" t="str">
        <f>+Juillet!D29</f>
        <v>AM</v>
      </c>
      <c r="AN91" s="287">
        <f t="shared" si="34"/>
        <v>1</v>
      </c>
      <c r="AO91" s="288">
        <f>+Juillet!W29</f>
        <v>7.666666666666667</v>
      </c>
      <c r="AP91" s="288" t="str">
        <f>+Juillet!X29</f>
        <v/>
      </c>
      <c r="AQ91" s="288" t="str">
        <f>+Juillet!AF29</f>
        <v/>
      </c>
      <c r="AR91" s="289" t="str">
        <f t="shared" si="35"/>
        <v/>
      </c>
      <c r="AS91" s="288" t="str">
        <f>+Juillet!AE29</f>
        <v/>
      </c>
      <c r="AT91" s="288">
        <f>+Juillet!J29</f>
        <v>0</v>
      </c>
      <c r="AU91" s="279">
        <f t="shared" si="29"/>
        <v>45.999999999999993</v>
      </c>
      <c r="AV91" s="178">
        <f t="shared" si="30"/>
        <v>0</v>
      </c>
      <c r="AW91" s="179">
        <f>+IF(WEEKDAY(AL93)=1,SUM(AU$85:AU91),"")</f>
        <v>45.999999999999993</v>
      </c>
      <c r="AX91" s="386"/>
      <c r="AY91" s="208"/>
    </row>
    <row r="92" spans="29:56" ht="15">
      <c r="AK92" s="976" t="str">
        <f t="shared" si="38"/>
        <v/>
      </c>
      <c r="AL92" s="286">
        <f t="shared" si="36"/>
        <v>43673</v>
      </c>
      <c r="AM92" s="287">
        <f>+Juillet!D30</f>
        <v>0</v>
      </c>
      <c r="AN92" s="287" t="str">
        <f t="shared" si="34"/>
        <v/>
      </c>
      <c r="AO92" s="288" t="str">
        <f>+Juillet!W30</f>
        <v/>
      </c>
      <c r="AP92" s="288" t="str">
        <f>+Juillet!X30</f>
        <v/>
      </c>
      <c r="AQ92" s="288" t="str">
        <f>+Juillet!AF30</f>
        <v/>
      </c>
      <c r="AR92" s="289" t="str">
        <f t="shared" si="35"/>
        <v/>
      </c>
      <c r="AS92" s="288" t="str">
        <f>+Juillet!AE30</f>
        <v/>
      </c>
      <c r="AT92" s="288">
        <f>+Juillet!J30</f>
        <v>0</v>
      </c>
      <c r="AU92" s="279" t="str">
        <f t="shared" si="29"/>
        <v/>
      </c>
      <c r="AV92" s="178" t="str">
        <f t="shared" si="30"/>
        <v/>
      </c>
      <c r="AW92" s="178" t="str">
        <f>+IF(WEEKDAY(AL94)=1,SUM(AU$85:AU92),"")</f>
        <v/>
      </c>
      <c r="AX92" s="386"/>
      <c r="AY92" s="208"/>
    </row>
    <row r="93" spans="29:56" ht="15.75" thickBot="1">
      <c r="AK93" s="976" t="str">
        <f t="shared" si="38"/>
        <v/>
      </c>
      <c r="AL93" s="286">
        <f t="shared" si="36"/>
        <v>43674</v>
      </c>
      <c r="AM93" s="287">
        <f>+Juillet!D31</f>
        <v>0</v>
      </c>
      <c r="AN93" s="287" t="str">
        <f t="shared" si="34"/>
        <v/>
      </c>
      <c r="AO93" s="288" t="str">
        <f>+Juillet!W31</f>
        <v/>
      </c>
      <c r="AP93" s="288" t="str">
        <f>+Juillet!X31</f>
        <v/>
      </c>
      <c r="AQ93" s="288" t="str">
        <f>+Juillet!AF31</f>
        <v/>
      </c>
      <c r="AR93" s="289" t="str">
        <f t="shared" si="35"/>
        <v/>
      </c>
      <c r="AS93" s="288" t="str">
        <f>+Juillet!AE31</f>
        <v/>
      </c>
      <c r="AT93" s="288">
        <f>+Juillet!J31</f>
        <v>0</v>
      </c>
      <c r="AU93" s="279" t="str">
        <f t="shared" ref="AU93:AU124" si="39">+IF(WEEKDAY(AL95)=1,SUM(AO87:AP93),"")</f>
        <v/>
      </c>
      <c r="AV93" s="178" t="str">
        <f t="shared" si="30"/>
        <v/>
      </c>
      <c r="AW93" s="179" t="str">
        <f>+IF(WEEKDAY(AL95)=1,SUM(AU$85:AU93),"")</f>
        <v/>
      </c>
      <c r="AX93" s="386"/>
    </row>
    <row r="94" spans="29:56" ht="15.75" thickBot="1">
      <c r="AK94" s="976" t="str">
        <f t="shared" si="38"/>
        <v/>
      </c>
      <c r="AL94" s="286">
        <f t="shared" si="36"/>
        <v>43675</v>
      </c>
      <c r="AM94" s="287">
        <f>+Juillet!D32</f>
        <v>0</v>
      </c>
      <c r="AN94" s="287" t="str">
        <f t="shared" si="34"/>
        <v/>
      </c>
      <c r="AO94" s="288" t="str">
        <f>+Juillet!W32</f>
        <v/>
      </c>
      <c r="AP94" s="288" t="str">
        <f>+Juillet!X32</f>
        <v/>
      </c>
      <c r="AQ94" s="288" t="str">
        <f>+Juillet!AF32</f>
        <v/>
      </c>
      <c r="AR94" s="289" t="str">
        <f t="shared" si="35"/>
        <v/>
      </c>
      <c r="AS94" s="288" t="str">
        <f>+Juillet!AE32</f>
        <v/>
      </c>
      <c r="AT94" s="288">
        <f>+Juillet!J32</f>
        <v>0</v>
      </c>
      <c r="AU94" s="279" t="str">
        <f t="shared" si="39"/>
        <v/>
      </c>
      <c r="AV94" s="178" t="str">
        <f t="shared" si="30"/>
        <v/>
      </c>
      <c r="AW94" s="179" t="str">
        <f>+IF(WEEKDAY(AL96)=1,SUM(AU$85:AU94),"")</f>
        <v/>
      </c>
      <c r="AX94" s="223">
        <f>+IF(WEEKDAY($AL$24)=1,SUM(AN80:AN107),IF(WEEKDAY($AL$25)=1,SUM(AN81:AN108),IF(WEEKDAY($AL$26)=1,SUM(AN82:AN109),IF(WEEKDAY($AL$27)=1,SUM(AN83:AN110),IF(WEEKDAY($AL$28)=1,SUM(AN84:AN111),IF(WEEKDAY($AL$29)=1,SUM(AN85:AN112),IF(WEEKDAY($AL$30)=1,SUM(AN86:AN113),"")))))))</f>
        <v>18</v>
      </c>
      <c r="AY94" s="223">
        <f t="shared" ref="AY94:BD94" si="40">+IF(WEEKDAY($AL$24)=1,SUM(AO80:AO107),IF(WEEKDAY($AL$25)=1,SUM(AO81:AO108),IF(WEEKDAY($AL$26)=1,SUM(AO82:AO109),IF(WEEKDAY($AL$27)=1,SUM(AO83:AO110),IF(WEEKDAY($AL$28)=1,SUM(AO84:AO111),IF(WEEKDAY($AL$29)=1,SUM(AO85:AO112),IF(WEEKDAY($AL$30)=1,SUM(AO86:AO113),"")))))))</f>
        <v>136.16666666666666</v>
      </c>
      <c r="AZ94" s="223">
        <f t="shared" si="40"/>
        <v>0</v>
      </c>
      <c r="BA94" s="223">
        <f t="shared" si="40"/>
        <v>3.9000000000000004</v>
      </c>
      <c r="BB94" s="223">
        <f t="shared" si="40"/>
        <v>0</v>
      </c>
      <c r="BC94" s="223">
        <f t="shared" si="40"/>
        <v>3</v>
      </c>
      <c r="BD94" s="223">
        <f t="shared" si="40"/>
        <v>0</v>
      </c>
    </row>
    <row r="95" spans="29:56" ht="15.75" thickBot="1">
      <c r="AK95" s="976" t="str">
        <f t="shared" si="38"/>
        <v/>
      </c>
      <c r="AL95" s="286">
        <f t="shared" si="36"/>
        <v>43676</v>
      </c>
      <c r="AM95" s="287">
        <f>+Juillet!D33</f>
        <v>0</v>
      </c>
      <c r="AN95" s="287" t="str">
        <f t="shared" si="34"/>
        <v/>
      </c>
      <c r="AO95" s="288" t="str">
        <f>+Juillet!W33</f>
        <v/>
      </c>
      <c r="AP95" s="288" t="str">
        <f>+Juillet!X33</f>
        <v/>
      </c>
      <c r="AQ95" s="288" t="str">
        <f>+Juillet!AF33</f>
        <v/>
      </c>
      <c r="AR95" s="289" t="str">
        <f t="shared" si="35"/>
        <v/>
      </c>
      <c r="AS95" s="288" t="str">
        <f>+Juillet!AE33</f>
        <v/>
      </c>
      <c r="AT95" s="288">
        <f>+Juillet!J33</f>
        <v>0</v>
      </c>
      <c r="AU95" s="279" t="str">
        <f t="shared" si="39"/>
        <v/>
      </c>
      <c r="AV95" s="178" t="str">
        <f t="shared" si="30"/>
        <v/>
      </c>
      <c r="AW95" s="179" t="str">
        <f>+IF(WEEKDAY(AL97)=1,SUM(AU$85:AU95),"")</f>
        <v/>
      </c>
      <c r="AX95" s="386"/>
    </row>
    <row r="96" spans="29:56" ht="16.5" thickTop="1" thickBot="1">
      <c r="AK96" s="976" t="str">
        <f t="shared" si="38"/>
        <v/>
      </c>
      <c r="AL96" s="286">
        <f t="shared" si="36"/>
        <v>43677</v>
      </c>
      <c r="AM96" s="287" t="str">
        <f>+Juillet!D34</f>
        <v>M</v>
      </c>
      <c r="AN96" s="287">
        <f t="shared" si="34"/>
        <v>1</v>
      </c>
      <c r="AO96" s="288">
        <f>+Juillet!W34</f>
        <v>7.7500000000000009</v>
      </c>
      <c r="AP96" s="288" t="str">
        <f>+Juillet!X34</f>
        <v/>
      </c>
      <c r="AQ96" s="288" t="str">
        <f>+Juillet!AF34</f>
        <v/>
      </c>
      <c r="AR96" s="289" t="str">
        <f t="shared" si="35"/>
        <v/>
      </c>
      <c r="AS96" s="288" t="str">
        <f>+Juillet!AE34</f>
        <v/>
      </c>
      <c r="AT96" s="288">
        <f>+Juillet!J34</f>
        <v>0</v>
      </c>
      <c r="AU96" s="279" t="str">
        <f t="shared" si="39"/>
        <v/>
      </c>
      <c r="AV96" s="178" t="str">
        <f t="shared" si="30"/>
        <v/>
      </c>
      <c r="AW96" s="179" t="str">
        <f>+IF(WEEKDAY(AL98)=1,SUM(AU$85:AU96),"")</f>
        <v/>
      </c>
      <c r="AX96" s="386"/>
      <c r="AZ96" s="936" t="str">
        <f>+IF(WEEKDAY(AL$26)=1,"Fin cycle 3",IF(WEEKDAY(AL$27)=1,"Fin cycle 3",IF(WEEKDAY(AL$28)=1,"Fin cycle 3",IF(WEEKDAY(AL$29)=1,"Fin cycle 3",IF(WEEKDAY(AL$30)=1,"Fin cycle 3",IF(WEEKDAY(AL$31)=1,"Fin cycle 3",IF(WEEKDAY(AL$32)=1,"Fin cycle 3","")))))))</f>
        <v>Fin cycle 3</v>
      </c>
      <c r="BA96" s="937"/>
      <c r="BB96" s="275">
        <f>SUM(AY94:AZ94)</f>
        <v>136.16666666666666</v>
      </c>
      <c r="BC96" s="590"/>
    </row>
    <row r="97" spans="37:50" ht="15">
      <c r="AK97" s="976" t="str">
        <f t="shared" si="38"/>
        <v/>
      </c>
      <c r="AL97" s="286">
        <f t="shared" si="36"/>
        <v>43678</v>
      </c>
      <c r="AM97" s="287" t="str">
        <f>+Août!D4</f>
        <v>M</v>
      </c>
      <c r="AN97" s="287">
        <f t="shared" ref="AN97" si="41">+IF(AM97=0,"",IF(AM97="CP","",1))</f>
        <v>1</v>
      </c>
      <c r="AO97" s="288">
        <f>+Août!W4</f>
        <v>7.7500000000000009</v>
      </c>
      <c r="AP97" s="288" t="str">
        <f>+Août!X4</f>
        <v/>
      </c>
      <c r="AQ97" s="289" t="str">
        <f>+Août!AF4</f>
        <v/>
      </c>
      <c r="AR97" s="289" t="str">
        <f t="shared" ref="AR97" si="42">+IF(AS97&lt;&gt;"","",AQ97)</f>
        <v/>
      </c>
      <c r="AS97" s="289" t="str">
        <f>+Août!AE4</f>
        <v/>
      </c>
      <c r="AT97" s="289">
        <f>+Août!J4</f>
        <v>0</v>
      </c>
      <c r="AU97" s="279" t="str">
        <f t="shared" si="39"/>
        <v/>
      </c>
      <c r="AV97" s="178" t="str">
        <f t="shared" si="30"/>
        <v/>
      </c>
      <c r="AW97" s="179" t="str">
        <f>+IF(WEEKDAY(AL99)=1,SUM(AU$85:AU97),"")</f>
        <v/>
      </c>
      <c r="AX97" s="386"/>
    </row>
    <row r="98" spans="37:50" ht="15">
      <c r="AK98" s="976" t="str">
        <f t="shared" si="38"/>
        <v/>
      </c>
      <c r="AL98" s="286">
        <f t="shared" si="36"/>
        <v>43679</v>
      </c>
      <c r="AM98" s="287" t="str">
        <f>+Août!D5</f>
        <v>M</v>
      </c>
      <c r="AN98" s="287">
        <f t="shared" ref="AN98:AN127" si="43">+IF(AM98=0,"",IF(AM98="CP","",1))</f>
        <v>1</v>
      </c>
      <c r="AO98" s="288">
        <f>+Août!W5</f>
        <v>6.916666666666667</v>
      </c>
      <c r="AP98" s="288" t="str">
        <f>+Août!X5</f>
        <v/>
      </c>
      <c r="AQ98" s="289" t="str">
        <f>+Août!AF5</f>
        <v/>
      </c>
      <c r="AR98" s="289" t="str">
        <f t="shared" ref="AR98:AR127" si="44">+IF(AS98&lt;&gt;"","",AQ98)</f>
        <v/>
      </c>
      <c r="AS98" s="289" t="str">
        <f>+Août!AE5</f>
        <v/>
      </c>
      <c r="AT98" s="289">
        <f>+Août!J5</f>
        <v>0</v>
      </c>
      <c r="AU98" s="279">
        <f t="shared" si="39"/>
        <v>22.416666666666668</v>
      </c>
      <c r="AV98" s="178">
        <f t="shared" si="30"/>
        <v>0</v>
      </c>
      <c r="AW98" s="179">
        <f>+IF(WEEKDAY(AL100)=1,SUM(AU$85:AU98),"")</f>
        <v>68.416666666666657</v>
      </c>
      <c r="AX98" s="386"/>
    </row>
    <row r="99" spans="37:50" ht="15">
      <c r="AK99" s="976" t="str">
        <f t="shared" si="38"/>
        <v/>
      </c>
      <c r="AL99" s="286">
        <f t="shared" si="36"/>
        <v>43680</v>
      </c>
      <c r="AM99" s="287">
        <f>+Août!D6</f>
        <v>0</v>
      </c>
      <c r="AN99" s="287" t="str">
        <f t="shared" si="43"/>
        <v/>
      </c>
      <c r="AO99" s="288" t="str">
        <f>+Août!W6</f>
        <v/>
      </c>
      <c r="AP99" s="288" t="str">
        <f>+Août!X6</f>
        <v/>
      </c>
      <c r="AQ99" s="289" t="str">
        <f>+Août!AF6</f>
        <v/>
      </c>
      <c r="AR99" s="289" t="str">
        <f t="shared" si="44"/>
        <v/>
      </c>
      <c r="AS99" s="289" t="str">
        <f>+Août!AE6</f>
        <v/>
      </c>
      <c r="AT99" s="289">
        <f>+Août!J6</f>
        <v>0</v>
      </c>
      <c r="AU99" s="279" t="str">
        <f t="shared" si="39"/>
        <v/>
      </c>
      <c r="AV99" s="178" t="str">
        <f t="shared" si="30"/>
        <v/>
      </c>
      <c r="AW99" s="179" t="str">
        <f>+IF(WEEKDAY(AL101)=1,SUM(AU$85:AU99),"")</f>
        <v/>
      </c>
      <c r="AX99" s="386"/>
    </row>
    <row r="100" spans="37:50" ht="15">
      <c r="AK100" s="976" t="str">
        <f t="shared" si="38"/>
        <v/>
      </c>
      <c r="AL100" s="286">
        <f>+AL99+1</f>
        <v>43681</v>
      </c>
      <c r="AM100" s="287" t="str">
        <f>+Août!D7</f>
        <v>N</v>
      </c>
      <c r="AN100" s="287">
        <f t="shared" si="43"/>
        <v>1</v>
      </c>
      <c r="AO100" s="288">
        <f>+Août!W7</f>
        <v>7.666666666666667</v>
      </c>
      <c r="AP100" s="288" t="str">
        <f>+Août!X7</f>
        <v/>
      </c>
      <c r="AQ100" s="289" t="str">
        <f>+Août!AF7</f>
        <v/>
      </c>
      <c r="AR100" s="289" t="str">
        <f t="shared" si="44"/>
        <v/>
      </c>
      <c r="AS100" s="289" t="str">
        <f>+Août!AE7</f>
        <v/>
      </c>
      <c r="AT100" s="289">
        <f>+Août!J7</f>
        <v>0</v>
      </c>
      <c r="AU100" s="279" t="str">
        <f t="shared" si="39"/>
        <v/>
      </c>
      <c r="AV100" s="178" t="str">
        <f t="shared" si="30"/>
        <v/>
      </c>
      <c r="AW100" s="179" t="str">
        <f>+IF(WEEKDAY(AL102)=1,SUM(AU$85:AU100),"")</f>
        <v/>
      </c>
      <c r="AX100" s="386"/>
    </row>
    <row r="101" spans="37:50" ht="15">
      <c r="AK101" s="976" t="str">
        <f t="shared" si="38"/>
        <v/>
      </c>
      <c r="AL101" s="286">
        <f>+AL100+1</f>
        <v>43682</v>
      </c>
      <c r="AM101" s="287" t="str">
        <f>+Août!D8</f>
        <v>N</v>
      </c>
      <c r="AN101" s="287">
        <f t="shared" si="43"/>
        <v>1</v>
      </c>
      <c r="AO101" s="288">
        <f>+Août!W8</f>
        <v>7.7499999999999991</v>
      </c>
      <c r="AP101" s="288" t="str">
        <f>+Août!X8</f>
        <v/>
      </c>
      <c r="AQ101" s="289" t="str">
        <f>+Août!AF8</f>
        <v/>
      </c>
      <c r="AR101" s="289" t="str">
        <f t="shared" si="44"/>
        <v/>
      </c>
      <c r="AS101" s="289" t="str">
        <f>+Août!AE8</f>
        <v/>
      </c>
      <c r="AT101" s="289">
        <f>+Août!J8</f>
        <v>0</v>
      </c>
      <c r="AU101" s="279" t="str">
        <f t="shared" si="39"/>
        <v/>
      </c>
      <c r="AV101" s="178" t="str">
        <f t="shared" si="30"/>
        <v/>
      </c>
      <c r="AW101" s="179" t="str">
        <f>+IF(WEEKDAY(AL103)=1,SUM(AU$85:AU101),"")</f>
        <v/>
      </c>
      <c r="AX101" s="386"/>
    </row>
    <row r="102" spans="37:50" ht="15">
      <c r="AK102" s="976" t="str">
        <f t="shared" si="38"/>
        <v/>
      </c>
      <c r="AL102" s="286">
        <f>+AL101+1</f>
        <v>43683</v>
      </c>
      <c r="AM102" s="287" t="str">
        <f>+Août!D9</f>
        <v>N</v>
      </c>
      <c r="AN102" s="287">
        <f t="shared" si="43"/>
        <v>1</v>
      </c>
      <c r="AO102" s="288">
        <f>+Août!W9</f>
        <v>7.7499999999999991</v>
      </c>
      <c r="AP102" s="288" t="str">
        <f>+Août!X9</f>
        <v/>
      </c>
      <c r="AQ102" s="289" t="str">
        <f>+Août!AF9</f>
        <v/>
      </c>
      <c r="AR102" s="289" t="str">
        <f t="shared" si="44"/>
        <v/>
      </c>
      <c r="AS102" s="289" t="str">
        <f>+Août!AE9</f>
        <v/>
      </c>
      <c r="AT102" s="289">
        <f>+Août!J9</f>
        <v>0</v>
      </c>
      <c r="AU102" s="279" t="str">
        <f t="shared" si="39"/>
        <v/>
      </c>
      <c r="AV102" s="178" t="str">
        <f t="shared" si="30"/>
        <v/>
      </c>
      <c r="AW102" s="179" t="str">
        <f>+IF(WEEKDAY(AL104)=1,SUM(AU$85:AU102),"")</f>
        <v/>
      </c>
      <c r="AX102" s="386"/>
    </row>
    <row r="103" spans="37:50" ht="15">
      <c r="AK103" s="976" t="str">
        <f t="shared" si="38"/>
        <v/>
      </c>
      <c r="AL103" s="286">
        <f t="shared" ref="AL103:AL163" si="45">+AL102+1</f>
        <v>43684</v>
      </c>
      <c r="AM103" s="287" t="str">
        <f>+Août!D10</f>
        <v>N</v>
      </c>
      <c r="AN103" s="287">
        <f t="shared" si="43"/>
        <v>1</v>
      </c>
      <c r="AO103" s="288">
        <f>+Août!W10</f>
        <v>7.7499999999999991</v>
      </c>
      <c r="AP103" s="288" t="str">
        <f>+Août!X10</f>
        <v/>
      </c>
      <c r="AQ103" s="289" t="str">
        <f>+Août!AF10</f>
        <v/>
      </c>
      <c r="AR103" s="289" t="str">
        <f t="shared" si="44"/>
        <v/>
      </c>
      <c r="AS103" s="289" t="str">
        <f>+Août!AE10</f>
        <v/>
      </c>
      <c r="AT103" s="289">
        <f>+Août!J10</f>
        <v>0</v>
      </c>
      <c r="AU103" s="279" t="str">
        <f t="shared" si="39"/>
        <v/>
      </c>
      <c r="AV103" s="178" t="str">
        <f t="shared" si="30"/>
        <v/>
      </c>
      <c r="AW103" s="179" t="str">
        <f>+IF(WEEKDAY(AL105)=1,SUM(AU$85:AU103),"")</f>
        <v/>
      </c>
      <c r="AX103" s="386"/>
    </row>
    <row r="104" spans="37:50" ht="15">
      <c r="AK104" s="976" t="str">
        <f t="shared" si="38"/>
        <v/>
      </c>
      <c r="AL104" s="286">
        <f t="shared" si="45"/>
        <v>43685</v>
      </c>
      <c r="AM104" s="287" t="str">
        <f>+Août!D11</f>
        <v>N</v>
      </c>
      <c r="AN104" s="287">
        <f t="shared" si="43"/>
        <v>1</v>
      </c>
      <c r="AO104" s="288">
        <f>+Août!W11</f>
        <v>5.9999999999999991</v>
      </c>
      <c r="AP104" s="288" t="str">
        <f>+Août!X11</f>
        <v/>
      </c>
      <c r="AQ104" s="289" t="str">
        <f>+Août!AF11</f>
        <v/>
      </c>
      <c r="AR104" s="289" t="str">
        <f t="shared" si="44"/>
        <v/>
      </c>
      <c r="AS104" s="289" t="str">
        <f>+Août!AE11</f>
        <v/>
      </c>
      <c r="AT104" s="289">
        <f>+Août!J11</f>
        <v>0</v>
      </c>
      <c r="AU104" s="279" t="str">
        <f t="shared" si="39"/>
        <v/>
      </c>
      <c r="AV104" s="178" t="str">
        <f t="shared" si="30"/>
        <v/>
      </c>
      <c r="AW104" s="179" t="str">
        <f>+IF(WEEKDAY(AL106)=1,SUM(AU$85:AU104),"")</f>
        <v/>
      </c>
      <c r="AX104" s="386"/>
    </row>
    <row r="105" spans="37:50" ht="15">
      <c r="AK105" s="976" t="str">
        <f t="shared" si="38"/>
        <v/>
      </c>
      <c r="AL105" s="286">
        <f t="shared" si="45"/>
        <v>43686</v>
      </c>
      <c r="AM105" s="287">
        <f>+Août!D12</f>
        <v>0</v>
      </c>
      <c r="AN105" s="287" t="str">
        <f t="shared" si="43"/>
        <v/>
      </c>
      <c r="AO105" s="288" t="str">
        <f>+Août!W12</f>
        <v/>
      </c>
      <c r="AP105" s="288" t="str">
        <f>+Août!X12</f>
        <v/>
      </c>
      <c r="AQ105" s="289" t="str">
        <f>+Août!AF12</f>
        <v/>
      </c>
      <c r="AR105" s="289" t="str">
        <f t="shared" si="44"/>
        <v/>
      </c>
      <c r="AS105" s="289" t="str">
        <f>+Août!AE12</f>
        <v/>
      </c>
      <c r="AT105" s="289">
        <f>+Août!J12</f>
        <v>0</v>
      </c>
      <c r="AU105" s="279">
        <f t="shared" si="39"/>
        <v>36.916666666666664</v>
      </c>
      <c r="AV105" s="178">
        <f t="shared" si="30"/>
        <v>0</v>
      </c>
      <c r="AW105" s="179">
        <f>+IF(WEEKDAY(AL107)=1,SUM(AU$85:AU105),"")</f>
        <v>105.33333333333331</v>
      </c>
      <c r="AX105" s="386"/>
    </row>
    <row r="106" spans="37:50" ht="15">
      <c r="AK106" s="976" t="str">
        <f t="shared" si="38"/>
        <v/>
      </c>
      <c r="AL106" s="286">
        <f t="shared" si="45"/>
        <v>43687</v>
      </c>
      <c r="AM106" s="287">
        <f>+Août!D13</f>
        <v>0</v>
      </c>
      <c r="AN106" s="287" t="str">
        <f t="shared" si="43"/>
        <v/>
      </c>
      <c r="AO106" s="288" t="str">
        <f>+Août!W13</f>
        <v/>
      </c>
      <c r="AP106" s="288" t="str">
        <f>+Août!X13</f>
        <v/>
      </c>
      <c r="AQ106" s="289" t="str">
        <f>+Août!AF13</f>
        <v/>
      </c>
      <c r="AR106" s="289" t="str">
        <f t="shared" si="44"/>
        <v/>
      </c>
      <c r="AS106" s="289" t="str">
        <f>+Août!AE13</f>
        <v/>
      </c>
      <c r="AT106" s="289">
        <f>+Août!J13</f>
        <v>0</v>
      </c>
      <c r="AU106" s="279" t="str">
        <f t="shared" si="39"/>
        <v/>
      </c>
      <c r="AV106" s="178" t="str">
        <f t="shared" si="30"/>
        <v/>
      </c>
      <c r="AW106" s="179" t="str">
        <f>+IF(WEEKDAY(AL108)=1,SUM(AU$85:AU106),"")</f>
        <v/>
      </c>
      <c r="AX106" s="386"/>
    </row>
    <row r="107" spans="37:50" ht="15">
      <c r="AK107" s="976" t="str">
        <f t="shared" si="38"/>
        <v/>
      </c>
      <c r="AL107" s="286">
        <f t="shared" si="45"/>
        <v>43688</v>
      </c>
      <c r="AM107" s="287" t="str">
        <f>+Août!D14</f>
        <v>N</v>
      </c>
      <c r="AN107" s="287">
        <f t="shared" si="43"/>
        <v>1</v>
      </c>
      <c r="AO107" s="288">
        <f>+Août!W14</f>
        <v>7.666666666666667</v>
      </c>
      <c r="AP107" s="288" t="str">
        <f>+Août!X14</f>
        <v/>
      </c>
      <c r="AQ107" s="289" t="str">
        <f>+Août!AF14</f>
        <v/>
      </c>
      <c r="AR107" s="289" t="str">
        <f t="shared" si="44"/>
        <v/>
      </c>
      <c r="AS107" s="289" t="str">
        <f>+Août!AE14</f>
        <v/>
      </c>
      <c r="AT107" s="289">
        <f>+Août!J14</f>
        <v>0</v>
      </c>
      <c r="AU107" s="279" t="str">
        <f t="shared" si="39"/>
        <v/>
      </c>
      <c r="AV107" s="178" t="str">
        <f t="shared" si="30"/>
        <v/>
      </c>
      <c r="AW107" s="179" t="str">
        <f>+IF(WEEKDAY(AL109)=1,SUM(AU$85:AU107),"")</f>
        <v/>
      </c>
      <c r="AX107" s="386"/>
    </row>
    <row r="108" spans="37:50" ht="15">
      <c r="AK108" s="976">
        <f t="shared" si="38"/>
        <v>4</v>
      </c>
      <c r="AL108" s="286">
        <f t="shared" si="45"/>
        <v>43689</v>
      </c>
      <c r="AM108" s="287" t="str">
        <f>+Août!D15</f>
        <v>N</v>
      </c>
      <c r="AN108" s="287">
        <f t="shared" si="43"/>
        <v>1</v>
      </c>
      <c r="AO108" s="288">
        <f>+Août!W15</f>
        <v>7.7499999999999991</v>
      </c>
      <c r="AP108" s="288" t="str">
        <f>+Août!X15</f>
        <v/>
      </c>
      <c r="AQ108" s="289" t="str">
        <f>+Août!AF15</f>
        <v/>
      </c>
      <c r="AR108" s="289" t="str">
        <f t="shared" si="44"/>
        <v/>
      </c>
      <c r="AS108" s="289" t="str">
        <f>+Août!AE15</f>
        <v/>
      </c>
      <c r="AT108" s="289">
        <f>+Août!J15</f>
        <v>0</v>
      </c>
      <c r="AU108" s="279" t="str">
        <f t="shared" si="39"/>
        <v/>
      </c>
      <c r="AV108" s="178" t="str">
        <f t="shared" si="30"/>
        <v/>
      </c>
      <c r="AW108" s="179" t="str">
        <f>+IF(WEEKDAY(AL110)=1,SUM(AU$85:AU108),"")</f>
        <v/>
      </c>
      <c r="AX108" s="386"/>
    </row>
    <row r="109" spans="37:50" ht="15">
      <c r="AK109" s="975" t="str">
        <f t="shared" ref="AK109:AK152" si="46">IF(MOD((AL109-$AF$27)/28,1),"",MOD((AL109-$AF$27)/28,13)+1)</f>
        <v/>
      </c>
      <c r="AL109" s="286">
        <f t="shared" si="45"/>
        <v>43690</v>
      </c>
      <c r="AM109" s="287" t="str">
        <f>+Août!D16</f>
        <v>N</v>
      </c>
      <c r="AN109" s="287">
        <f t="shared" si="43"/>
        <v>1</v>
      </c>
      <c r="AO109" s="288">
        <f>+Août!W16</f>
        <v>7.7499999999999991</v>
      </c>
      <c r="AP109" s="288" t="str">
        <f>+Août!X16</f>
        <v/>
      </c>
      <c r="AQ109" s="289" t="str">
        <f>+Août!AF16</f>
        <v/>
      </c>
      <c r="AR109" s="289" t="str">
        <f t="shared" si="44"/>
        <v/>
      </c>
      <c r="AS109" s="289" t="str">
        <f>+Août!AE16</f>
        <v/>
      </c>
      <c r="AT109" s="289">
        <f>+Août!J16</f>
        <v>0</v>
      </c>
      <c r="AU109" s="279" t="str">
        <f t="shared" si="39"/>
        <v/>
      </c>
      <c r="AV109" s="178" t="str">
        <f t="shared" si="30"/>
        <v/>
      </c>
      <c r="AW109" s="179" t="str">
        <f>+IF(WEEKDAY(AL111)=1,SUM(AU$85:AU109),"")</f>
        <v/>
      </c>
      <c r="AX109" s="386"/>
    </row>
    <row r="110" spans="37:50" ht="15">
      <c r="AK110" s="975" t="str">
        <f t="shared" si="46"/>
        <v/>
      </c>
      <c r="AL110" s="286">
        <f t="shared" si="45"/>
        <v>43691</v>
      </c>
      <c r="AM110" s="287">
        <f>+Août!D17</f>
        <v>0</v>
      </c>
      <c r="AN110" s="287" t="str">
        <f t="shared" si="43"/>
        <v/>
      </c>
      <c r="AO110" s="288" t="str">
        <f>+Août!W17</f>
        <v/>
      </c>
      <c r="AP110" s="288" t="str">
        <f>+Août!X17</f>
        <v/>
      </c>
      <c r="AQ110" s="289" t="str">
        <f>+Août!AF17</f>
        <v/>
      </c>
      <c r="AR110" s="289" t="str">
        <f t="shared" si="44"/>
        <v/>
      </c>
      <c r="AS110" s="289" t="str">
        <f>+Août!AE17</f>
        <v/>
      </c>
      <c r="AT110" s="289">
        <f>+Août!J17</f>
        <v>0</v>
      </c>
      <c r="AU110" s="279" t="str">
        <f t="shared" si="39"/>
        <v/>
      </c>
      <c r="AV110" s="178" t="str">
        <f t="shared" si="30"/>
        <v/>
      </c>
      <c r="AW110" s="179" t="str">
        <f>+IF(WEEKDAY(AL112)=1,SUM(AU$85:AU110),"")</f>
        <v/>
      </c>
      <c r="AX110" s="386"/>
    </row>
    <row r="111" spans="37:50" ht="15">
      <c r="AK111" s="975" t="str">
        <f t="shared" si="46"/>
        <v/>
      </c>
      <c r="AL111" s="286">
        <f t="shared" si="45"/>
        <v>43692</v>
      </c>
      <c r="AM111" s="287" t="str">
        <f>+Août!D18</f>
        <v>N</v>
      </c>
      <c r="AN111" s="287">
        <f t="shared" si="43"/>
        <v>1</v>
      </c>
      <c r="AO111" s="288">
        <f>+Août!W18</f>
        <v>7.666666666666667</v>
      </c>
      <c r="AP111" s="288" t="str">
        <f>+Août!X18</f>
        <v/>
      </c>
      <c r="AQ111" s="289">
        <f>+Août!AF18</f>
        <v>3.9000000000000004</v>
      </c>
      <c r="AR111" s="289" t="str">
        <f t="shared" si="44"/>
        <v/>
      </c>
      <c r="AS111" s="289">
        <f>+Août!AE18</f>
        <v>3</v>
      </c>
      <c r="AT111" s="289">
        <f>+Août!J18</f>
        <v>0</v>
      </c>
      <c r="AU111" s="279" t="str">
        <f t="shared" si="39"/>
        <v/>
      </c>
      <c r="AV111" s="178" t="str">
        <f t="shared" si="30"/>
        <v/>
      </c>
      <c r="AW111" s="179" t="str">
        <f>+IF(WEEKDAY(AL113)=1,SUM(AU$85:AU111),"")</f>
        <v/>
      </c>
      <c r="AX111" s="386"/>
    </row>
    <row r="112" spans="37:50" ht="15">
      <c r="AK112" s="975" t="str">
        <f t="shared" si="46"/>
        <v/>
      </c>
      <c r="AL112" s="286">
        <f t="shared" si="45"/>
        <v>43693</v>
      </c>
      <c r="AM112" s="287">
        <f>+Août!D19</f>
        <v>0</v>
      </c>
      <c r="AN112" s="287" t="str">
        <f t="shared" si="43"/>
        <v/>
      </c>
      <c r="AO112" s="288" t="str">
        <f>+Août!W19</f>
        <v/>
      </c>
      <c r="AP112" s="288" t="str">
        <f>+Août!X19</f>
        <v/>
      </c>
      <c r="AQ112" s="289" t="str">
        <f>+Août!AF19</f>
        <v/>
      </c>
      <c r="AR112" s="289" t="str">
        <f t="shared" si="44"/>
        <v/>
      </c>
      <c r="AS112" s="289" t="str">
        <f>+Août!AE19</f>
        <v/>
      </c>
      <c r="AT112" s="289">
        <f>+Août!J19</f>
        <v>0</v>
      </c>
      <c r="AU112" s="279">
        <f t="shared" si="39"/>
        <v>30.833333333333332</v>
      </c>
      <c r="AV112" s="178">
        <f t="shared" si="30"/>
        <v>0</v>
      </c>
      <c r="AW112" s="179">
        <f>+IF(WEEKDAY(AL114)=1,SUM(AU$85:AU112),"")</f>
        <v>136.16666666666666</v>
      </c>
      <c r="AX112" s="386"/>
    </row>
    <row r="113" spans="37:56" ht="15">
      <c r="AK113" s="975" t="str">
        <f t="shared" si="46"/>
        <v/>
      </c>
      <c r="AL113" s="286">
        <f t="shared" si="45"/>
        <v>43694</v>
      </c>
      <c r="AM113" s="287">
        <f>+Août!D20</f>
        <v>0</v>
      </c>
      <c r="AN113" s="287" t="str">
        <f t="shared" si="43"/>
        <v/>
      </c>
      <c r="AO113" s="288" t="str">
        <f>+Août!W20</f>
        <v/>
      </c>
      <c r="AP113" s="288" t="str">
        <f>+Août!X20</f>
        <v/>
      </c>
      <c r="AQ113" s="289" t="str">
        <f>+Août!AF20</f>
        <v/>
      </c>
      <c r="AR113" s="289" t="str">
        <f t="shared" si="44"/>
        <v/>
      </c>
      <c r="AS113" s="289" t="str">
        <f>+Août!AE20</f>
        <v/>
      </c>
      <c r="AT113" s="289">
        <f>+Août!J20</f>
        <v>0</v>
      </c>
      <c r="AU113" s="279" t="str">
        <f t="shared" si="39"/>
        <v/>
      </c>
      <c r="AV113" s="178" t="str">
        <f t="shared" si="30"/>
        <v/>
      </c>
      <c r="AW113" s="179" t="str">
        <f>+IF(WEEKDAY(AL115)=1,SUM(AU$113:AU113),"")</f>
        <v/>
      </c>
      <c r="AX113" s="386"/>
    </row>
    <row r="114" spans="37:56" ht="15">
      <c r="AK114" s="975" t="str">
        <f t="shared" si="46"/>
        <v/>
      </c>
      <c r="AL114" s="286">
        <f t="shared" si="45"/>
        <v>43695</v>
      </c>
      <c r="AM114" s="287" t="str">
        <f>+Août!D21</f>
        <v>M</v>
      </c>
      <c r="AN114" s="287">
        <f t="shared" si="43"/>
        <v>1</v>
      </c>
      <c r="AO114" s="288">
        <f>+Août!W21</f>
        <v>7.666666666666667</v>
      </c>
      <c r="AP114" s="288" t="str">
        <f>+Août!X21</f>
        <v/>
      </c>
      <c r="AQ114" s="289" t="str">
        <f>+Août!AF21</f>
        <v/>
      </c>
      <c r="AR114" s="289" t="str">
        <f t="shared" si="44"/>
        <v/>
      </c>
      <c r="AS114" s="289" t="str">
        <f>+Août!AE21</f>
        <v/>
      </c>
      <c r="AT114" s="289">
        <f>+Août!J21</f>
        <v>0</v>
      </c>
      <c r="AU114" s="279" t="str">
        <f t="shared" si="39"/>
        <v/>
      </c>
      <c r="AV114" s="178" t="str">
        <f t="shared" si="30"/>
        <v/>
      </c>
      <c r="AW114" s="179" t="str">
        <f>+IF(WEEKDAY(AL116)=1,SUM(AU$113:AU114),"")</f>
        <v/>
      </c>
      <c r="AX114" s="386"/>
    </row>
    <row r="115" spans="37:56" ht="15">
      <c r="AK115" s="975" t="str">
        <f t="shared" si="46"/>
        <v/>
      </c>
      <c r="AL115" s="286">
        <f t="shared" si="45"/>
        <v>43696</v>
      </c>
      <c r="AM115" s="287" t="str">
        <f>+Août!D22</f>
        <v>M</v>
      </c>
      <c r="AN115" s="287">
        <f t="shared" si="43"/>
        <v>1</v>
      </c>
      <c r="AO115" s="288">
        <f>+Août!W22</f>
        <v>7.7500000000000009</v>
      </c>
      <c r="AP115" s="288" t="str">
        <f>+Août!X22</f>
        <v/>
      </c>
      <c r="AQ115" s="289" t="str">
        <f>+Août!AF22</f>
        <v/>
      </c>
      <c r="AR115" s="289" t="str">
        <f t="shared" si="44"/>
        <v/>
      </c>
      <c r="AS115" s="289" t="str">
        <f>+Août!AE22</f>
        <v/>
      </c>
      <c r="AT115" s="289">
        <f>+Août!J22</f>
        <v>0</v>
      </c>
      <c r="AU115" s="279" t="str">
        <f t="shared" si="39"/>
        <v/>
      </c>
      <c r="AV115" s="178" t="str">
        <f t="shared" si="30"/>
        <v/>
      </c>
      <c r="AW115" s="179" t="str">
        <f>+IF(WEEKDAY(AL117)=1,SUM(AU$113:AU115),"")</f>
        <v/>
      </c>
      <c r="AX115" s="386"/>
    </row>
    <row r="116" spans="37:56" ht="15">
      <c r="AK116" s="975" t="str">
        <f t="shared" si="46"/>
        <v/>
      </c>
      <c r="AL116" s="286">
        <f t="shared" si="45"/>
        <v>43697</v>
      </c>
      <c r="AM116" s="287" t="str">
        <f>+Août!D23</f>
        <v>M</v>
      </c>
      <c r="AN116" s="287">
        <f t="shared" si="43"/>
        <v>1</v>
      </c>
      <c r="AO116" s="288">
        <f>+Août!W23</f>
        <v>7.7500000000000009</v>
      </c>
      <c r="AP116" s="288" t="str">
        <f>+Août!X23</f>
        <v/>
      </c>
      <c r="AQ116" s="289" t="str">
        <f>+Août!AF23</f>
        <v/>
      </c>
      <c r="AR116" s="289" t="str">
        <f t="shared" si="44"/>
        <v/>
      </c>
      <c r="AS116" s="289" t="str">
        <f>+Août!AE23</f>
        <v/>
      </c>
      <c r="AT116" s="289">
        <f>+Août!J23</f>
        <v>0</v>
      </c>
      <c r="AU116" s="279" t="str">
        <f t="shared" si="39"/>
        <v/>
      </c>
      <c r="AV116" s="178" t="str">
        <f t="shared" si="30"/>
        <v/>
      </c>
      <c r="AW116" s="179" t="str">
        <f>+IF(WEEKDAY(AL118)=1,SUM(AU$113:AU116),"")</f>
        <v/>
      </c>
      <c r="AX116" s="386"/>
    </row>
    <row r="117" spans="37:56" ht="15">
      <c r="AK117" s="975" t="str">
        <f t="shared" si="46"/>
        <v/>
      </c>
      <c r="AL117" s="286">
        <f t="shared" si="45"/>
        <v>43698</v>
      </c>
      <c r="AM117" s="287" t="str">
        <f>+Août!D24</f>
        <v>M</v>
      </c>
      <c r="AN117" s="287">
        <f t="shared" si="43"/>
        <v>1</v>
      </c>
      <c r="AO117" s="288">
        <f>+Août!W24</f>
        <v>7.7500000000000009</v>
      </c>
      <c r="AP117" s="288" t="str">
        <f>+Août!X24</f>
        <v/>
      </c>
      <c r="AQ117" s="289" t="str">
        <f>+Août!AF24</f>
        <v/>
      </c>
      <c r="AR117" s="289" t="str">
        <f t="shared" si="44"/>
        <v/>
      </c>
      <c r="AS117" s="289" t="str">
        <f>+Août!AE24</f>
        <v/>
      </c>
      <c r="AT117" s="289">
        <f>+Août!J24</f>
        <v>0</v>
      </c>
      <c r="AU117" s="279" t="str">
        <f t="shared" si="39"/>
        <v/>
      </c>
      <c r="AV117" s="178" t="str">
        <f t="shared" si="30"/>
        <v/>
      </c>
      <c r="AW117" s="179" t="str">
        <f>+IF(WEEKDAY(AL119)=1,SUM(AU$113:AU117),"")</f>
        <v/>
      </c>
      <c r="AX117" s="386"/>
    </row>
    <row r="118" spans="37:56" ht="15">
      <c r="AK118" s="975" t="str">
        <f t="shared" si="46"/>
        <v/>
      </c>
      <c r="AL118" s="286">
        <f t="shared" si="45"/>
        <v>43699</v>
      </c>
      <c r="AM118" s="287" t="str">
        <f>+Août!D25</f>
        <v>M</v>
      </c>
      <c r="AN118" s="287">
        <f t="shared" si="43"/>
        <v>1</v>
      </c>
      <c r="AO118" s="288">
        <f>+Août!W25</f>
        <v>7.7500000000000009</v>
      </c>
      <c r="AP118" s="288" t="str">
        <f>+Août!X25</f>
        <v/>
      </c>
      <c r="AQ118" s="289" t="str">
        <f>+Août!AF25</f>
        <v/>
      </c>
      <c r="AR118" s="289" t="str">
        <f t="shared" si="44"/>
        <v/>
      </c>
      <c r="AS118" s="289" t="str">
        <f>+Août!AE25</f>
        <v/>
      </c>
      <c r="AT118" s="289">
        <f>+Août!J25</f>
        <v>0</v>
      </c>
      <c r="AU118" s="279" t="str">
        <f t="shared" si="39"/>
        <v/>
      </c>
      <c r="AV118" s="178" t="str">
        <f t="shared" si="30"/>
        <v/>
      </c>
      <c r="AW118" s="179" t="str">
        <f>+IF(WEEKDAY(AL120)=1,SUM(AU$113:AU118),"")</f>
        <v/>
      </c>
      <c r="AX118" s="386"/>
    </row>
    <row r="119" spans="37:56" ht="15">
      <c r="AK119" s="975" t="str">
        <f t="shared" si="46"/>
        <v/>
      </c>
      <c r="AL119" s="286">
        <f t="shared" si="45"/>
        <v>43700</v>
      </c>
      <c r="AM119" s="287">
        <f>+Août!D26</f>
        <v>0</v>
      </c>
      <c r="AN119" s="287" t="str">
        <f t="shared" si="43"/>
        <v/>
      </c>
      <c r="AO119" s="288" t="str">
        <f>+Août!W26</f>
        <v/>
      </c>
      <c r="AP119" s="288" t="str">
        <f>+Août!X26</f>
        <v/>
      </c>
      <c r="AQ119" s="289" t="str">
        <f>+Août!AF26</f>
        <v/>
      </c>
      <c r="AR119" s="289" t="str">
        <f t="shared" si="44"/>
        <v/>
      </c>
      <c r="AS119" s="289" t="str">
        <f>+Août!AE26</f>
        <v/>
      </c>
      <c r="AT119" s="289">
        <f>+Août!J26</f>
        <v>0</v>
      </c>
      <c r="AU119" s="279">
        <f t="shared" si="39"/>
        <v>38.666666666666671</v>
      </c>
      <c r="AV119" s="178">
        <f t="shared" si="30"/>
        <v>0</v>
      </c>
      <c r="AW119" s="179">
        <f>+IF(WEEKDAY(AL121)=1,SUM(AU$113:AU119),"")</f>
        <v>38.666666666666671</v>
      </c>
      <c r="AX119" s="386"/>
    </row>
    <row r="120" spans="37:56" ht="15">
      <c r="AK120" s="975" t="str">
        <f t="shared" si="46"/>
        <v/>
      </c>
      <c r="AL120" s="286">
        <f t="shared" si="45"/>
        <v>43701</v>
      </c>
      <c r="AM120" s="287">
        <f>+Août!D27</f>
        <v>0</v>
      </c>
      <c r="AN120" s="287" t="str">
        <f t="shared" si="43"/>
        <v/>
      </c>
      <c r="AO120" s="288" t="str">
        <f>+Août!W27</f>
        <v/>
      </c>
      <c r="AP120" s="288" t="str">
        <f>+Août!X27</f>
        <v/>
      </c>
      <c r="AQ120" s="289" t="str">
        <f>+Août!AF27</f>
        <v/>
      </c>
      <c r="AR120" s="289" t="str">
        <f t="shared" si="44"/>
        <v/>
      </c>
      <c r="AS120" s="289" t="str">
        <f>+Août!AE27</f>
        <v/>
      </c>
      <c r="AT120" s="289">
        <f>+Août!J27</f>
        <v>0</v>
      </c>
      <c r="AU120" s="279" t="str">
        <f t="shared" si="39"/>
        <v/>
      </c>
      <c r="AV120" s="178" t="str">
        <f t="shared" si="30"/>
        <v/>
      </c>
      <c r="AW120" s="179" t="str">
        <f>+IF(WEEKDAY(AL122)=1,SUM(AU$113:AU120),"")</f>
        <v/>
      </c>
      <c r="AX120" s="386"/>
    </row>
    <row r="121" spans="37:56" ht="15">
      <c r="AK121" s="975" t="str">
        <f t="shared" si="46"/>
        <v/>
      </c>
      <c r="AL121" s="286">
        <f t="shared" si="45"/>
        <v>43702</v>
      </c>
      <c r="AM121" s="287">
        <f>+Août!D28</f>
        <v>0</v>
      </c>
      <c r="AN121" s="287" t="str">
        <f t="shared" si="43"/>
        <v/>
      </c>
      <c r="AO121" s="288" t="str">
        <f>+Août!W28</f>
        <v/>
      </c>
      <c r="AP121" s="288" t="str">
        <f>+Août!X28</f>
        <v/>
      </c>
      <c r="AQ121" s="289" t="str">
        <f>+Août!AF28</f>
        <v/>
      </c>
      <c r="AR121" s="289" t="str">
        <f t="shared" si="44"/>
        <v/>
      </c>
      <c r="AS121" s="289" t="str">
        <f>+Août!AE28</f>
        <v/>
      </c>
      <c r="AT121" s="289">
        <f>+Août!J28</f>
        <v>0</v>
      </c>
      <c r="AU121" s="279" t="str">
        <f t="shared" si="39"/>
        <v/>
      </c>
      <c r="AV121" s="178" t="str">
        <f t="shared" si="30"/>
        <v/>
      </c>
      <c r="AW121" s="179" t="str">
        <f>+IF(WEEKDAY(AL123)=1,SUM(AU$113:AU121),"")</f>
        <v/>
      </c>
      <c r="AX121" s="386"/>
    </row>
    <row r="122" spans="37:56" ht="15">
      <c r="AK122" s="975" t="str">
        <f t="shared" si="46"/>
        <v/>
      </c>
      <c r="AL122" s="286">
        <f t="shared" si="45"/>
        <v>43703</v>
      </c>
      <c r="AM122" s="287" t="str">
        <f>+Août!D29</f>
        <v>CP</v>
      </c>
      <c r="AN122" s="287" t="str">
        <f t="shared" si="43"/>
        <v/>
      </c>
      <c r="AO122" s="288" t="str">
        <f>+Août!W29</f>
        <v/>
      </c>
      <c r="AP122" s="288">
        <f>+Août!X29</f>
        <v>6.9</v>
      </c>
      <c r="AQ122" s="289" t="str">
        <f>+Août!AF29</f>
        <v/>
      </c>
      <c r="AR122" s="289" t="str">
        <f t="shared" si="44"/>
        <v/>
      </c>
      <c r="AS122" s="289" t="str">
        <f>+Août!AE29</f>
        <v/>
      </c>
      <c r="AT122" s="289">
        <f>+Août!J29</f>
        <v>0</v>
      </c>
      <c r="AU122" s="279" t="str">
        <f t="shared" si="39"/>
        <v/>
      </c>
      <c r="AV122" s="178" t="str">
        <f t="shared" si="30"/>
        <v/>
      </c>
      <c r="AW122" s="179" t="str">
        <f>+IF(WEEKDAY(AL124)=1,SUM(AU$113:AU122),"")</f>
        <v/>
      </c>
      <c r="AX122" s="386"/>
    </row>
    <row r="123" spans="37:56" ht="15">
      <c r="AK123" s="975" t="str">
        <f t="shared" si="46"/>
        <v/>
      </c>
      <c r="AL123" s="286">
        <f t="shared" si="45"/>
        <v>43704</v>
      </c>
      <c r="AM123" s="287" t="str">
        <f>+Août!D30</f>
        <v>CP</v>
      </c>
      <c r="AN123" s="287" t="str">
        <f t="shared" si="43"/>
        <v/>
      </c>
      <c r="AO123" s="288" t="str">
        <f>+Août!W30</f>
        <v/>
      </c>
      <c r="AP123" s="288">
        <f>+Août!X30</f>
        <v>6.9</v>
      </c>
      <c r="AQ123" s="289" t="str">
        <f>+Août!AF30</f>
        <v/>
      </c>
      <c r="AR123" s="289" t="str">
        <f t="shared" si="44"/>
        <v/>
      </c>
      <c r="AS123" s="289" t="str">
        <f>+Août!AE30</f>
        <v/>
      </c>
      <c r="AT123" s="289">
        <f>+Août!J30</f>
        <v>0</v>
      </c>
      <c r="AU123" s="279" t="str">
        <f t="shared" si="39"/>
        <v/>
      </c>
      <c r="AV123" s="178" t="str">
        <f t="shared" si="30"/>
        <v/>
      </c>
      <c r="AW123" s="178" t="str">
        <f>+IF(WEEKDAY(AL125)=1,SUM(AU$113:AU123),"")</f>
        <v/>
      </c>
      <c r="AX123" s="386"/>
    </row>
    <row r="124" spans="37:56" ht="15.75" thickBot="1">
      <c r="AK124" s="975" t="str">
        <f t="shared" si="46"/>
        <v/>
      </c>
      <c r="AL124" s="286">
        <f t="shared" si="45"/>
        <v>43705</v>
      </c>
      <c r="AM124" s="287" t="str">
        <f>+Août!D31</f>
        <v>CP</v>
      </c>
      <c r="AN124" s="287" t="str">
        <f t="shared" si="43"/>
        <v/>
      </c>
      <c r="AO124" s="288" t="str">
        <f>+Août!W31</f>
        <v/>
      </c>
      <c r="AP124" s="288">
        <f>+Août!X31</f>
        <v>6.9</v>
      </c>
      <c r="AQ124" s="289" t="str">
        <f>+Août!AF31</f>
        <v/>
      </c>
      <c r="AR124" s="289" t="str">
        <f t="shared" si="44"/>
        <v/>
      </c>
      <c r="AS124" s="289" t="str">
        <f>+Août!AE31</f>
        <v/>
      </c>
      <c r="AT124" s="289">
        <f>+Août!J31</f>
        <v>0</v>
      </c>
      <c r="AU124" s="279" t="str">
        <f t="shared" si="39"/>
        <v/>
      </c>
      <c r="AV124" s="178" t="str">
        <f t="shared" si="30"/>
        <v/>
      </c>
      <c r="AW124" s="179" t="str">
        <f>+IF(WEEKDAY(AL126)=1,SUM(AU$113:AU124),"")</f>
        <v/>
      </c>
      <c r="AX124" s="386"/>
    </row>
    <row r="125" spans="37:56" ht="15.75" thickBot="1">
      <c r="AK125" s="975" t="str">
        <f t="shared" si="46"/>
        <v/>
      </c>
      <c r="AL125" s="290">
        <f t="shared" si="45"/>
        <v>43706</v>
      </c>
      <c r="AM125" s="287" t="str">
        <f>+Août!D32</f>
        <v>CP</v>
      </c>
      <c r="AN125" s="287" t="str">
        <f t="shared" si="43"/>
        <v/>
      </c>
      <c r="AO125" s="288" t="str">
        <f>+Août!W32</f>
        <v/>
      </c>
      <c r="AP125" s="288">
        <f>+Août!X32</f>
        <v>6.9</v>
      </c>
      <c r="AQ125" s="289" t="str">
        <f>+Août!AF32</f>
        <v/>
      </c>
      <c r="AR125" s="289" t="str">
        <f t="shared" si="44"/>
        <v/>
      </c>
      <c r="AS125" s="289" t="str">
        <f>+Août!AE32</f>
        <v/>
      </c>
      <c r="AT125" s="289">
        <f>+Août!J32</f>
        <v>0</v>
      </c>
      <c r="AU125" s="279" t="str">
        <f t="shared" ref="AU125:AU156" si="47">+IF(WEEKDAY(AL127)=1,SUM(AO119:AP125),"")</f>
        <v/>
      </c>
      <c r="AV125" s="178" t="str">
        <f t="shared" ref="AV125:AV188" si="48">+IF(WEEKDAY(AL127)=1,SUM(AP119:AP125),"")</f>
        <v/>
      </c>
      <c r="AW125" s="179" t="str">
        <f>+IF(WEEKDAY(AL127)=1,SUM(AU$113:AU125),"")</f>
        <v/>
      </c>
      <c r="AX125" s="223">
        <f>+IF(WEEKDAY($AL$24)=1,SUM(AN108:AN135),IF(WEEKDAY($AL$25)=1,SUM(AN109:AN136),IF(WEEKDAY($AL$26)=1,SUM(AN110:AN137),IF(WEEKDAY($AL$27)=1,SUM(AN111:AN138),IF(WEEKDAY($AL$28)=1,SUM(AN112:AN139),IF(WEEKDAY($AL$29)=1,SUM(AN113:AN140),IF(WEEKDAY($AL$30)=1,SUM(AN114:AN141),"")))))))</f>
        <v>9</v>
      </c>
      <c r="AY125" s="223">
        <f t="shared" ref="AY125:BD125" si="49">+IF(WEEKDAY($AL$24)=1,SUM(AO108:AO135),IF(WEEKDAY($AL$25)=1,SUM(AO109:AO136),IF(WEEKDAY($AL$26)=1,SUM(AO110:AO137),IF(WEEKDAY($AL$27)=1,SUM(AO111:AO138),IF(WEEKDAY($AL$28)=1,SUM(AO112:AO139),IF(WEEKDAY($AL$29)=1,SUM(AO113:AO140),IF(WEEKDAY($AL$30)=1,SUM(AO114:AO141),"")))))))</f>
        <v>69.666666666666671</v>
      </c>
      <c r="AZ125" s="223">
        <f t="shared" si="49"/>
        <v>69</v>
      </c>
      <c r="BA125" s="223">
        <f t="shared" si="49"/>
        <v>0</v>
      </c>
      <c r="BB125" s="223">
        <f t="shared" si="49"/>
        <v>0</v>
      </c>
      <c r="BC125" s="223">
        <f t="shared" si="49"/>
        <v>0</v>
      </c>
      <c r="BD125" s="223">
        <f t="shared" si="49"/>
        <v>0</v>
      </c>
    </row>
    <row r="126" spans="37:56" ht="15.75" thickBot="1">
      <c r="AK126" s="975" t="str">
        <f t="shared" si="46"/>
        <v/>
      </c>
      <c r="AL126" s="286">
        <f t="shared" si="45"/>
        <v>43707</v>
      </c>
      <c r="AM126" s="287" t="str">
        <f>+Août!D33</f>
        <v>CP</v>
      </c>
      <c r="AN126" s="287" t="str">
        <f t="shared" si="43"/>
        <v/>
      </c>
      <c r="AO126" s="288" t="str">
        <f>+Août!W33</f>
        <v/>
      </c>
      <c r="AP126" s="288">
        <f>+Août!X33</f>
        <v>6.9</v>
      </c>
      <c r="AQ126" s="289" t="str">
        <f>+Août!AF33</f>
        <v/>
      </c>
      <c r="AR126" s="289" t="str">
        <f t="shared" si="44"/>
        <v/>
      </c>
      <c r="AS126" s="289" t="str">
        <f>+Août!AE33</f>
        <v/>
      </c>
      <c r="AT126" s="289">
        <f>+Août!J33</f>
        <v>0</v>
      </c>
      <c r="AU126" s="279">
        <f t="shared" si="47"/>
        <v>34.5</v>
      </c>
      <c r="AV126" s="178">
        <f t="shared" si="48"/>
        <v>34.5</v>
      </c>
      <c r="AW126" s="179">
        <f>+IF(WEEKDAY(AL128)=1,SUM(AU$113:AU126),"")</f>
        <v>73.166666666666671</v>
      </c>
      <c r="AX126" s="386"/>
    </row>
    <row r="127" spans="37:56" ht="16.5" thickTop="1" thickBot="1">
      <c r="AK127" s="975" t="str">
        <f t="shared" si="46"/>
        <v/>
      </c>
      <c r="AL127" s="286">
        <f t="shared" si="45"/>
        <v>43708</v>
      </c>
      <c r="AM127" s="287">
        <f>+Août!D34</f>
        <v>0</v>
      </c>
      <c r="AN127" s="287" t="str">
        <f t="shared" si="43"/>
        <v/>
      </c>
      <c r="AO127" s="288" t="str">
        <f>+Août!W34</f>
        <v/>
      </c>
      <c r="AP127" s="288" t="str">
        <f>+Août!X34</f>
        <v/>
      </c>
      <c r="AQ127" s="289" t="str">
        <f>+Août!AF34</f>
        <v/>
      </c>
      <c r="AR127" s="289" t="str">
        <f t="shared" si="44"/>
        <v/>
      </c>
      <c r="AS127" s="289" t="str">
        <f>+Août!AE34</f>
        <v/>
      </c>
      <c r="AT127" s="289">
        <f>+Août!J34</f>
        <v>0</v>
      </c>
      <c r="AU127" s="279" t="str">
        <f t="shared" si="47"/>
        <v/>
      </c>
      <c r="AV127" s="178" t="str">
        <f t="shared" si="48"/>
        <v/>
      </c>
      <c r="AW127" s="179" t="str">
        <f>+IF(WEEKDAY(AL129)=1,SUM(AU$113:AU127),"")</f>
        <v/>
      </c>
      <c r="AX127" s="386"/>
      <c r="AZ127" s="936" t="str">
        <f>+IF(WEEKDAY(AL$26)=1,"Fin cycle 4",IF(WEEKDAY(AL$27)=1,"Fin cycle 4",IF(WEEKDAY(AL$28)=1,"Fin cycle 4",IF(WEEKDAY(AL$29)=1,"Fin cycle 4",IF(WEEKDAY(AL$30)=1,"Fin cycle 4",IF(WEEKDAY(AL$31)=1,"Fin cycle 4",IF(WEEKDAY(AL$32)=1,"Fin cycle 4","")))))))</f>
        <v>Fin cycle 4</v>
      </c>
      <c r="BA127" s="937"/>
      <c r="BB127" s="275">
        <f>SUM(AY125:AZ125)</f>
        <v>138.66666666666669</v>
      </c>
      <c r="BC127" s="590"/>
    </row>
    <row r="128" spans="37:56" ht="15">
      <c r="AK128" s="975" t="str">
        <f t="shared" si="46"/>
        <v/>
      </c>
      <c r="AL128" s="286">
        <f t="shared" si="45"/>
        <v>43709</v>
      </c>
      <c r="AM128" s="287">
        <f>+Septembre!D4</f>
        <v>0</v>
      </c>
      <c r="AN128" s="287" t="str">
        <f t="shared" ref="AN128" si="50">+IF(AM128=0,"",IF(AM128="CP","",1))</f>
        <v/>
      </c>
      <c r="AO128" s="288" t="str">
        <f>+Septembre!W4</f>
        <v/>
      </c>
      <c r="AP128" s="288" t="str">
        <f>+Septembre!X4</f>
        <v/>
      </c>
      <c r="AQ128" s="289">
        <f>+Septembre!AF4</f>
        <v>0</v>
      </c>
      <c r="AR128" s="289" t="str">
        <f t="shared" ref="AR128" si="51">+IF(AS128&lt;&gt;"","",AQ128)</f>
        <v/>
      </c>
      <c r="AS128" s="289">
        <f>+Septembre!AE4</f>
        <v>0</v>
      </c>
      <c r="AT128" s="289">
        <f>+Septembre!J4</f>
        <v>0</v>
      </c>
      <c r="AU128" s="279" t="str">
        <f t="shared" si="47"/>
        <v/>
      </c>
      <c r="AV128" s="178" t="str">
        <f t="shared" si="48"/>
        <v/>
      </c>
      <c r="AW128" s="179" t="str">
        <f>+IF(WEEKDAY(AL130)=1,SUM(AU$113:AU128),"")</f>
        <v/>
      </c>
      <c r="AX128" s="386"/>
    </row>
    <row r="129" spans="37:50" ht="15">
      <c r="AK129" s="975" t="str">
        <f t="shared" si="46"/>
        <v/>
      </c>
      <c r="AL129" s="286">
        <f t="shared" si="45"/>
        <v>43710</v>
      </c>
      <c r="AM129" s="287" t="str">
        <f>+Septembre!D5</f>
        <v>CP</v>
      </c>
      <c r="AN129" s="287" t="str">
        <f t="shared" ref="AN129:AN157" si="52">+IF(AM129=0,"",IF(AM129="CP","",1))</f>
        <v/>
      </c>
      <c r="AO129" s="288" t="str">
        <f>+Septembre!W5</f>
        <v/>
      </c>
      <c r="AP129" s="288">
        <f>+Septembre!X5</f>
        <v>6.9</v>
      </c>
      <c r="AQ129" s="289">
        <f>+Septembre!AF5</f>
        <v>0</v>
      </c>
      <c r="AR129" s="289" t="str">
        <f t="shared" ref="AR129:AR157" si="53">+IF(AS129&lt;&gt;"","",AQ129)</f>
        <v/>
      </c>
      <c r="AS129" s="289">
        <f>+Septembre!AE5</f>
        <v>0</v>
      </c>
      <c r="AT129" s="289">
        <f>+Septembre!J5</f>
        <v>0</v>
      </c>
      <c r="AU129" s="279" t="str">
        <f t="shared" si="47"/>
        <v/>
      </c>
      <c r="AV129" s="178" t="str">
        <f t="shared" si="48"/>
        <v/>
      </c>
      <c r="AW129" s="179" t="str">
        <f>+IF(WEEKDAY(AL131)=1,SUM(AU$113:AU129),"")</f>
        <v/>
      </c>
      <c r="AX129" s="386"/>
    </row>
    <row r="130" spans="37:50" ht="15">
      <c r="AK130" s="975" t="str">
        <f t="shared" si="46"/>
        <v/>
      </c>
      <c r="AL130" s="286">
        <f t="shared" si="45"/>
        <v>43711</v>
      </c>
      <c r="AM130" s="287" t="str">
        <f>+Septembre!D6</f>
        <v>CP</v>
      </c>
      <c r="AN130" s="287" t="str">
        <f t="shared" si="52"/>
        <v/>
      </c>
      <c r="AO130" s="288" t="str">
        <f>+Septembre!W6</f>
        <v/>
      </c>
      <c r="AP130" s="288">
        <f>+Septembre!X6</f>
        <v>6.9</v>
      </c>
      <c r="AQ130" s="289">
        <f>+Septembre!AF6</f>
        <v>0</v>
      </c>
      <c r="AR130" s="289" t="str">
        <f t="shared" si="53"/>
        <v/>
      </c>
      <c r="AS130" s="289">
        <f>+Septembre!AE6</f>
        <v>0</v>
      </c>
      <c r="AT130" s="289">
        <f>+Septembre!J6</f>
        <v>0</v>
      </c>
      <c r="AU130" s="279" t="str">
        <f t="shared" si="47"/>
        <v/>
      </c>
      <c r="AV130" s="178" t="str">
        <f t="shared" si="48"/>
        <v/>
      </c>
      <c r="AW130" s="179" t="str">
        <f>+IF(WEEKDAY(AL132)=1,SUM(AU$113:AU130),"")</f>
        <v/>
      </c>
      <c r="AX130" s="386"/>
    </row>
    <row r="131" spans="37:50" ht="15">
      <c r="AK131" s="975" t="str">
        <f t="shared" si="46"/>
        <v/>
      </c>
      <c r="AL131" s="286">
        <f t="shared" si="45"/>
        <v>43712</v>
      </c>
      <c r="AM131" s="287" t="str">
        <f>+Septembre!D7</f>
        <v>CP</v>
      </c>
      <c r="AN131" s="287" t="str">
        <f t="shared" si="52"/>
        <v/>
      </c>
      <c r="AO131" s="288" t="str">
        <f>+Septembre!W7</f>
        <v/>
      </c>
      <c r="AP131" s="288">
        <f>+Septembre!X7</f>
        <v>6.9</v>
      </c>
      <c r="AQ131" s="289">
        <f>+Septembre!AF7</f>
        <v>0</v>
      </c>
      <c r="AR131" s="289" t="str">
        <f t="shared" si="53"/>
        <v/>
      </c>
      <c r="AS131" s="289">
        <f>+Septembre!AE7</f>
        <v>0</v>
      </c>
      <c r="AT131" s="289">
        <f>+Septembre!J7</f>
        <v>0</v>
      </c>
      <c r="AU131" s="279" t="str">
        <f t="shared" si="47"/>
        <v/>
      </c>
      <c r="AV131" s="178" t="str">
        <f t="shared" si="48"/>
        <v/>
      </c>
      <c r="AW131" s="179" t="str">
        <f>+IF(WEEKDAY(AL133)=1,SUM(AU$113:AU131),"")</f>
        <v/>
      </c>
      <c r="AX131" s="386"/>
    </row>
    <row r="132" spans="37:50" ht="15">
      <c r="AK132" s="975" t="str">
        <f t="shared" si="46"/>
        <v/>
      </c>
      <c r="AL132" s="286">
        <f t="shared" si="45"/>
        <v>43713</v>
      </c>
      <c r="AM132" s="287" t="str">
        <f>+Septembre!D8</f>
        <v>CP</v>
      </c>
      <c r="AN132" s="287" t="str">
        <f t="shared" si="52"/>
        <v/>
      </c>
      <c r="AO132" s="288" t="str">
        <f>+Septembre!W8</f>
        <v/>
      </c>
      <c r="AP132" s="288">
        <f>+Septembre!X8</f>
        <v>6.9</v>
      </c>
      <c r="AQ132" s="289">
        <f>+Septembre!AF8</f>
        <v>0</v>
      </c>
      <c r="AR132" s="289" t="str">
        <f t="shared" si="53"/>
        <v/>
      </c>
      <c r="AS132" s="289">
        <f>+Septembre!AE8</f>
        <v>0</v>
      </c>
      <c r="AT132" s="289">
        <f>+Septembre!J8</f>
        <v>0</v>
      </c>
      <c r="AU132" s="279" t="str">
        <f t="shared" si="47"/>
        <v/>
      </c>
      <c r="AV132" s="178" t="str">
        <f t="shared" si="48"/>
        <v/>
      </c>
      <c r="AW132" s="179" t="str">
        <f>+IF(WEEKDAY(AL134)=1,SUM(AU$113:AU132),"")</f>
        <v/>
      </c>
      <c r="AX132" s="386"/>
    </row>
    <row r="133" spans="37:50" ht="15">
      <c r="AK133" s="975" t="str">
        <f t="shared" si="46"/>
        <v/>
      </c>
      <c r="AL133" s="286">
        <f t="shared" si="45"/>
        <v>43714</v>
      </c>
      <c r="AM133" s="287" t="str">
        <f>+Septembre!D9</f>
        <v>CP</v>
      </c>
      <c r="AN133" s="287" t="str">
        <f t="shared" si="52"/>
        <v/>
      </c>
      <c r="AO133" s="288" t="str">
        <f>+Septembre!W9</f>
        <v/>
      </c>
      <c r="AP133" s="288">
        <f>+Septembre!X9</f>
        <v>6.9</v>
      </c>
      <c r="AQ133" s="289">
        <f>+Septembre!AF9</f>
        <v>0</v>
      </c>
      <c r="AR133" s="289" t="str">
        <f t="shared" si="53"/>
        <v/>
      </c>
      <c r="AS133" s="289">
        <f>+Septembre!AE9</f>
        <v>0</v>
      </c>
      <c r="AT133" s="289">
        <f>+Septembre!J9</f>
        <v>0</v>
      </c>
      <c r="AU133" s="279">
        <f t="shared" si="47"/>
        <v>34.5</v>
      </c>
      <c r="AV133" s="178">
        <f t="shared" si="48"/>
        <v>34.5</v>
      </c>
      <c r="AW133" s="179">
        <f>+IF(WEEKDAY(AL135)=1,SUM(AU$113:AU133),"")</f>
        <v>107.66666666666667</v>
      </c>
      <c r="AX133" s="386"/>
    </row>
    <row r="134" spans="37:50" ht="15">
      <c r="AK134" s="975" t="str">
        <f t="shared" si="46"/>
        <v/>
      </c>
      <c r="AL134" s="286">
        <f t="shared" si="45"/>
        <v>43715</v>
      </c>
      <c r="AM134" s="287">
        <f>+Septembre!D10</f>
        <v>0</v>
      </c>
      <c r="AN134" s="287" t="str">
        <f t="shared" si="52"/>
        <v/>
      </c>
      <c r="AO134" s="288" t="str">
        <f>+Septembre!W10</f>
        <v/>
      </c>
      <c r="AP134" s="288" t="str">
        <f>+Septembre!X10</f>
        <v/>
      </c>
      <c r="AQ134" s="289">
        <f>+Septembre!AF10</f>
        <v>0</v>
      </c>
      <c r="AR134" s="289" t="str">
        <f t="shared" si="53"/>
        <v/>
      </c>
      <c r="AS134" s="289">
        <f>+Septembre!AE10</f>
        <v>0</v>
      </c>
      <c r="AT134" s="289">
        <f>+Septembre!J10</f>
        <v>0</v>
      </c>
      <c r="AU134" s="279" t="str">
        <f t="shared" si="47"/>
        <v/>
      </c>
      <c r="AV134" s="178" t="str">
        <f t="shared" si="48"/>
        <v/>
      </c>
      <c r="AW134" s="179" t="str">
        <f>+IF(WEEKDAY(AL136)=1,SUM(AU$113:AU134),"")</f>
        <v/>
      </c>
      <c r="AX134" s="386"/>
    </row>
    <row r="135" spans="37:50" ht="15">
      <c r="AK135" s="975" t="str">
        <f t="shared" si="46"/>
        <v/>
      </c>
      <c r="AL135" s="286">
        <f t="shared" si="45"/>
        <v>43716</v>
      </c>
      <c r="AM135" s="287">
        <f>+Septembre!D11</f>
        <v>0</v>
      </c>
      <c r="AN135" s="287" t="str">
        <f t="shared" si="52"/>
        <v/>
      </c>
      <c r="AO135" s="288" t="str">
        <f>+Septembre!W11</f>
        <v/>
      </c>
      <c r="AP135" s="288" t="str">
        <f>+Septembre!X11</f>
        <v/>
      </c>
      <c r="AQ135" s="289">
        <f>+Septembre!AF11</f>
        <v>0</v>
      </c>
      <c r="AR135" s="289" t="str">
        <f t="shared" si="53"/>
        <v/>
      </c>
      <c r="AS135" s="289">
        <f>+Septembre!AE11</f>
        <v>0</v>
      </c>
      <c r="AT135" s="289">
        <f>+Septembre!J11</f>
        <v>0</v>
      </c>
      <c r="AU135" s="279" t="str">
        <f t="shared" si="47"/>
        <v/>
      </c>
      <c r="AV135" s="178" t="str">
        <f t="shared" si="48"/>
        <v/>
      </c>
      <c r="AW135" s="179" t="str">
        <f>+IF(WEEKDAY(AL137)=1,SUM(AU$113:AU135),"")</f>
        <v/>
      </c>
      <c r="AX135" s="386"/>
    </row>
    <row r="136" spans="37:50" ht="15">
      <c r="AK136" s="975">
        <f t="shared" si="46"/>
        <v>5</v>
      </c>
      <c r="AL136" s="286">
        <f t="shared" si="45"/>
        <v>43717</v>
      </c>
      <c r="AM136" s="287" t="str">
        <f>+Septembre!D12</f>
        <v>N</v>
      </c>
      <c r="AN136" s="287">
        <f t="shared" si="52"/>
        <v>1</v>
      </c>
      <c r="AO136" s="288">
        <f>+Septembre!W12</f>
        <v>7.7499999999999991</v>
      </c>
      <c r="AP136" s="288" t="str">
        <f>+Septembre!X12</f>
        <v/>
      </c>
      <c r="AQ136" s="289">
        <f>+Septembre!AF12</f>
        <v>0</v>
      </c>
      <c r="AR136" s="289" t="str">
        <f t="shared" si="53"/>
        <v/>
      </c>
      <c r="AS136" s="289">
        <f>+Septembre!AE12</f>
        <v>0</v>
      </c>
      <c r="AT136" s="289">
        <f>+Septembre!J12</f>
        <v>0</v>
      </c>
      <c r="AU136" s="279" t="str">
        <f t="shared" si="47"/>
        <v/>
      </c>
      <c r="AV136" s="178" t="str">
        <f t="shared" si="48"/>
        <v/>
      </c>
      <c r="AW136" s="179" t="str">
        <f>+IF(WEEKDAY(AL138)=1,SUM(AU$113:AU136),"")</f>
        <v/>
      </c>
      <c r="AX136" s="386"/>
    </row>
    <row r="137" spans="37:50" ht="15">
      <c r="AK137" s="975" t="str">
        <f t="shared" si="46"/>
        <v/>
      </c>
      <c r="AL137" s="286">
        <f t="shared" si="45"/>
        <v>43718</v>
      </c>
      <c r="AM137" s="287" t="str">
        <f>+Septembre!D13</f>
        <v>N</v>
      </c>
      <c r="AN137" s="287">
        <f t="shared" si="52"/>
        <v>1</v>
      </c>
      <c r="AO137" s="288">
        <f>+Septembre!W13</f>
        <v>7.7499999999999991</v>
      </c>
      <c r="AP137" s="288" t="str">
        <f>+Septembre!X13</f>
        <v/>
      </c>
      <c r="AQ137" s="289">
        <f>+Septembre!AF13</f>
        <v>0</v>
      </c>
      <c r="AR137" s="289" t="str">
        <f t="shared" si="53"/>
        <v/>
      </c>
      <c r="AS137" s="289">
        <f>+Septembre!AE13</f>
        <v>0</v>
      </c>
      <c r="AT137" s="289">
        <f>+Septembre!J13</f>
        <v>0</v>
      </c>
      <c r="AU137" s="279" t="str">
        <f t="shared" si="47"/>
        <v/>
      </c>
      <c r="AV137" s="178" t="str">
        <f t="shared" si="48"/>
        <v/>
      </c>
      <c r="AW137" s="179" t="str">
        <f>+IF(WEEKDAY(AL139)=1,SUM(AU$113:AU137),"")</f>
        <v/>
      </c>
      <c r="AX137" s="386"/>
    </row>
    <row r="138" spans="37:50" ht="15">
      <c r="AK138" s="975" t="str">
        <f t="shared" si="46"/>
        <v/>
      </c>
      <c r="AL138" s="286">
        <f t="shared" si="45"/>
        <v>43719</v>
      </c>
      <c r="AM138" s="287" t="str">
        <f>+Septembre!D14</f>
        <v>N</v>
      </c>
      <c r="AN138" s="287">
        <f t="shared" si="52"/>
        <v>1</v>
      </c>
      <c r="AO138" s="288">
        <f>+Septembre!W14</f>
        <v>7.7499999999999991</v>
      </c>
      <c r="AP138" s="288" t="str">
        <f>+Septembre!X14</f>
        <v/>
      </c>
      <c r="AQ138" s="289">
        <f>+Septembre!AF14</f>
        <v>0</v>
      </c>
      <c r="AR138" s="289" t="str">
        <f t="shared" si="53"/>
        <v/>
      </c>
      <c r="AS138" s="289">
        <f>+Septembre!AE14</f>
        <v>0</v>
      </c>
      <c r="AT138" s="289">
        <f>+Septembre!J14</f>
        <v>0</v>
      </c>
      <c r="AU138" s="279" t="str">
        <f t="shared" si="47"/>
        <v/>
      </c>
      <c r="AV138" s="178" t="str">
        <f t="shared" si="48"/>
        <v/>
      </c>
      <c r="AW138" s="179" t="str">
        <f>+IF(WEEKDAY(AL140)=1,SUM(AU$113:AU138),"")</f>
        <v/>
      </c>
      <c r="AX138" s="386"/>
    </row>
    <row r="139" spans="37:50" ht="15">
      <c r="AK139" s="975" t="str">
        <f t="shared" si="46"/>
        <v/>
      </c>
      <c r="AL139" s="286">
        <f t="shared" si="45"/>
        <v>43720</v>
      </c>
      <c r="AM139" s="287" t="str">
        <f>+Septembre!D15</f>
        <v>N</v>
      </c>
      <c r="AN139" s="287">
        <f t="shared" si="52"/>
        <v>1</v>
      </c>
      <c r="AO139" s="288">
        <f>+Septembre!W15</f>
        <v>7.7499999999999991</v>
      </c>
      <c r="AP139" s="288" t="str">
        <f>+Septembre!X15</f>
        <v/>
      </c>
      <c r="AQ139" s="289">
        <f>+Septembre!AF15</f>
        <v>0</v>
      </c>
      <c r="AR139" s="289" t="str">
        <f t="shared" si="53"/>
        <v/>
      </c>
      <c r="AS139" s="289">
        <f>+Septembre!AE15</f>
        <v>0</v>
      </c>
      <c r="AT139" s="289">
        <f>+Septembre!J15</f>
        <v>0</v>
      </c>
      <c r="AU139" s="279" t="str">
        <f t="shared" si="47"/>
        <v/>
      </c>
      <c r="AV139" s="178" t="str">
        <f t="shared" si="48"/>
        <v/>
      </c>
      <c r="AW139" s="179" t="str">
        <f>+IF(WEEKDAY(AL141)=1,SUM(AU$113:AU139),"")</f>
        <v/>
      </c>
      <c r="AX139" s="386"/>
    </row>
    <row r="140" spans="37:50" ht="15">
      <c r="AK140" s="975" t="str">
        <f t="shared" si="46"/>
        <v/>
      </c>
      <c r="AL140" s="286">
        <f t="shared" si="45"/>
        <v>43721</v>
      </c>
      <c r="AM140" s="287">
        <f>+Septembre!D16</f>
        <v>0</v>
      </c>
      <c r="AN140" s="287" t="str">
        <f t="shared" si="52"/>
        <v/>
      </c>
      <c r="AO140" s="288" t="str">
        <f>+Septembre!W16</f>
        <v/>
      </c>
      <c r="AP140" s="288" t="str">
        <f>+Septembre!X16</f>
        <v/>
      </c>
      <c r="AQ140" s="289">
        <f>+Septembre!AF16</f>
        <v>0</v>
      </c>
      <c r="AR140" s="289" t="str">
        <f t="shared" si="53"/>
        <v/>
      </c>
      <c r="AS140" s="289">
        <f>+Septembre!AE16</f>
        <v>0</v>
      </c>
      <c r="AT140" s="289">
        <f>+Septembre!J16</f>
        <v>0</v>
      </c>
      <c r="AU140" s="279">
        <f t="shared" si="47"/>
        <v>30.999999999999996</v>
      </c>
      <c r="AV140" s="178">
        <f t="shared" si="48"/>
        <v>0</v>
      </c>
      <c r="AW140" s="179">
        <f>+IF(WEEKDAY(AL142)=1,SUM(AU$113:AU140),"")</f>
        <v>138.66666666666666</v>
      </c>
      <c r="AX140" s="386"/>
    </row>
    <row r="141" spans="37:50" ht="15">
      <c r="AK141" s="975" t="str">
        <f t="shared" si="46"/>
        <v/>
      </c>
      <c r="AL141" s="286">
        <f t="shared" si="45"/>
        <v>43722</v>
      </c>
      <c r="AM141" s="287">
        <f>+Septembre!D17</f>
        <v>0</v>
      </c>
      <c r="AN141" s="287" t="str">
        <f t="shared" si="52"/>
        <v/>
      </c>
      <c r="AO141" s="288" t="str">
        <f>+Septembre!W17</f>
        <v/>
      </c>
      <c r="AP141" s="288" t="str">
        <f>+Septembre!X17</f>
        <v/>
      </c>
      <c r="AQ141" s="289">
        <f>+Septembre!AF17</f>
        <v>0</v>
      </c>
      <c r="AR141" s="289" t="str">
        <f t="shared" si="53"/>
        <v/>
      </c>
      <c r="AS141" s="289">
        <f>+Septembre!AE17</f>
        <v>0</v>
      </c>
      <c r="AT141" s="289">
        <f>+Septembre!J17</f>
        <v>0</v>
      </c>
      <c r="AU141" s="279" t="str">
        <f t="shared" si="47"/>
        <v/>
      </c>
      <c r="AV141" s="178" t="str">
        <f t="shared" si="48"/>
        <v/>
      </c>
      <c r="AW141" s="179" t="str">
        <f>+IF(WEEKDAY(AL143)=1,SUM(AU$141:AU141),"")</f>
        <v/>
      </c>
      <c r="AX141" s="386"/>
    </row>
    <row r="142" spans="37:50" ht="15">
      <c r="AK142" s="975" t="str">
        <f t="shared" si="46"/>
        <v/>
      </c>
      <c r="AL142" s="286">
        <f t="shared" si="45"/>
        <v>43723</v>
      </c>
      <c r="AM142" s="287">
        <f>+Septembre!D18</f>
        <v>0</v>
      </c>
      <c r="AN142" s="287" t="str">
        <f t="shared" si="52"/>
        <v/>
      </c>
      <c r="AO142" s="288" t="str">
        <f>+Septembre!W18</f>
        <v/>
      </c>
      <c r="AP142" s="288" t="str">
        <f>+Septembre!X18</f>
        <v/>
      </c>
      <c r="AQ142" s="289">
        <f>+Septembre!AF18</f>
        <v>0</v>
      </c>
      <c r="AR142" s="289" t="str">
        <f t="shared" si="53"/>
        <v/>
      </c>
      <c r="AS142" s="289">
        <f>+Septembre!AE18</f>
        <v>0</v>
      </c>
      <c r="AT142" s="289">
        <f>+Septembre!J18</f>
        <v>0</v>
      </c>
      <c r="AU142" s="279" t="str">
        <f t="shared" si="47"/>
        <v/>
      </c>
      <c r="AV142" s="178" t="str">
        <f t="shared" si="48"/>
        <v/>
      </c>
      <c r="AW142" s="179" t="str">
        <f>+IF(WEEKDAY(AL144)=1,SUM(AU$141:AU142),"")</f>
        <v/>
      </c>
      <c r="AX142" s="386"/>
    </row>
    <row r="143" spans="37:50" ht="15">
      <c r="AK143" s="975" t="str">
        <f t="shared" si="46"/>
        <v/>
      </c>
      <c r="AL143" s="286">
        <f t="shared" si="45"/>
        <v>43724</v>
      </c>
      <c r="AM143" s="287" t="str">
        <f>+Septembre!D19</f>
        <v>AM</v>
      </c>
      <c r="AN143" s="287">
        <f t="shared" si="52"/>
        <v>1</v>
      </c>
      <c r="AO143" s="288">
        <f>+Septembre!W19</f>
        <v>7.7499999999999991</v>
      </c>
      <c r="AP143" s="288" t="str">
        <f>+Septembre!X19</f>
        <v/>
      </c>
      <c r="AQ143" s="289">
        <f>+Septembre!AF19</f>
        <v>0</v>
      </c>
      <c r="AR143" s="289" t="str">
        <f t="shared" si="53"/>
        <v/>
      </c>
      <c r="AS143" s="289">
        <f>+Septembre!AE19</f>
        <v>0</v>
      </c>
      <c r="AT143" s="289">
        <f>+Septembre!J19</f>
        <v>0</v>
      </c>
      <c r="AU143" s="279" t="str">
        <f t="shared" si="47"/>
        <v/>
      </c>
      <c r="AV143" s="178" t="str">
        <f t="shared" si="48"/>
        <v/>
      </c>
      <c r="AW143" s="179" t="str">
        <f>+IF(WEEKDAY(AL145)=1,SUM(AU$141:AU143),"")</f>
        <v/>
      </c>
      <c r="AX143" s="386"/>
    </row>
    <row r="144" spans="37:50" ht="15">
      <c r="AK144" s="975" t="str">
        <f t="shared" si="46"/>
        <v/>
      </c>
      <c r="AL144" s="286">
        <f t="shared" si="45"/>
        <v>43725</v>
      </c>
      <c r="AM144" s="287" t="str">
        <f>+Septembre!D20</f>
        <v>AM</v>
      </c>
      <c r="AN144" s="287">
        <f t="shared" si="52"/>
        <v>1</v>
      </c>
      <c r="AO144" s="288">
        <f>+Septembre!W20</f>
        <v>7.7499999999999991</v>
      </c>
      <c r="AP144" s="288" t="str">
        <f>+Septembre!X20</f>
        <v/>
      </c>
      <c r="AQ144" s="289">
        <f>+Septembre!AF20</f>
        <v>0</v>
      </c>
      <c r="AR144" s="289" t="str">
        <f t="shared" si="53"/>
        <v/>
      </c>
      <c r="AS144" s="289">
        <f>+Septembre!AE20</f>
        <v>0</v>
      </c>
      <c r="AT144" s="289">
        <f>+Septembre!J20</f>
        <v>0</v>
      </c>
      <c r="AU144" s="279" t="str">
        <f t="shared" si="47"/>
        <v/>
      </c>
      <c r="AV144" s="178" t="str">
        <f t="shared" si="48"/>
        <v/>
      </c>
      <c r="AW144" s="179" t="str">
        <f>+IF(WEEKDAY(AL146)=1,SUM(AU$141:AU144),"")</f>
        <v/>
      </c>
      <c r="AX144" s="386"/>
    </row>
    <row r="145" spans="37:56" ht="15">
      <c r="AK145" s="975" t="str">
        <f t="shared" si="46"/>
        <v/>
      </c>
      <c r="AL145" s="286">
        <f t="shared" si="45"/>
        <v>43726</v>
      </c>
      <c r="AM145" s="287" t="str">
        <f>+Septembre!D21</f>
        <v>AM</v>
      </c>
      <c r="AN145" s="287">
        <f t="shared" si="52"/>
        <v>1</v>
      </c>
      <c r="AO145" s="288">
        <f>+Septembre!W21</f>
        <v>7.7499999999999991</v>
      </c>
      <c r="AP145" s="288" t="str">
        <f>+Septembre!X21</f>
        <v/>
      </c>
      <c r="AQ145" s="289">
        <f>+Septembre!AF21</f>
        <v>0</v>
      </c>
      <c r="AR145" s="289" t="str">
        <f t="shared" si="53"/>
        <v/>
      </c>
      <c r="AS145" s="289">
        <f>+Septembre!AE21</f>
        <v>0</v>
      </c>
      <c r="AT145" s="289">
        <f>+Septembre!J21</f>
        <v>0</v>
      </c>
      <c r="AU145" s="279" t="str">
        <f t="shared" si="47"/>
        <v/>
      </c>
      <c r="AV145" s="178" t="str">
        <f t="shared" si="48"/>
        <v/>
      </c>
      <c r="AW145" s="179" t="str">
        <f>+IF(WEEKDAY(AL147)=1,SUM(AU$141:AU145),"")</f>
        <v/>
      </c>
      <c r="AX145" s="386"/>
    </row>
    <row r="146" spans="37:56" ht="15">
      <c r="AK146" s="975" t="str">
        <f t="shared" si="46"/>
        <v/>
      </c>
      <c r="AL146" s="286">
        <f t="shared" si="45"/>
        <v>43727</v>
      </c>
      <c r="AM146" s="287" t="str">
        <f>+Septembre!D22</f>
        <v>AM</v>
      </c>
      <c r="AN146" s="287">
        <f t="shared" si="52"/>
        <v>1</v>
      </c>
      <c r="AO146" s="288">
        <f>+Septembre!W22</f>
        <v>7.7499999999999991</v>
      </c>
      <c r="AP146" s="288" t="str">
        <f>+Septembre!X22</f>
        <v/>
      </c>
      <c r="AQ146" s="289">
        <f>+Septembre!AF22</f>
        <v>0</v>
      </c>
      <c r="AR146" s="289" t="str">
        <f t="shared" si="53"/>
        <v/>
      </c>
      <c r="AS146" s="289">
        <f>+Septembre!AE22</f>
        <v>0</v>
      </c>
      <c r="AT146" s="289">
        <f>+Septembre!J22</f>
        <v>0</v>
      </c>
      <c r="AU146" s="279" t="str">
        <f t="shared" si="47"/>
        <v/>
      </c>
      <c r="AV146" s="178" t="str">
        <f t="shared" si="48"/>
        <v/>
      </c>
      <c r="AW146" s="179" t="str">
        <f>+IF(WEEKDAY(AL148)=1,SUM(AU$141:AU146),"")</f>
        <v/>
      </c>
      <c r="AX146" s="386"/>
    </row>
    <row r="147" spans="37:56" ht="15">
      <c r="AK147" s="975" t="str">
        <f t="shared" si="46"/>
        <v/>
      </c>
      <c r="AL147" s="286">
        <f t="shared" si="45"/>
        <v>43728</v>
      </c>
      <c r="AM147" s="287">
        <f>+Septembre!D23</f>
        <v>0</v>
      </c>
      <c r="AN147" s="287" t="str">
        <f t="shared" si="52"/>
        <v/>
      </c>
      <c r="AO147" s="288" t="str">
        <f>+Septembre!W23</f>
        <v/>
      </c>
      <c r="AP147" s="288" t="str">
        <f>+Septembre!X23</f>
        <v/>
      </c>
      <c r="AQ147" s="289">
        <f>+Septembre!AF23</f>
        <v>0</v>
      </c>
      <c r="AR147" s="289" t="str">
        <f t="shared" si="53"/>
        <v/>
      </c>
      <c r="AS147" s="289">
        <f>+Septembre!AE23</f>
        <v>0</v>
      </c>
      <c r="AT147" s="289">
        <f>+Septembre!J23</f>
        <v>0</v>
      </c>
      <c r="AU147" s="279">
        <f t="shared" si="47"/>
        <v>30.999999999999996</v>
      </c>
      <c r="AV147" s="178">
        <f t="shared" si="48"/>
        <v>0</v>
      </c>
      <c r="AW147" s="179">
        <f>+IF(WEEKDAY(AL149)=1,SUM(AU$141:AU147),"")</f>
        <v>30.999999999999996</v>
      </c>
      <c r="AX147" s="386"/>
    </row>
    <row r="148" spans="37:56" ht="15">
      <c r="AK148" s="975" t="str">
        <f t="shared" si="46"/>
        <v/>
      </c>
      <c r="AL148" s="286">
        <f t="shared" si="45"/>
        <v>43729</v>
      </c>
      <c r="AM148" s="287">
        <f>+Septembre!D24</f>
        <v>0</v>
      </c>
      <c r="AN148" s="287" t="str">
        <f t="shared" si="52"/>
        <v/>
      </c>
      <c r="AO148" s="288" t="str">
        <f>+Septembre!W24</f>
        <v/>
      </c>
      <c r="AP148" s="288" t="str">
        <f>+Septembre!X24</f>
        <v/>
      </c>
      <c r="AQ148" s="289">
        <f>+Septembre!AF24</f>
        <v>0</v>
      </c>
      <c r="AR148" s="289" t="str">
        <f t="shared" si="53"/>
        <v/>
      </c>
      <c r="AS148" s="289">
        <f>+Septembre!AE24</f>
        <v>0</v>
      </c>
      <c r="AT148" s="289">
        <f>+Septembre!J24</f>
        <v>0</v>
      </c>
      <c r="AU148" s="279" t="str">
        <f t="shared" si="47"/>
        <v/>
      </c>
      <c r="AV148" s="178" t="str">
        <f t="shared" si="48"/>
        <v/>
      </c>
      <c r="AW148" s="179" t="str">
        <f>+IF(WEEKDAY(AL150)=1,SUM(AU$141:AU148),"")</f>
        <v/>
      </c>
      <c r="AX148" s="386"/>
    </row>
    <row r="149" spans="37:56" ht="15">
      <c r="AK149" s="975" t="str">
        <f t="shared" si="46"/>
        <v/>
      </c>
      <c r="AL149" s="286">
        <f t="shared" si="45"/>
        <v>43730</v>
      </c>
      <c r="AM149" s="287">
        <f>+Septembre!D25</f>
        <v>0</v>
      </c>
      <c r="AN149" s="287" t="str">
        <f t="shared" si="52"/>
        <v/>
      </c>
      <c r="AO149" s="288" t="str">
        <f>+Septembre!W25</f>
        <v/>
      </c>
      <c r="AP149" s="288" t="str">
        <f>+Septembre!X25</f>
        <v/>
      </c>
      <c r="AQ149" s="289">
        <f>+Septembre!AF25</f>
        <v>0</v>
      </c>
      <c r="AR149" s="289" t="str">
        <f t="shared" si="53"/>
        <v/>
      </c>
      <c r="AS149" s="289">
        <f>+Septembre!AE25</f>
        <v>0</v>
      </c>
      <c r="AT149" s="289">
        <f>+Septembre!J25</f>
        <v>0</v>
      </c>
      <c r="AU149" s="279" t="str">
        <f t="shared" si="47"/>
        <v/>
      </c>
      <c r="AV149" s="178" t="str">
        <f t="shared" si="48"/>
        <v/>
      </c>
      <c r="AW149" s="179" t="str">
        <f>+IF(WEEKDAY(AL151)=1,SUM(AU$141:AU149),"")</f>
        <v/>
      </c>
      <c r="AX149" s="386"/>
    </row>
    <row r="150" spans="37:56" ht="15">
      <c r="AK150" s="975" t="str">
        <f t="shared" si="46"/>
        <v/>
      </c>
      <c r="AL150" s="286">
        <f t="shared" si="45"/>
        <v>43731</v>
      </c>
      <c r="AM150" s="287" t="str">
        <f>+Septembre!D26</f>
        <v>M</v>
      </c>
      <c r="AN150" s="287">
        <f t="shared" si="52"/>
        <v>1</v>
      </c>
      <c r="AO150" s="288">
        <f>+Septembre!W26</f>
        <v>7.7500000000000009</v>
      </c>
      <c r="AP150" s="288" t="str">
        <f>+Septembre!X26</f>
        <v/>
      </c>
      <c r="AQ150" s="289">
        <f>+Septembre!AF26</f>
        <v>0</v>
      </c>
      <c r="AR150" s="289" t="str">
        <f t="shared" si="53"/>
        <v/>
      </c>
      <c r="AS150" s="289">
        <f>+Septembre!AE26</f>
        <v>0</v>
      </c>
      <c r="AT150" s="289">
        <f>+Septembre!J26</f>
        <v>0</v>
      </c>
      <c r="AU150" s="279" t="str">
        <f t="shared" si="47"/>
        <v/>
      </c>
      <c r="AV150" s="178" t="str">
        <f t="shared" si="48"/>
        <v/>
      </c>
      <c r="AW150" s="179" t="str">
        <f>+IF(WEEKDAY(AL152)=1,SUM(AU$141:AU150),"")</f>
        <v/>
      </c>
      <c r="AX150" s="386"/>
    </row>
    <row r="151" spans="37:56" ht="15">
      <c r="AK151" s="975" t="str">
        <f t="shared" si="46"/>
        <v/>
      </c>
      <c r="AL151" s="286">
        <f t="shared" si="45"/>
        <v>43732</v>
      </c>
      <c r="AM151" s="287" t="str">
        <f>+Septembre!D27</f>
        <v>M</v>
      </c>
      <c r="AN151" s="287">
        <f t="shared" si="52"/>
        <v>1</v>
      </c>
      <c r="AO151" s="288">
        <f>+Septembre!W27</f>
        <v>7.7500000000000009</v>
      </c>
      <c r="AP151" s="288" t="str">
        <f>+Septembre!X27</f>
        <v/>
      </c>
      <c r="AQ151" s="289">
        <f>+Septembre!AF27</f>
        <v>0</v>
      </c>
      <c r="AR151" s="289" t="str">
        <f t="shared" si="53"/>
        <v/>
      </c>
      <c r="AS151" s="289">
        <f>+Septembre!AE27</f>
        <v>0</v>
      </c>
      <c r="AT151" s="289">
        <f>+Septembre!J27</f>
        <v>0</v>
      </c>
      <c r="AU151" s="279" t="str">
        <f t="shared" si="47"/>
        <v/>
      </c>
      <c r="AV151" s="178" t="str">
        <f t="shared" si="48"/>
        <v/>
      </c>
      <c r="AW151" s="179" t="str">
        <f>+IF(WEEKDAY(AL153)=1,SUM(AU$141:AU151),"")</f>
        <v/>
      </c>
      <c r="AX151" s="386"/>
    </row>
    <row r="152" spans="37:56" ht="15">
      <c r="AK152" s="975" t="str">
        <f t="shared" si="46"/>
        <v/>
      </c>
      <c r="AL152" s="286">
        <f t="shared" si="45"/>
        <v>43733</v>
      </c>
      <c r="AM152" s="287" t="str">
        <f>+Septembre!D28</f>
        <v>M</v>
      </c>
      <c r="AN152" s="287">
        <f t="shared" si="52"/>
        <v>1</v>
      </c>
      <c r="AO152" s="288">
        <f>+Septembre!W28</f>
        <v>7.7500000000000009</v>
      </c>
      <c r="AP152" s="288" t="str">
        <f>+Septembre!X28</f>
        <v/>
      </c>
      <c r="AQ152" s="289">
        <f>+Septembre!AF28</f>
        <v>0</v>
      </c>
      <c r="AR152" s="289" t="str">
        <f t="shared" si="53"/>
        <v/>
      </c>
      <c r="AS152" s="289">
        <f>+Septembre!AE28</f>
        <v>0</v>
      </c>
      <c r="AT152" s="289">
        <f>+Septembre!J28</f>
        <v>0</v>
      </c>
      <c r="AU152" s="279" t="str">
        <f t="shared" si="47"/>
        <v/>
      </c>
      <c r="AV152" s="178" t="str">
        <f t="shared" si="48"/>
        <v/>
      </c>
      <c r="AW152" s="179" t="str">
        <f>+IF(WEEKDAY(AL154)=1,SUM(AU$141:AU152),"")</f>
        <v/>
      </c>
      <c r="AX152" s="386"/>
    </row>
    <row r="153" spans="37:56" ht="15">
      <c r="AK153" s="975" t="str">
        <f t="shared" ref="AK153:AK216" si="54">IF(MOD((AL153-$AF$27)/28,1),"",MOD((AL153-$AF$27)/28,13)+1)</f>
        <v/>
      </c>
      <c r="AL153" s="286">
        <f t="shared" si="45"/>
        <v>43734</v>
      </c>
      <c r="AM153" s="287" t="str">
        <f>+Septembre!D29</f>
        <v>M</v>
      </c>
      <c r="AN153" s="287">
        <f t="shared" si="52"/>
        <v>1</v>
      </c>
      <c r="AO153" s="288">
        <f>+Septembre!W29</f>
        <v>7.7500000000000009</v>
      </c>
      <c r="AP153" s="288" t="str">
        <f>+Septembre!X29</f>
        <v/>
      </c>
      <c r="AQ153" s="289">
        <f>+Septembre!AF29</f>
        <v>0</v>
      </c>
      <c r="AR153" s="289" t="str">
        <f t="shared" si="53"/>
        <v/>
      </c>
      <c r="AS153" s="289">
        <f>+Septembre!AE29</f>
        <v>0</v>
      </c>
      <c r="AT153" s="289">
        <f>+Septembre!J29</f>
        <v>0</v>
      </c>
      <c r="AU153" s="279" t="str">
        <f t="shared" si="47"/>
        <v/>
      </c>
      <c r="AV153" s="178" t="str">
        <f t="shared" si="48"/>
        <v/>
      </c>
      <c r="AW153" s="178" t="str">
        <f>+IF(WEEKDAY(AL155)=1,SUM(AU$141:AU153),"")</f>
        <v/>
      </c>
      <c r="AX153" s="386"/>
    </row>
    <row r="154" spans="37:56" ht="15.75" thickBot="1">
      <c r="AK154" s="975" t="str">
        <f t="shared" si="54"/>
        <v/>
      </c>
      <c r="AL154" s="286">
        <f t="shared" si="45"/>
        <v>43735</v>
      </c>
      <c r="AM154" s="287" t="str">
        <f>+Septembre!D30</f>
        <v>M</v>
      </c>
      <c r="AN154" s="287">
        <f t="shared" si="52"/>
        <v>1</v>
      </c>
      <c r="AO154" s="288">
        <f>+Septembre!W30</f>
        <v>7.7500000000000009</v>
      </c>
      <c r="AP154" s="288" t="str">
        <f>+Septembre!X30</f>
        <v/>
      </c>
      <c r="AQ154" s="289">
        <f>+Septembre!AF30</f>
        <v>0</v>
      </c>
      <c r="AR154" s="289" t="str">
        <f t="shared" si="53"/>
        <v/>
      </c>
      <c r="AS154" s="289">
        <f>+Septembre!AE30</f>
        <v>0</v>
      </c>
      <c r="AT154" s="289">
        <f>+Septembre!J30</f>
        <v>0</v>
      </c>
      <c r="AU154" s="279">
        <f t="shared" si="47"/>
        <v>38.750000000000007</v>
      </c>
      <c r="AV154" s="178">
        <f t="shared" si="48"/>
        <v>0</v>
      </c>
      <c r="AW154" s="179">
        <f>+IF(WEEKDAY(AL156)=1,SUM(AU$141:AU154),"")</f>
        <v>69.75</v>
      </c>
      <c r="AX154" s="386"/>
    </row>
    <row r="155" spans="37:56" ht="15.75" thickBot="1">
      <c r="AK155" s="975" t="str">
        <f t="shared" si="54"/>
        <v/>
      </c>
      <c r="AL155" s="290">
        <f t="shared" si="45"/>
        <v>43736</v>
      </c>
      <c r="AM155" s="287">
        <f>+Septembre!D31</f>
        <v>0</v>
      </c>
      <c r="AN155" s="287" t="str">
        <f t="shared" si="52"/>
        <v/>
      </c>
      <c r="AO155" s="288" t="str">
        <f>+Septembre!W31</f>
        <v/>
      </c>
      <c r="AP155" s="288" t="str">
        <f>+Septembre!X31</f>
        <v/>
      </c>
      <c r="AQ155" s="289">
        <f>+Septembre!AF31</f>
        <v>0</v>
      </c>
      <c r="AR155" s="289" t="str">
        <f t="shared" si="53"/>
        <v/>
      </c>
      <c r="AS155" s="289">
        <f>+Septembre!AE31</f>
        <v>0</v>
      </c>
      <c r="AT155" s="289">
        <f>+Septembre!J31</f>
        <v>0</v>
      </c>
      <c r="AU155" s="279" t="str">
        <f t="shared" si="47"/>
        <v/>
      </c>
      <c r="AV155" s="178" t="str">
        <f t="shared" si="48"/>
        <v/>
      </c>
      <c r="AW155" s="179" t="str">
        <f>+IF(WEEKDAY(AL157)=1,SUM(AU$141:AU155),"")</f>
        <v/>
      </c>
      <c r="AX155" s="223">
        <f>+IF(WEEKDAY($AL$24)=1,SUM(AN136:AN163),IF(WEEKDAY($AL$25)=1,SUM(AN137:AN164),IF(WEEKDAY($AL$26)=1,SUM(AN138:AN165),IF(WEEKDAY($AL$27)=1,SUM(AN139:AN166),IF(WEEKDAY($AL$28)=1,SUM(AN140:AN167),IF(WEEKDAY($AL$29)=1,SUM(AN141:AN168),IF(WEEKDAY($AL$30)=1,SUM(AN142:AN169),"")))))))</f>
        <v>19</v>
      </c>
      <c r="AY155" s="223">
        <f t="shared" ref="AY155:BD155" si="55">+IF(WEEKDAY($AL$24)=1,SUM(AO136:AO163),IF(WEEKDAY($AL$25)=1,SUM(AO137:AO164),IF(WEEKDAY($AL$26)=1,SUM(AO138:AO165),IF(WEEKDAY($AL$27)=1,SUM(AO139:AO166),IF(WEEKDAY($AL$28)=1,SUM(AO140:AO167),IF(WEEKDAY($AL$29)=1,SUM(AO141:AO168),IF(WEEKDAY($AL$30)=1,SUM(AO142:AO169),"")))))))</f>
        <v>146.83333333333334</v>
      </c>
      <c r="AZ155" s="223">
        <f t="shared" si="55"/>
        <v>0</v>
      </c>
      <c r="BA155" s="223">
        <f t="shared" si="55"/>
        <v>0</v>
      </c>
      <c r="BB155" s="223">
        <f t="shared" si="55"/>
        <v>0</v>
      </c>
      <c r="BC155" s="223">
        <f t="shared" si="55"/>
        <v>0</v>
      </c>
      <c r="BD155" s="223">
        <f t="shared" si="55"/>
        <v>0</v>
      </c>
    </row>
    <row r="156" spans="37:56" ht="15.75" thickBot="1">
      <c r="AK156" s="975" t="str">
        <f t="shared" si="54"/>
        <v/>
      </c>
      <c r="AL156" s="286">
        <f t="shared" si="45"/>
        <v>43737</v>
      </c>
      <c r="AM156" s="287" t="str">
        <f>+Septembre!D32</f>
        <v>N</v>
      </c>
      <c r="AN156" s="287">
        <f t="shared" si="52"/>
        <v>1</v>
      </c>
      <c r="AO156" s="288">
        <f>+Septembre!W32</f>
        <v>7.666666666666667</v>
      </c>
      <c r="AP156" s="288" t="str">
        <f>+Septembre!X32</f>
        <v/>
      </c>
      <c r="AQ156" s="289">
        <f>+Septembre!AF32</f>
        <v>0</v>
      </c>
      <c r="AR156" s="289" t="str">
        <f t="shared" si="53"/>
        <v/>
      </c>
      <c r="AS156" s="289">
        <f>+Septembre!AE32</f>
        <v>0</v>
      </c>
      <c r="AT156" s="289">
        <f>+Septembre!J32</f>
        <v>0</v>
      </c>
      <c r="AU156" s="279" t="str">
        <f t="shared" si="47"/>
        <v/>
      </c>
      <c r="AV156" s="178" t="str">
        <f t="shared" si="48"/>
        <v/>
      </c>
      <c r="AW156" s="179" t="str">
        <f>+IF(WEEKDAY(AL158)=1,SUM(AU$141:AU156),"")</f>
        <v/>
      </c>
      <c r="AX156" s="386"/>
    </row>
    <row r="157" spans="37:56" ht="16.5" thickTop="1" thickBot="1">
      <c r="AK157" s="975" t="str">
        <f t="shared" si="54"/>
        <v/>
      </c>
      <c r="AL157" s="286">
        <f t="shared" si="45"/>
        <v>43738</v>
      </c>
      <c r="AM157" s="287" t="str">
        <f>+Septembre!D33</f>
        <v>N</v>
      </c>
      <c r="AN157" s="287">
        <f t="shared" si="52"/>
        <v>1</v>
      </c>
      <c r="AO157" s="288">
        <f>+Septembre!W33</f>
        <v>7.7499999999999991</v>
      </c>
      <c r="AP157" s="288" t="str">
        <f>+Septembre!X33</f>
        <v/>
      </c>
      <c r="AQ157" s="289">
        <f>+Septembre!AF33</f>
        <v>0</v>
      </c>
      <c r="AR157" s="289" t="str">
        <f t="shared" si="53"/>
        <v/>
      </c>
      <c r="AS157" s="289">
        <f>+Septembre!AE33</f>
        <v>0</v>
      </c>
      <c r="AT157" s="289">
        <f>+Septembre!J33</f>
        <v>0</v>
      </c>
      <c r="AU157" s="279" t="str">
        <f t="shared" ref="AU157:AU188" si="56">+IF(WEEKDAY(AL159)=1,SUM(AO151:AP157),"")</f>
        <v/>
      </c>
      <c r="AV157" s="178" t="str">
        <f t="shared" si="48"/>
        <v/>
      </c>
      <c r="AW157" s="179" t="str">
        <f>+IF(WEEKDAY(AL159)=1,SUM(AU$141:AU157),"")</f>
        <v/>
      </c>
      <c r="AX157" s="386"/>
      <c r="AZ157" s="936" t="str">
        <f>+IF(WEEKDAY(AL$26)=1,"Fin cycle 5",IF(WEEKDAY(AL$27)=1,"Fin cycle 5",IF(WEEKDAY(AL$28)=1,"Fin cycle 5",IF(WEEKDAY(AL$29)=1,"Fin cycle 5",IF(WEEKDAY(AL$30)=1,"Fin cycle 5",IF(WEEKDAY(AL$31)=1,"Fin cycle 5",IF(WEEKDAY(AL$32)=1,"Fin cycle 5","")))))))</f>
        <v>Fin cycle 5</v>
      </c>
      <c r="BA157" s="937"/>
      <c r="BB157" s="275">
        <f>SUM(AY155:AZ155)</f>
        <v>146.83333333333334</v>
      </c>
      <c r="BC157" s="590"/>
    </row>
    <row r="158" spans="37:56" ht="15">
      <c r="AK158" s="975" t="str">
        <f t="shared" si="54"/>
        <v/>
      </c>
      <c r="AL158" s="286">
        <f t="shared" si="45"/>
        <v>43739</v>
      </c>
      <c r="AM158" s="287" t="str">
        <f>+Octobre!D4</f>
        <v>N</v>
      </c>
      <c r="AN158" s="287">
        <f t="shared" ref="AN158" si="57">+IF(AM158=0,"",IF(AM158="CP","",1))</f>
        <v>1</v>
      </c>
      <c r="AO158" s="288">
        <f>+Octobre!W4</f>
        <v>7.7499999999999991</v>
      </c>
      <c r="AP158" s="288" t="str">
        <f>+Octobre!X4</f>
        <v/>
      </c>
      <c r="AQ158" s="289">
        <f>+Octobre!AF4</f>
        <v>0</v>
      </c>
      <c r="AR158" s="289">
        <f t="shared" ref="AR158" si="58">+IF(AS158&lt;&gt;"","",AQ158)</f>
        <v>0</v>
      </c>
      <c r="AS158" s="289" t="str">
        <f>+Octobre!AE4</f>
        <v/>
      </c>
      <c r="AT158" s="289">
        <f>+Octobre!J4</f>
        <v>0</v>
      </c>
      <c r="AU158" s="279" t="str">
        <f t="shared" si="56"/>
        <v/>
      </c>
      <c r="AV158" s="178" t="str">
        <f t="shared" si="48"/>
        <v/>
      </c>
      <c r="AW158" s="179" t="str">
        <f>+IF(WEEKDAY(AL160)=1,SUM(AU$141:AU158),"")</f>
        <v/>
      </c>
      <c r="AX158" s="386"/>
    </row>
    <row r="159" spans="37:56" ht="15">
      <c r="AK159" s="975" t="str">
        <f t="shared" si="54"/>
        <v/>
      </c>
      <c r="AL159" s="286">
        <f t="shared" si="45"/>
        <v>43740</v>
      </c>
      <c r="AM159" s="287" t="str">
        <f>+Octobre!D5</f>
        <v>N</v>
      </c>
      <c r="AN159" s="287">
        <f t="shared" ref="AN159:AN188" si="59">+IF(AM159=0,"",IF(AM159="CP","",1))</f>
        <v>1</v>
      </c>
      <c r="AO159" s="288">
        <f>+Octobre!W5</f>
        <v>7.7499999999999991</v>
      </c>
      <c r="AP159" s="288" t="str">
        <f>+Octobre!X5</f>
        <v/>
      </c>
      <c r="AQ159" s="289">
        <f>+Octobre!AF5</f>
        <v>0</v>
      </c>
      <c r="AR159" s="289">
        <f t="shared" ref="AR159:AR188" si="60">+IF(AS159&lt;&gt;"","",AQ159)</f>
        <v>0</v>
      </c>
      <c r="AS159" s="289" t="str">
        <f>+Octobre!AE5</f>
        <v/>
      </c>
      <c r="AT159" s="289">
        <f>+Octobre!J5</f>
        <v>0</v>
      </c>
      <c r="AU159" s="279" t="str">
        <f t="shared" si="56"/>
        <v/>
      </c>
      <c r="AV159" s="178" t="str">
        <f t="shared" si="48"/>
        <v/>
      </c>
      <c r="AW159" s="179" t="str">
        <f>+IF(WEEKDAY(AL161)=1,SUM(AU$141:AU159),"")</f>
        <v/>
      </c>
      <c r="AX159" s="386"/>
    </row>
    <row r="160" spans="37:56" ht="15">
      <c r="AK160" s="975" t="str">
        <f t="shared" si="54"/>
        <v/>
      </c>
      <c r="AL160" s="286">
        <f t="shared" si="45"/>
        <v>43741</v>
      </c>
      <c r="AM160" s="287" t="str">
        <f>+Octobre!D6</f>
        <v>N</v>
      </c>
      <c r="AN160" s="287">
        <f t="shared" si="59"/>
        <v>1</v>
      </c>
      <c r="AO160" s="288">
        <f>+Octobre!W6</f>
        <v>7.7499999999999991</v>
      </c>
      <c r="AP160" s="288" t="str">
        <f>+Octobre!X6</f>
        <v/>
      </c>
      <c r="AQ160" s="289">
        <f>+Octobre!AF6</f>
        <v>0</v>
      </c>
      <c r="AR160" s="289">
        <f t="shared" si="60"/>
        <v>0</v>
      </c>
      <c r="AS160" s="289" t="str">
        <f>+Octobre!AE6</f>
        <v/>
      </c>
      <c r="AT160" s="289">
        <f>+Octobre!J6</f>
        <v>0</v>
      </c>
      <c r="AU160" s="279" t="str">
        <f t="shared" si="56"/>
        <v/>
      </c>
      <c r="AV160" s="178" t="str">
        <f t="shared" si="48"/>
        <v/>
      </c>
      <c r="AW160" s="179" t="str">
        <f>+IF(WEEKDAY(AL162)=1,SUM(AU$141:AU160),"")</f>
        <v/>
      </c>
      <c r="AX160" s="386"/>
    </row>
    <row r="161" spans="37:50" ht="15">
      <c r="AK161" s="975" t="str">
        <f t="shared" si="54"/>
        <v/>
      </c>
      <c r="AL161" s="286">
        <f t="shared" si="45"/>
        <v>43742</v>
      </c>
      <c r="AM161" s="287">
        <f>+Octobre!D7</f>
        <v>0</v>
      </c>
      <c r="AN161" s="287" t="str">
        <f t="shared" si="59"/>
        <v/>
      </c>
      <c r="AO161" s="288" t="str">
        <f>+Octobre!W7</f>
        <v/>
      </c>
      <c r="AP161" s="288" t="str">
        <f>+Octobre!X7</f>
        <v/>
      </c>
      <c r="AQ161" s="289">
        <f>+Octobre!AF7</f>
        <v>0</v>
      </c>
      <c r="AR161" s="289">
        <f t="shared" si="60"/>
        <v>0</v>
      </c>
      <c r="AS161" s="289" t="str">
        <f>+Octobre!AE7</f>
        <v/>
      </c>
      <c r="AT161" s="289">
        <f>+Octobre!J7</f>
        <v>0</v>
      </c>
      <c r="AU161" s="279">
        <f t="shared" si="56"/>
        <v>38.666666666666664</v>
      </c>
      <c r="AV161" s="178">
        <f t="shared" si="48"/>
        <v>0</v>
      </c>
      <c r="AW161" s="179">
        <f>+IF(WEEKDAY(AL163)=1,SUM(AU$141:AU161),"")</f>
        <v>108.41666666666666</v>
      </c>
      <c r="AX161" s="386"/>
    </row>
    <row r="162" spans="37:50" ht="15">
      <c r="AK162" s="975" t="str">
        <f t="shared" si="54"/>
        <v/>
      </c>
      <c r="AL162" s="286">
        <f t="shared" si="45"/>
        <v>43743</v>
      </c>
      <c r="AM162" s="287">
        <f>+Octobre!D8</f>
        <v>0</v>
      </c>
      <c r="AN162" s="287" t="str">
        <f t="shared" si="59"/>
        <v/>
      </c>
      <c r="AO162" s="288" t="str">
        <f>+Octobre!W8</f>
        <v/>
      </c>
      <c r="AP162" s="288" t="str">
        <f>+Octobre!X8</f>
        <v/>
      </c>
      <c r="AQ162" s="289">
        <f>+Octobre!AF8</f>
        <v>0</v>
      </c>
      <c r="AR162" s="289">
        <f t="shared" si="60"/>
        <v>0</v>
      </c>
      <c r="AS162" s="289" t="str">
        <f>+Octobre!AE8</f>
        <v/>
      </c>
      <c r="AT162" s="289">
        <f>+Octobre!J8</f>
        <v>0</v>
      </c>
      <c r="AU162" s="279" t="str">
        <f t="shared" si="56"/>
        <v/>
      </c>
      <c r="AV162" s="178" t="str">
        <f t="shared" si="48"/>
        <v/>
      </c>
      <c r="AW162" s="179" t="str">
        <f>+IF(WEEKDAY(AL164)=1,SUM(AU$141:AU162),"")</f>
        <v/>
      </c>
      <c r="AX162" s="386"/>
    </row>
    <row r="163" spans="37:50" ht="15">
      <c r="AK163" s="975" t="str">
        <f t="shared" si="54"/>
        <v/>
      </c>
      <c r="AL163" s="286">
        <f t="shared" si="45"/>
        <v>43744</v>
      </c>
      <c r="AM163" s="287" t="str">
        <f>+Octobre!D9</f>
        <v>N</v>
      </c>
      <c r="AN163" s="287">
        <f t="shared" si="59"/>
        <v>1</v>
      </c>
      <c r="AO163" s="288">
        <f>+Octobre!W9</f>
        <v>7.666666666666667</v>
      </c>
      <c r="AP163" s="288" t="str">
        <f>+Octobre!X9</f>
        <v/>
      </c>
      <c r="AQ163" s="289">
        <f>+Octobre!AF9</f>
        <v>0</v>
      </c>
      <c r="AR163" s="289">
        <f t="shared" si="60"/>
        <v>0</v>
      </c>
      <c r="AS163" s="289" t="str">
        <f>+Octobre!AE9</f>
        <v/>
      </c>
      <c r="AT163" s="289">
        <f>+Octobre!J9</f>
        <v>0</v>
      </c>
      <c r="AU163" s="279" t="str">
        <f t="shared" si="56"/>
        <v/>
      </c>
      <c r="AV163" s="178" t="str">
        <f t="shared" si="48"/>
        <v/>
      </c>
      <c r="AW163" s="179" t="str">
        <f>+IF(WEEKDAY(AL165)=1,SUM(AU$141:AU163),"")</f>
        <v/>
      </c>
      <c r="AX163" s="386"/>
    </row>
    <row r="164" spans="37:50" ht="15">
      <c r="AK164" s="975">
        <f t="shared" si="54"/>
        <v>6</v>
      </c>
      <c r="AL164" s="286">
        <f t="shared" ref="AL164:AL227" si="61">+AL163+1</f>
        <v>43745</v>
      </c>
      <c r="AM164" s="287" t="str">
        <f>+Octobre!D10</f>
        <v>N</v>
      </c>
      <c r="AN164" s="287">
        <f t="shared" si="59"/>
        <v>1</v>
      </c>
      <c r="AO164" s="288">
        <f>+Octobre!W10</f>
        <v>7.7499999999999991</v>
      </c>
      <c r="AP164" s="288" t="str">
        <f>+Octobre!X10</f>
        <v/>
      </c>
      <c r="AQ164" s="289">
        <f>+Octobre!AF10</f>
        <v>0</v>
      </c>
      <c r="AR164" s="289">
        <f t="shared" si="60"/>
        <v>0</v>
      </c>
      <c r="AS164" s="289" t="str">
        <f>+Octobre!AE10</f>
        <v/>
      </c>
      <c r="AT164" s="289">
        <f>+Octobre!J10</f>
        <v>0</v>
      </c>
      <c r="AU164" s="279" t="str">
        <f t="shared" si="56"/>
        <v/>
      </c>
      <c r="AV164" s="178" t="str">
        <f t="shared" si="48"/>
        <v/>
      </c>
      <c r="AW164" s="179" t="str">
        <f>+IF(WEEKDAY(AL166)=1,SUM(AU$141:AU164),"")</f>
        <v/>
      </c>
      <c r="AX164" s="386"/>
    </row>
    <row r="165" spans="37:50" ht="15">
      <c r="AK165" s="975" t="str">
        <f t="shared" si="54"/>
        <v/>
      </c>
      <c r="AL165" s="286">
        <f t="shared" si="61"/>
        <v>43746</v>
      </c>
      <c r="AM165" s="287" t="str">
        <f>+Octobre!D11</f>
        <v>N</v>
      </c>
      <c r="AN165" s="287">
        <f t="shared" si="59"/>
        <v>1</v>
      </c>
      <c r="AO165" s="288">
        <f>+Octobre!W11</f>
        <v>7.7499999999999991</v>
      </c>
      <c r="AP165" s="288" t="str">
        <f>+Octobre!X11</f>
        <v/>
      </c>
      <c r="AQ165" s="289">
        <f>+Octobre!AF11</f>
        <v>0</v>
      </c>
      <c r="AR165" s="289">
        <f t="shared" si="60"/>
        <v>0</v>
      </c>
      <c r="AS165" s="289" t="str">
        <f>+Octobre!AE11</f>
        <v/>
      </c>
      <c r="AT165" s="289">
        <f>+Octobre!J11</f>
        <v>0</v>
      </c>
      <c r="AU165" s="279" t="str">
        <f t="shared" si="56"/>
        <v/>
      </c>
      <c r="AV165" s="178" t="str">
        <f t="shared" si="48"/>
        <v/>
      </c>
      <c r="AW165" s="179" t="str">
        <f>+IF(WEEKDAY(AL167)=1,SUM(AU$141:AU165),"")</f>
        <v/>
      </c>
      <c r="AX165" s="386"/>
    </row>
    <row r="166" spans="37:50" ht="15">
      <c r="AK166" s="975" t="str">
        <f t="shared" si="54"/>
        <v/>
      </c>
      <c r="AL166" s="286">
        <f t="shared" si="61"/>
        <v>43747</v>
      </c>
      <c r="AM166" s="287" t="str">
        <f>+Octobre!D12</f>
        <v>N</v>
      </c>
      <c r="AN166" s="287">
        <f t="shared" si="59"/>
        <v>1</v>
      </c>
      <c r="AO166" s="288">
        <f>+Octobre!W12</f>
        <v>7.7499999999999991</v>
      </c>
      <c r="AP166" s="288" t="str">
        <f>+Octobre!X12</f>
        <v/>
      </c>
      <c r="AQ166" s="289">
        <f>+Octobre!AF12</f>
        <v>0</v>
      </c>
      <c r="AR166" s="289">
        <f t="shared" si="60"/>
        <v>0</v>
      </c>
      <c r="AS166" s="289" t="str">
        <f>+Octobre!AE12</f>
        <v/>
      </c>
      <c r="AT166" s="289">
        <f>+Octobre!J12</f>
        <v>0</v>
      </c>
      <c r="AU166" s="279" t="str">
        <f t="shared" si="56"/>
        <v/>
      </c>
      <c r="AV166" s="178" t="str">
        <f t="shared" si="48"/>
        <v/>
      </c>
      <c r="AW166" s="179" t="str">
        <f>+IF(WEEKDAY(AL168)=1,SUM(AU$141:AU166),"")</f>
        <v/>
      </c>
      <c r="AX166" s="386"/>
    </row>
    <row r="167" spans="37:50" ht="15">
      <c r="AK167" s="975" t="str">
        <f t="shared" si="54"/>
        <v/>
      </c>
      <c r="AL167" s="286">
        <f t="shared" si="61"/>
        <v>43748</v>
      </c>
      <c r="AM167" s="287" t="str">
        <f>+Octobre!D13</f>
        <v>N</v>
      </c>
      <c r="AN167" s="287">
        <f t="shared" si="59"/>
        <v>1</v>
      </c>
      <c r="AO167" s="288">
        <f>+Octobre!W13</f>
        <v>7.4999999999999991</v>
      </c>
      <c r="AP167" s="288" t="str">
        <f>+Octobre!X13</f>
        <v/>
      </c>
      <c r="AQ167" s="289">
        <f>+Octobre!AF13</f>
        <v>0</v>
      </c>
      <c r="AR167" s="289">
        <f t="shared" si="60"/>
        <v>0</v>
      </c>
      <c r="AS167" s="289" t="str">
        <f>+Octobre!AE13</f>
        <v/>
      </c>
      <c r="AT167" s="289">
        <f>+Octobre!J13</f>
        <v>0</v>
      </c>
      <c r="AU167" s="279" t="str">
        <f t="shared" si="56"/>
        <v/>
      </c>
      <c r="AV167" s="178" t="str">
        <f t="shared" si="48"/>
        <v/>
      </c>
      <c r="AW167" s="179" t="str">
        <f>+IF(WEEKDAY(AL169)=1,SUM(AU$141:AU167),"")</f>
        <v/>
      </c>
      <c r="AX167" s="386"/>
    </row>
    <row r="168" spans="37:50" ht="15">
      <c r="AK168" s="975" t="str">
        <f t="shared" si="54"/>
        <v/>
      </c>
      <c r="AL168" s="286">
        <f t="shared" si="61"/>
        <v>43749</v>
      </c>
      <c r="AM168" s="287">
        <f>+Octobre!D14</f>
        <v>0</v>
      </c>
      <c r="AN168" s="287" t="str">
        <f t="shared" si="59"/>
        <v/>
      </c>
      <c r="AO168" s="288" t="str">
        <f>+Octobre!W14</f>
        <v/>
      </c>
      <c r="AP168" s="288" t="str">
        <f>+Octobre!X14</f>
        <v/>
      </c>
      <c r="AQ168" s="289">
        <f>+Octobre!AF14</f>
        <v>0</v>
      </c>
      <c r="AR168" s="289">
        <f t="shared" si="60"/>
        <v>0</v>
      </c>
      <c r="AS168" s="289" t="str">
        <f>+Octobre!AE14</f>
        <v/>
      </c>
      <c r="AT168" s="289">
        <f>+Octobre!J14</f>
        <v>0</v>
      </c>
      <c r="AU168" s="279">
        <f t="shared" si="56"/>
        <v>38.416666666666664</v>
      </c>
      <c r="AV168" s="178">
        <f t="shared" si="48"/>
        <v>0</v>
      </c>
      <c r="AW168" s="179">
        <f>+IF(WEEKDAY(AL170)=1,SUM(AU$141:AU168),"")</f>
        <v>146.83333333333331</v>
      </c>
      <c r="AX168" s="386"/>
    </row>
    <row r="169" spans="37:50" ht="15">
      <c r="AK169" s="975" t="str">
        <f t="shared" si="54"/>
        <v/>
      </c>
      <c r="AL169" s="286">
        <f t="shared" si="61"/>
        <v>43750</v>
      </c>
      <c r="AM169" s="287">
        <f>+Octobre!D15</f>
        <v>0</v>
      </c>
      <c r="AN169" s="287" t="str">
        <f t="shared" si="59"/>
        <v/>
      </c>
      <c r="AO169" s="288" t="str">
        <f>+Octobre!W15</f>
        <v/>
      </c>
      <c r="AP169" s="288" t="str">
        <f>+Octobre!X15</f>
        <v/>
      </c>
      <c r="AQ169" s="289">
        <f>+Octobre!AF15</f>
        <v>0</v>
      </c>
      <c r="AR169" s="289">
        <f t="shared" si="60"/>
        <v>0</v>
      </c>
      <c r="AS169" s="289" t="str">
        <f>+Octobre!AE15</f>
        <v/>
      </c>
      <c r="AT169" s="289">
        <f>+Octobre!J15</f>
        <v>0</v>
      </c>
      <c r="AU169" s="279" t="str">
        <f t="shared" si="56"/>
        <v/>
      </c>
      <c r="AV169" s="178" t="str">
        <f t="shared" si="48"/>
        <v/>
      </c>
      <c r="AW169" s="179" t="str">
        <f>+IF(WEEKDAY(AL171)=1,SUM(AU$169:AU169),"")</f>
        <v/>
      </c>
      <c r="AX169" s="386"/>
    </row>
    <row r="170" spans="37:50" ht="15">
      <c r="AK170" s="975" t="str">
        <f t="shared" si="54"/>
        <v/>
      </c>
      <c r="AL170" s="286">
        <f t="shared" si="61"/>
        <v>43751</v>
      </c>
      <c r="AM170" s="287" t="str">
        <f>+Octobre!D16</f>
        <v>M</v>
      </c>
      <c r="AN170" s="287">
        <f t="shared" si="59"/>
        <v>1</v>
      </c>
      <c r="AO170" s="288">
        <f>+Octobre!W16</f>
        <v>6.916666666666667</v>
      </c>
      <c r="AP170" s="288" t="str">
        <f>+Octobre!X16</f>
        <v/>
      </c>
      <c r="AQ170" s="289">
        <f>+Octobre!AF16</f>
        <v>0</v>
      </c>
      <c r="AR170" s="289">
        <f t="shared" si="60"/>
        <v>0</v>
      </c>
      <c r="AS170" s="289" t="str">
        <f>+Octobre!AE16</f>
        <v/>
      </c>
      <c r="AT170" s="289">
        <f>+Octobre!J16</f>
        <v>0</v>
      </c>
      <c r="AU170" s="279" t="str">
        <f t="shared" si="56"/>
        <v/>
      </c>
      <c r="AV170" s="178" t="str">
        <f t="shared" si="48"/>
        <v/>
      </c>
      <c r="AW170" s="179" t="str">
        <f>+IF(WEEKDAY(AL172)=1,SUM(AU$169:AU170),"")</f>
        <v/>
      </c>
      <c r="AX170" s="386"/>
    </row>
    <row r="171" spans="37:50" ht="15">
      <c r="AK171" s="975" t="str">
        <f t="shared" si="54"/>
        <v/>
      </c>
      <c r="AL171" s="286">
        <f t="shared" si="61"/>
        <v>43752</v>
      </c>
      <c r="AM171" s="287" t="str">
        <f>+Octobre!D17</f>
        <v>AM</v>
      </c>
      <c r="AN171" s="287">
        <f t="shared" si="59"/>
        <v>1</v>
      </c>
      <c r="AO171" s="288">
        <f>+Octobre!W17</f>
        <v>7.7499999999999991</v>
      </c>
      <c r="AP171" s="288" t="str">
        <f>+Octobre!X17</f>
        <v/>
      </c>
      <c r="AQ171" s="289">
        <f>+Octobre!AF17</f>
        <v>0</v>
      </c>
      <c r="AR171" s="289">
        <f t="shared" si="60"/>
        <v>0</v>
      </c>
      <c r="AS171" s="289" t="str">
        <f>+Octobre!AE17</f>
        <v/>
      </c>
      <c r="AT171" s="289">
        <f>+Octobre!J17</f>
        <v>0</v>
      </c>
      <c r="AU171" s="279" t="str">
        <f t="shared" si="56"/>
        <v/>
      </c>
      <c r="AV171" s="178" t="str">
        <f t="shared" si="48"/>
        <v/>
      </c>
      <c r="AW171" s="179" t="str">
        <f>+IF(WEEKDAY(AL173)=1,SUM(AU$169:AU171),"")</f>
        <v/>
      </c>
      <c r="AX171" s="386"/>
    </row>
    <row r="172" spans="37:50" ht="15">
      <c r="AK172" s="975" t="str">
        <f t="shared" si="54"/>
        <v/>
      </c>
      <c r="AL172" s="286">
        <f t="shared" si="61"/>
        <v>43753</v>
      </c>
      <c r="AM172" s="287" t="str">
        <f>+Octobre!D18</f>
        <v>AM</v>
      </c>
      <c r="AN172" s="287">
        <f t="shared" si="59"/>
        <v>1</v>
      </c>
      <c r="AO172" s="288">
        <f>+Octobre!W18</f>
        <v>7.7499999999999991</v>
      </c>
      <c r="AP172" s="288" t="str">
        <f>+Octobre!X18</f>
        <v/>
      </c>
      <c r="AQ172" s="289">
        <f>+Octobre!AF18</f>
        <v>0</v>
      </c>
      <c r="AR172" s="289">
        <f t="shared" si="60"/>
        <v>0</v>
      </c>
      <c r="AS172" s="289" t="str">
        <f>+Octobre!AE18</f>
        <v/>
      </c>
      <c r="AT172" s="289">
        <f>+Octobre!J18</f>
        <v>0</v>
      </c>
      <c r="AU172" s="279" t="str">
        <f t="shared" si="56"/>
        <v/>
      </c>
      <c r="AV172" s="178" t="str">
        <f t="shared" si="48"/>
        <v/>
      </c>
      <c r="AW172" s="179" t="str">
        <f>+IF(WEEKDAY(AL174)=1,SUM(AU$169:AU172),"")</f>
        <v/>
      </c>
      <c r="AX172" s="386"/>
    </row>
    <row r="173" spans="37:50" ht="15">
      <c r="AK173" s="975" t="str">
        <f t="shared" si="54"/>
        <v/>
      </c>
      <c r="AL173" s="286">
        <f t="shared" si="61"/>
        <v>43754</v>
      </c>
      <c r="AM173" s="287" t="str">
        <f>+Octobre!D19</f>
        <v>AM</v>
      </c>
      <c r="AN173" s="287">
        <f t="shared" si="59"/>
        <v>1</v>
      </c>
      <c r="AO173" s="288">
        <f>+Octobre!W19</f>
        <v>7.7499999999999991</v>
      </c>
      <c r="AP173" s="288" t="str">
        <f>+Octobre!X19</f>
        <v/>
      </c>
      <c r="AQ173" s="289">
        <f>+Octobre!AF19</f>
        <v>0</v>
      </c>
      <c r="AR173" s="289">
        <f t="shared" si="60"/>
        <v>0</v>
      </c>
      <c r="AS173" s="289" t="str">
        <f>+Octobre!AE19</f>
        <v/>
      </c>
      <c r="AT173" s="289">
        <f>+Octobre!J19</f>
        <v>0</v>
      </c>
      <c r="AU173" s="279" t="str">
        <f t="shared" si="56"/>
        <v/>
      </c>
      <c r="AV173" s="178" t="str">
        <f t="shared" si="48"/>
        <v/>
      </c>
      <c r="AW173" s="179" t="str">
        <f>+IF(WEEKDAY(AL175)=1,SUM(AU$169:AU173),"")</f>
        <v/>
      </c>
      <c r="AX173" s="386"/>
    </row>
    <row r="174" spans="37:50" ht="15">
      <c r="AK174" s="975" t="str">
        <f t="shared" si="54"/>
        <v/>
      </c>
      <c r="AL174" s="286">
        <f t="shared" si="61"/>
        <v>43755</v>
      </c>
      <c r="AM174" s="287" t="str">
        <f>+Octobre!D20</f>
        <v>AM</v>
      </c>
      <c r="AN174" s="287">
        <f t="shared" si="59"/>
        <v>1</v>
      </c>
      <c r="AO174" s="288">
        <f>+Octobre!W20</f>
        <v>7.7499999999999991</v>
      </c>
      <c r="AP174" s="288" t="str">
        <f>+Octobre!X20</f>
        <v/>
      </c>
      <c r="AQ174" s="289">
        <f>+Octobre!AF20</f>
        <v>0</v>
      </c>
      <c r="AR174" s="289">
        <f t="shared" si="60"/>
        <v>0</v>
      </c>
      <c r="AS174" s="289" t="str">
        <f>+Octobre!AE20</f>
        <v/>
      </c>
      <c r="AT174" s="289">
        <f>+Octobre!J20</f>
        <v>0</v>
      </c>
      <c r="AU174" s="279" t="str">
        <f t="shared" si="56"/>
        <v/>
      </c>
      <c r="AV174" s="178" t="str">
        <f t="shared" si="48"/>
        <v/>
      </c>
      <c r="AW174" s="179" t="str">
        <f>+IF(WEEKDAY(AL176)=1,SUM(AU$169:AU174),"")</f>
        <v/>
      </c>
      <c r="AX174" s="386"/>
    </row>
    <row r="175" spans="37:50" ht="15">
      <c r="AK175" s="975" t="str">
        <f t="shared" si="54"/>
        <v/>
      </c>
      <c r="AL175" s="286">
        <f t="shared" si="61"/>
        <v>43756</v>
      </c>
      <c r="AM175" s="287" t="str">
        <f>+Octobre!D21</f>
        <v>AM</v>
      </c>
      <c r="AN175" s="287">
        <f t="shared" si="59"/>
        <v>1</v>
      </c>
      <c r="AO175" s="288">
        <f>+Octobre!W21</f>
        <v>5.9999999999999956</v>
      </c>
      <c r="AP175" s="288" t="str">
        <f>+Octobre!X21</f>
        <v/>
      </c>
      <c r="AQ175" s="289">
        <f>+Octobre!AF21</f>
        <v>0</v>
      </c>
      <c r="AR175" s="289">
        <f t="shared" si="60"/>
        <v>0</v>
      </c>
      <c r="AS175" s="289" t="str">
        <f>+Octobre!AE21</f>
        <v/>
      </c>
      <c r="AT175" s="289">
        <f>+Octobre!J21</f>
        <v>0</v>
      </c>
      <c r="AU175" s="279">
        <f t="shared" si="56"/>
        <v>43.916666666666657</v>
      </c>
      <c r="AV175" s="178">
        <f t="shared" si="48"/>
        <v>0</v>
      </c>
      <c r="AW175" s="179">
        <f>+IF(WEEKDAY(AL177)=1,SUM(AU$169:AU175),"")</f>
        <v>43.916666666666657</v>
      </c>
      <c r="AX175" s="386"/>
    </row>
    <row r="176" spans="37:50" ht="15">
      <c r="AK176" s="975" t="str">
        <f t="shared" si="54"/>
        <v/>
      </c>
      <c r="AL176" s="286">
        <f t="shared" si="61"/>
        <v>43757</v>
      </c>
      <c r="AM176" s="287">
        <f>+Octobre!D22</f>
        <v>0</v>
      </c>
      <c r="AN176" s="287" t="str">
        <f t="shared" si="59"/>
        <v/>
      </c>
      <c r="AO176" s="288" t="str">
        <f>+Octobre!W22</f>
        <v/>
      </c>
      <c r="AP176" s="288" t="str">
        <f>+Octobre!X22</f>
        <v/>
      </c>
      <c r="AQ176" s="289">
        <f>+Octobre!AF22</f>
        <v>0</v>
      </c>
      <c r="AR176" s="289">
        <f t="shared" si="60"/>
        <v>0</v>
      </c>
      <c r="AS176" s="289" t="str">
        <f>+Octobre!AE22</f>
        <v/>
      </c>
      <c r="AT176" s="289">
        <f>+Octobre!J22</f>
        <v>0</v>
      </c>
      <c r="AU176" s="279" t="str">
        <f t="shared" si="56"/>
        <v/>
      </c>
      <c r="AV176" s="178" t="str">
        <f t="shared" si="48"/>
        <v/>
      </c>
      <c r="AW176" s="179" t="str">
        <f>+IF(WEEKDAY(AL178)=1,SUM(AU$169:AU176),"")</f>
        <v/>
      </c>
      <c r="AX176" s="386"/>
    </row>
    <row r="177" spans="37:56" ht="15">
      <c r="AK177" s="975" t="str">
        <f t="shared" si="54"/>
        <v/>
      </c>
      <c r="AL177" s="286">
        <f t="shared" si="61"/>
        <v>43758</v>
      </c>
      <c r="AM177" s="287">
        <f>+Octobre!D23</f>
        <v>0</v>
      </c>
      <c r="AN177" s="287" t="str">
        <f t="shared" si="59"/>
        <v/>
      </c>
      <c r="AO177" s="288" t="str">
        <f>+Octobre!W23</f>
        <v/>
      </c>
      <c r="AP177" s="288" t="str">
        <f>+Octobre!X23</f>
        <v/>
      </c>
      <c r="AQ177" s="289">
        <f>+Octobre!AF23</f>
        <v>0</v>
      </c>
      <c r="AR177" s="289">
        <f t="shared" si="60"/>
        <v>0</v>
      </c>
      <c r="AS177" s="289" t="str">
        <f>+Octobre!AE23</f>
        <v/>
      </c>
      <c r="AT177" s="289">
        <f>+Octobre!J23</f>
        <v>0</v>
      </c>
      <c r="AU177" s="279" t="str">
        <f t="shared" si="56"/>
        <v/>
      </c>
      <c r="AV177" s="178" t="str">
        <f t="shared" si="48"/>
        <v/>
      </c>
      <c r="AW177" s="179" t="str">
        <f>+IF(WEEKDAY(AL179)=1,SUM(AU$169:AU177),"")</f>
        <v/>
      </c>
      <c r="AX177" s="386"/>
    </row>
    <row r="178" spans="37:56" ht="15">
      <c r="AK178" s="975" t="str">
        <f t="shared" si="54"/>
        <v/>
      </c>
      <c r="AL178" s="286">
        <f t="shared" si="61"/>
        <v>43759</v>
      </c>
      <c r="AM178" s="287" t="str">
        <f>+Octobre!D24</f>
        <v>M</v>
      </c>
      <c r="AN178" s="287">
        <f t="shared" si="59"/>
        <v>1</v>
      </c>
      <c r="AO178" s="288">
        <f>+Octobre!W24</f>
        <v>7.7500000000000009</v>
      </c>
      <c r="AP178" s="288" t="str">
        <f>+Octobre!X24</f>
        <v/>
      </c>
      <c r="AQ178" s="289">
        <f>+Octobre!AF24</f>
        <v>0</v>
      </c>
      <c r="AR178" s="289">
        <f t="shared" si="60"/>
        <v>0</v>
      </c>
      <c r="AS178" s="289" t="str">
        <f>+Octobre!AE24</f>
        <v/>
      </c>
      <c r="AT178" s="289">
        <f>+Octobre!J24</f>
        <v>0</v>
      </c>
      <c r="AU178" s="279" t="str">
        <f t="shared" si="56"/>
        <v/>
      </c>
      <c r="AV178" s="178" t="str">
        <f t="shared" si="48"/>
        <v/>
      </c>
      <c r="AW178" s="179" t="str">
        <f>+IF(WEEKDAY(AL180)=1,SUM(AU$169:AU178),"")</f>
        <v/>
      </c>
      <c r="AX178" s="386"/>
    </row>
    <row r="179" spans="37:56" ht="15">
      <c r="AK179" s="975" t="str">
        <f t="shared" si="54"/>
        <v/>
      </c>
      <c r="AL179" s="286">
        <f t="shared" si="61"/>
        <v>43760</v>
      </c>
      <c r="AM179" s="287" t="str">
        <f>+Octobre!D25</f>
        <v>M</v>
      </c>
      <c r="AN179" s="287">
        <f t="shared" si="59"/>
        <v>1</v>
      </c>
      <c r="AO179" s="288">
        <f>+Octobre!W25</f>
        <v>7.7500000000000009</v>
      </c>
      <c r="AP179" s="288" t="str">
        <f>+Octobre!X25</f>
        <v/>
      </c>
      <c r="AQ179" s="289">
        <f>+Octobre!AF25</f>
        <v>0</v>
      </c>
      <c r="AR179" s="289">
        <f t="shared" si="60"/>
        <v>0</v>
      </c>
      <c r="AS179" s="289" t="str">
        <f>+Octobre!AE25</f>
        <v/>
      </c>
      <c r="AT179" s="289">
        <f>+Octobre!J25</f>
        <v>0</v>
      </c>
      <c r="AU179" s="279" t="str">
        <f t="shared" si="56"/>
        <v/>
      </c>
      <c r="AV179" s="178" t="str">
        <f t="shared" si="48"/>
        <v/>
      </c>
      <c r="AW179" s="179" t="str">
        <f>+IF(WEEKDAY(AL181)=1,SUM(AU$169:AU179),"")</f>
        <v/>
      </c>
      <c r="AX179" s="386"/>
    </row>
    <row r="180" spans="37:56" ht="15">
      <c r="AK180" s="975" t="str">
        <f t="shared" si="54"/>
        <v/>
      </c>
      <c r="AL180" s="286">
        <f t="shared" si="61"/>
        <v>43761</v>
      </c>
      <c r="AM180" s="287" t="str">
        <f>+Octobre!D26</f>
        <v>M</v>
      </c>
      <c r="AN180" s="287">
        <f t="shared" si="59"/>
        <v>1</v>
      </c>
      <c r="AO180" s="288">
        <f>+Octobre!W26</f>
        <v>7.7500000000000009</v>
      </c>
      <c r="AP180" s="288" t="str">
        <f>+Octobre!X26</f>
        <v/>
      </c>
      <c r="AQ180" s="289">
        <f>+Octobre!AF26</f>
        <v>0</v>
      </c>
      <c r="AR180" s="289">
        <f t="shared" si="60"/>
        <v>0</v>
      </c>
      <c r="AS180" s="289" t="str">
        <f>+Octobre!AE26</f>
        <v/>
      </c>
      <c r="AT180" s="289">
        <f>+Octobre!J26</f>
        <v>0</v>
      </c>
      <c r="AU180" s="279" t="str">
        <f t="shared" si="56"/>
        <v/>
      </c>
      <c r="AV180" s="178" t="str">
        <f t="shared" si="48"/>
        <v/>
      </c>
      <c r="AW180" s="179" t="str">
        <f>+IF(WEEKDAY(AL182)=1,SUM(AU$169:AU180),"")</f>
        <v/>
      </c>
      <c r="AX180" s="386"/>
    </row>
    <row r="181" spans="37:56" ht="15">
      <c r="AK181" s="975" t="str">
        <f t="shared" si="54"/>
        <v/>
      </c>
      <c r="AL181" s="286">
        <f t="shared" si="61"/>
        <v>43762</v>
      </c>
      <c r="AM181" s="287" t="str">
        <f>+Octobre!D27</f>
        <v>M</v>
      </c>
      <c r="AN181" s="287">
        <f t="shared" si="59"/>
        <v>1</v>
      </c>
      <c r="AO181" s="288">
        <f>+Octobre!W27</f>
        <v>7.7500000000000009</v>
      </c>
      <c r="AP181" s="288" t="str">
        <f>+Octobre!X27</f>
        <v/>
      </c>
      <c r="AQ181" s="289">
        <f>+Octobre!AF27</f>
        <v>0</v>
      </c>
      <c r="AR181" s="289">
        <f t="shared" si="60"/>
        <v>0</v>
      </c>
      <c r="AS181" s="289" t="str">
        <f>+Octobre!AE27</f>
        <v/>
      </c>
      <c r="AT181" s="289">
        <f>+Octobre!J27</f>
        <v>0</v>
      </c>
      <c r="AU181" s="279" t="str">
        <f t="shared" si="56"/>
        <v/>
      </c>
      <c r="AV181" s="178" t="str">
        <f t="shared" si="48"/>
        <v/>
      </c>
      <c r="AW181" s="179" t="str">
        <f>+IF(WEEKDAY(AL183)=1,SUM(AU$169:AU181),"")</f>
        <v/>
      </c>
      <c r="AX181" s="386"/>
    </row>
    <row r="182" spans="37:56" ht="15">
      <c r="AK182" s="975" t="str">
        <f t="shared" si="54"/>
        <v/>
      </c>
      <c r="AL182" s="286">
        <f t="shared" si="61"/>
        <v>43763</v>
      </c>
      <c r="AM182" s="287" t="str">
        <f>+Octobre!D28</f>
        <v>M</v>
      </c>
      <c r="AN182" s="287">
        <f t="shared" si="59"/>
        <v>1</v>
      </c>
      <c r="AO182" s="288">
        <f>+Octobre!W28</f>
        <v>7.7500000000000009</v>
      </c>
      <c r="AP182" s="288" t="str">
        <f>+Octobre!X28</f>
        <v/>
      </c>
      <c r="AQ182" s="289">
        <f>+Octobre!AF28</f>
        <v>0</v>
      </c>
      <c r="AR182" s="289">
        <f t="shared" si="60"/>
        <v>0</v>
      </c>
      <c r="AS182" s="289" t="str">
        <f>+Octobre!AE28</f>
        <v/>
      </c>
      <c r="AT182" s="289">
        <f>+Octobre!J28</f>
        <v>0</v>
      </c>
      <c r="AU182" s="279">
        <f t="shared" si="56"/>
        <v>38.750000000000007</v>
      </c>
      <c r="AV182" s="178">
        <f t="shared" si="48"/>
        <v>0</v>
      </c>
      <c r="AW182" s="179">
        <f>+IF(WEEKDAY(AL184)=1,SUM(AU$169:AU182),"")</f>
        <v>82.666666666666657</v>
      </c>
      <c r="AX182" s="386"/>
    </row>
    <row r="183" spans="37:56" ht="15">
      <c r="AK183" s="975" t="str">
        <f t="shared" si="54"/>
        <v/>
      </c>
      <c r="AL183" s="286">
        <f t="shared" si="61"/>
        <v>43764</v>
      </c>
      <c r="AM183" s="287">
        <f>+Octobre!D29</f>
        <v>0</v>
      </c>
      <c r="AN183" s="287" t="str">
        <f t="shared" si="59"/>
        <v/>
      </c>
      <c r="AO183" s="288" t="str">
        <f>+Octobre!W29</f>
        <v/>
      </c>
      <c r="AP183" s="288" t="str">
        <f>+Octobre!X29</f>
        <v/>
      </c>
      <c r="AQ183" s="289">
        <f>+Octobre!AF29</f>
        <v>0</v>
      </c>
      <c r="AR183" s="289">
        <f t="shared" si="60"/>
        <v>0</v>
      </c>
      <c r="AS183" s="289" t="str">
        <f>+Octobre!AE29</f>
        <v/>
      </c>
      <c r="AT183" s="289">
        <f>+Octobre!J29</f>
        <v>0</v>
      </c>
      <c r="AU183" s="279" t="str">
        <f t="shared" si="56"/>
        <v/>
      </c>
      <c r="AV183" s="178" t="str">
        <f t="shared" si="48"/>
        <v/>
      </c>
      <c r="AW183" s="179" t="str">
        <f>+IF(WEEKDAY(AL185)=1,SUM(AU$169:AU183),"")</f>
        <v/>
      </c>
      <c r="AX183" s="386"/>
    </row>
    <row r="184" spans="37:56" ht="15">
      <c r="AK184" s="975" t="str">
        <f t="shared" si="54"/>
        <v/>
      </c>
      <c r="AL184" s="286">
        <f t="shared" si="61"/>
        <v>43765</v>
      </c>
      <c r="AM184" s="287" t="str">
        <f>+Octobre!D30</f>
        <v>N</v>
      </c>
      <c r="AN184" s="287">
        <f t="shared" si="59"/>
        <v>1</v>
      </c>
      <c r="AO184" s="288">
        <f>+Octobre!W30</f>
        <v>7.666666666666667</v>
      </c>
      <c r="AP184" s="288" t="str">
        <f>+Octobre!X30</f>
        <v/>
      </c>
      <c r="AQ184" s="289">
        <f>+Octobre!AF30</f>
        <v>0</v>
      </c>
      <c r="AR184" s="289">
        <f t="shared" si="60"/>
        <v>0</v>
      </c>
      <c r="AS184" s="289" t="str">
        <f>+Octobre!AE30</f>
        <v/>
      </c>
      <c r="AT184" s="289">
        <f>+Octobre!J30</f>
        <v>0</v>
      </c>
      <c r="AU184" s="279" t="str">
        <f t="shared" si="56"/>
        <v/>
      </c>
      <c r="AV184" s="178" t="str">
        <f t="shared" si="48"/>
        <v/>
      </c>
      <c r="AW184" s="179" t="str">
        <f>+IF(WEEKDAY(AL186)=1,SUM(AU$169:AU184),"")</f>
        <v/>
      </c>
      <c r="AX184" s="386"/>
    </row>
    <row r="185" spans="37:56" ht="15.75" thickBot="1">
      <c r="AK185" s="975" t="str">
        <f t="shared" si="54"/>
        <v/>
      </c>
      <c r="AL185" s="286">
        <f t="shared" si="61"/>
        <v>43766</v>
      </c>
      <c r="AM185" s="287" t="str">
        <f>+Octobre!D31</f>
        <v>N</v>
      </c>
      <c r="AN185" s="287">
        <f t="shared" si="59"/>
        <v>1</v>
      </c>
      <c r="AO185" s="288">
        <f>+Octobre!W31</f>
        <v>7.7499999999999991</v>
      </c>
      <c r="AP185" s="288" t="str">
        <f>+Octobre!X31</f>
        <v/>
      </c>
      <c r="AQ185" s="289">
        <f>+Octobre!AF31</f>
        <v>0</v>
      </c>
      <c r="AR185" s="289">
        <f t="shared" si="60"/>
        <v>0</v>
      </c>
      <c r="AS185" s="289" t="str">
        <f>+Octobre!AE31</f>
        <v/>
      </c>
      <c r="AT185" s="289">
        <f>+Octobre!J31</f>
        <v>0</v>
      </c>
      <c r="AU185" s="279" t="str">
        <f t="shared" si="56"/>
        <v/>
      </c>
      <c r="AV185" s="178" t="str">
        <f t="shared" si="48"/>
        <v/>
      </c>
      <c r="AW185" s="179" t="str">
        <f>+IF(WEEKDAY(AL187)=1,SUM(AU$169:AU185),"")</f>
        <v/>
      </c>
      <c r="AX185" s="386"/>
      <c r="AY185" s="177"/>
      <c r="AZ185" s="177"/>
      <c r="BA185" s="177"/>
      <c r="BB185" s="177"/>
      <c r="BC185" s="177"/>
      <c r="BD185" s="177"/>
    </row>
    <row r="186" spans="37:56" ht="15.75" thickBot="1">
      <c r="AK186" s="975" t="str">
        <f t="shared" si="54"/>
        <v/>
      </c>
      <c r="AL186" s="286">
        <f t="shared" si="61"/>
        <v>43767</v>
      </c>
      <c r="AM186" s="287" t="str">
        <f>+Octobre!D32</f>
        <v>N</v>
      </c>
      <c r="AN186" s="287">
        <f t="shared" si="59"/>
        <v>1</v>
      </c>
      <c r="AO186" s="288">
        <f>+Octobre!W32</f>
        <v>7.7499999999999991</v>
      </c>
      <c r="AP186" s="288" t="str">
        <f>+Octobre!X32</f>
        <v/>
      </c>
      <c r="AQ186" s="289">
        <f>+Octobre!AF32</f>
        <v>0</v>
      </c>
      <c r="AR186" s="289">
        <f t="shared" si="60"/>
        <v>0</v>
      </c>
      <c r="AS186" s="289" t="str">
        <f>+Octobre!AE32</f>
        <v/>
      </c>
      <c r="AT186" s="289">
        <f>+Octobre!J32</f>
        <v>0</v>
      </c>
      <c r="AU186" s="279" t="str">
        <f t="shared" si="56"/>
        <v/>
      </c>
      <c r="AV186" s="178" t="str">
        <f t="shared" si="48"/>
        <v/>
      </c>
      <c r="AW186" s="179" t="str">
        <f>+IF(WEEKDAY(AL188)=1,SUM(AU$169:AU186),"")</f>
        <v/>
      </c>
      <c r="AX186" s="223">
        <f>+IF(WEEKDAY($AL$24)=1,SUM(AN164:AN191),IF(WEEKDAY($AL$25)=1,SUM(AN165:AN192),IF(WEEKDAY($AL$26)=1,SUM(AN166:AN193),IF(WEEKDAY($AL$27)=1,SUM(AN167:AN194),IF(WEEKDAY($AL$28)=1,SUM(AN168:AN195),IF(WEEKDAY($AL$29)=1,SUM(AN169:AN196),IF(WEEKDAY($AL$30)=1,SUM(AN170:AN197),"")))))))</f>
        <v>20</v>
      </c>
      <c r="AY186" s="223">
        <f t="shared" ref="AY186:BD186" si="62">+IF(WEEKDAY($AL$24)=1,SUM(AO164:AO191),IF(WEEKDAY($AL$25)=1,SUM(AO165:AO192),IF(WEEKDAY($AL$26)=1,SUM(AO166:AO193),IF(WEEKDAY($AL$27)=1,SUM(AO167:AO194),IF(WEEKDAY($AL$28)=1,SUM(AO168:AO195),IF(WEEKDAY($AL$29)=1,SUM(AO169:AO196),IF(WEEKDAY($AL$30)=1,SUM(AO170:AO197),"")))))))</f>
        <v>152.33333333333331</v>
      </c>
      <c r="AZ186" s="223">
        <f t="shared" si="62"/>
        <v>0</v>
      </c>
      <c r="BA186" s="223">
        <f t="shared" si="62"/>
        <v>6.9</v>
      </c>
      <c r="BB186" s="223">
        <f t="shared" si="62"/>
        <v>6.9</v>
      </c>
      <c r="BC186" s="223">
        <f t="shared" si="62"/>
        <v>0</v>
      </c>
      <c r="BD186" s="223">
        <f t="shared" si="62"/>
        <v>0</v>
      </c>
    </row>
    <row r="187" spans="37:56" ht="15.75" thickBot="1">
      <c r="AK187" s="975" t="str">
        <f t="shared" si="54"/>
        <v/>
      </c>
      <c r="AL187" s="286">
        <f t="shared" si="61"/>
        <v>43768</v>
      </c>
      <c r="AM187" s="287" t="str">
        <f>+Octobre!D33</f>
        <v>N</v>
      </c>
      <c r="AN187" s="287">
        <f t="shared" si="59"/>
        <v>1</v>
      </c>
      <c r="AO187" s="288">
        <f>+Octobre!W33</f>
        <v>7.7499999999999991</v>
      </c>
      <c r="AP187" s="288" t="str">
        <f>+Octobre!X33</f>
        <v/>
      </c>
      <c r="AQ187" s="289">
        <f>+Octobre!AF33</f>
        <v>0</v>
      </c>
      <c r="AR187" s="289">
        <f t="shared" si="60"/>
        <v>0</v>
      </c>
      <c r="AS187" s="289" t="str">
        <f>+Octobre!AE33</f>
        <v/>
      </c>
      <c r="AT187" s="289">
        <f>+Octobre!J33</f>
        <v>0</v>
      </c>
      <c r="AU187" s="279" t="str">
        <f t="shared" si="56"/>
        <v/>
      </c>
      <c r="AV187" s="178" t="str">
        <f t="shared" si="48"/>
        <v/>
      </c>
      <c r="AW187" s="179" t="str">
        <f>+IF(WEEKDAY(AL189)=1,SUM(AU$169:AU187),"")</f>
        <v/>
      </c>
      <c r="AX187" s="386"/>
    </row>
    <row r="188" spans="37:56" ht="16.5" thickTop="1" thickBot="1">
      <c r="AK188" s="975" t="str">
        <f t="shared" si="54"/>
        <v/>
      </c>
      <c r="AL188" s="286">
        <f t="shared" si="61"/>
        <v>43769</v>
      </c>
      <c r="AM188" s="287">
        <f>+Octobre!D34</f>
        <v>0</v>
      </c>
      <c r="AN188" s="287" t="str">
        <f t="shared" si="59"/>
        <v/>
      </c>
      <c r="AO188" s="288" t="str">
        <f>+Octobre!W34</f>
        <v/>
      </c>
      <c r="AP188" s="288" t="str">
        <f>+Octobre!X34</f>
        <v/>
      </c>
      <c r="AQ188" s="289">
        <f>+Octobre!AF34</f>
        <v>0</v>
      </c>
      <c r="AR188" s="289">
        <f t="shared" si="60"/>
        <v>0</v>
      </c>
      <c r="AS188" s="289" t="str">
        <f>+Octobre!AE34</f>
        <v/>
      </c>
      <c r="AT188" s="289">
        <f>+Octobre!J34</f>
        <v>0</v>
      </c>
      <c r="AU188" s="279" t="str">
        <f t="shared" si="56"/>
        <v/>
      </c>
      <c r="AV188" s="178" t="str">
        <f t="shared" si="48"/>
        <v/>
      </c>
      <c r="AW188" s="179" t="str">
        <f>+IF(WEEKDAY(AL190)=1,SUM(AU$169:AU188),"")</f>
        <v/>
      </c>
      <c r="AX188" s="386"/>
      <c r="AZ188" s="936" t="str">
        <f>+IF(WEEKDAY(AL$26)=1,"Fin cycle 6",IF(WEEKDAY(AL$27)=1,"Fin cycle 6",IF(WEEKDAY(AL$28)=1,"Fin cycle 6",IF(WEEKDAY(AL$29)=1,"Fin cycle 6",IF(WEEKDAY(AL$30)=1,"Fin cycle 6",IF(WEEKDAY(AL$31)=1,"Fin cycle 6",IF(WEEKDAY(AL$32)=1,"Fin cycle 6","")))))))</f>
        <v>Fin cycle 6</v>
      </c>
      <c r="BA188" s="937"/>
      <c r="BB188" s="275">
        <f>SUM(AY186:AZ186)</f>
        <v>152.33333333333331</v>
      </c>
      <c r="BC188" s="590"/>
    </row>
    <row r="189" spans="37:56" ht="15">
      <c r="AK189" s="975" t="str">
        <f t="shared" si="54"/>
        <v/>
      </c>
      <c r="AL189" s="286">
        <f t="shared" si="61"/>
        <v>43770</v>
      </c>
      <c r="AM189" s="287">
        <f>+Novembre!D4</f>
        <v>0</v>
      </c>
      <c r="AN189" s="287" t="str">
        <f t="shared" ref="AN189" si="63">+IF(AM189=0,"",IF(AM189="CP","",1))</f>
        <v/>
      </c>
      <c r="AO189" s="288" t="str">
        <f>+Novembre!W4</f>
        <v/>
      </c>
      <c r="AP189" s="289" t="str">
        <f>+Novembre!X4</f>
        <v/>
      </c>
      <c r="AQ189" s="289">
        <f>+Novembre!AF4</f>
        <v>6.9</v>
      </c>
      <c r="AR189" s="289">
        <f t="shared" ref="AR189" si="64">+IF(AS189&lt;&gt;"","",AQ189)</f>
        <v>6.9</v>
      </c>
      <c r="AS189" s="289" t="str">
        <f>+Novembre!AE4</f>
        <v/>
      </c>
      <c r="AT189" s="289">
        <f>+Novembre!J4</f>
        <v>0</v>
      </c>
      <c r="AU189" s="279">
        <f t="shared" ref="AU189:AU196" si="65">+IF(WEEKDAY(AL191)=1,SUM(AO183:AP189),"")</f>
        <v>30.916666666666664</v>
      </c>
      <c r="AV189" s="178">
        <f t="shared" ref="AV189:AV252" si="66">+IF(WEEKDAY(AL191)=1,SUM(AP183:AP189),"")</f>
        <v>0</v>
      </c>
      <c r="AW189" s="179">
        <f>+IF(WEEKDAY(AL191)=1,SUM(AU$169:AU189),"")</f>
        <v>113.58333333333331</v>
      </c>
      <c r="AX189" s="386"/>
    </row>
    <row r="190" spans="37:56" ht="15">
      <c r="AK190" s="975" t="str">
        <f t="shared" si="54"/>
        <v/>
      </c>
      <c r="AL190" s="286">
        <f t="shared" si="61"/>
        <v>43771</v>
      </c>
      <c r="AM190" s="287">
        <f>+Novembre!D5</f>
        <v>0</v>
      </c>
      <c r="AN190" s="287" t="str">
        <f t="shared" ref="AN190:AN218" si="67">+IF(AM190=0,"",IF(AM190="CP","",1))</f>
        <v/>
      </c>
      <c r="AO190" s="288" t="str">
        <f>+Novembre!W5</f>
        <v/>
      </c>
      <c r="AP190" s="289" t="str">
        <f>+Novembre!X5</f>
        <v/>
      </c>
      <c r="AQ190" s="289" t="str">
        <f>+Novembre!AF5</f>
        <v/>
      </c>
      <c r="AR190" s="289" t="str">
        <f t="shared" ref="AR190:AR218" si="68">+IF(AS190&lt;&gt;"","",AQ190)</f>
        <v/>
      </c>
      <c r="AS190" s="289" t="str">
        <f>+Novembre!AE5</f>
        <v/>
      </c>
      <c r="AT190" s="289">
        <f>+Novembre!J5</f>
        <v>0</v>
      </c>
      <c r="AU190" s="279" t="str">
        <f t="shared" si="65"/>
        <v/>
      </c>
      <c r="AV190" s="178" t="str">
        <f t="shared" si="66"/>
        <v/>
      </c>
      <c r="AW190" s="179" t="str">
        <f>+IF(WEEKDAY(AL192)=1,SUM(AU$169:AU190),"")</f>
        <v/>
      </c>
      <c r="AX190" s="386"/>
    </row>
    <row r="191" spans="37:56" ht="15">
      <c r="AK191" s="975" t="str">
        <f t="shared" si="54"/>
        <v/>
      </c>
      <c r="AL191" s="286">
        <f t="shared" si="61"/>
        <v>43772</v>
      </c>
      <c r="AM191" s="287" t="str">
        <f>+Novembre!D6</f>
        <v>N</v>
      </c>
      <c r="AN191" s="287">
        <f t="shared" si="67"/>
        <v>1</v>
      </c>
      <c r="AO191" s="288">
        <f>+Novembre!W6</f>
        <v>7.7499999999999991</v>
      </c>
      <c r="AP191" s="289" t="str">
        <f>+Novembre!X6</f>
        <v/>
      </c>
      <c r="AQ191" s="289" t="str">
        <f>+Novembre!AF6</f>
        <v/>
      </c>
      <c r="AR191" s="289" t="str">
        <f t="shared" si="68"/>
        <v/>
      </c>
      <c r="AS191" s="289" t="str">
        <f>+Novembre!AE6</f>
        <v/>
      </c>
      <c r="AT191" s="289">
        <f>+Novembre!J6</f>
        <v>0</v>
      </c>
      <c r="AU191" s="279" t="str">
        <f t="shared" si="65"/>
        <v/>
      </c>
      <c r="AV191" s="178" t="str">
        <f t="shared" si="66"/>
        <v/>
      </c>
      <c r="AW191" s="179" t="str">
        <f>+IF(WEEKDAY(AL193)=1,SUM(AU$169:AU191),"")</f>
        <v/>
      </c>
      <c r="AX191" s="386"/>
    </row>
    <row r="192" spans="37:56" ht="15">
      <c r="AK192" s="975">
        <f t="shared" si="54"/>
        <v>7</v>
      </c>
      <c r="AL192" s="286">
        <f t="shared" si="61"/>
        <v>43773</v>
      </c>
      <c r="AM192" s="287" t="str">
        <f>+Novembre!D7</f>
        <v>N</v>
      </c>
      <c r="AN192" s="287">
        <f t="shared" si="67"/>
        <v>1</v>
      </c>
      <c r="AO192" s="288">
        <f>+Novembre!W7</f>
        <v>7.7499999999999991</v>
      </c>
      <c r="AP192" s="289" t="str">
        <f>+Novembre!X7</f>
        <v/>
      </c>
      <c r="AQ192" s="289" t="str">
        <f>+Novembre!AF7</f>
        <v/>
      </c>
      <c r="AR192" s="289" t="str">
        <f t="shared" si="68"/>
        <v/>
      </c>
      <c r="AS192" s="289" t="str">
        <f>+Novembre!AE7</f>
        <v/>
      </c>
      <c r="AT192" s="289">
        <f>+Novembre!J7</f>
        <v>0</v>
      </c>
      <c r="AU192" s="279" t="str">
        <f t="shared" si="65"/>
        <v/>
      </c>
      <c r="AV192" s="178" t="str">
        <f t="shared" si="66"/>
        <v/>
      </c>
      <c r="AW192" s="179" t="str">
        <f>+IF(WEEKDAY(AL194)=1,SUM(AU$169:AU192),"")</f>
        <v/>
      </c>
      <c r="AX192" s="386"/>
    </row>
    <row r="193" spans="37:50" ht="15">
      <c r="AK193" s="975" t="str">
        <f t="shared" si="54"/>
        <v/>
      </c>
      <c r="AL193" s="286">
        <f t="shared" si="61"/>
        <v>43774</v>
      </c>
      <c r="AM193" s="287" t="str">
        <f>+Novembre!D8</f>
        <v>N</v>
      </c>
      <c r="AN193" s="287">
        <f t="shared" si="67"/>
        <v>1</v>
      </c>
      <c r="AO193" s="288">
        <f>+Novembre!W8</f>
        <v>7.7499999999999991</v>
      </c>
      <c r="AP193" s="289" t="str">
        <f>+Novembre!X8</f>
        <v/>
      </c>
      <c r="AQ193" s="289" t="str">
        <f>+Novembre!AF8</f>
        <v/>
      </c>
      <c r="AR193" s="289" t="str">
        <f t="shared" si="68"/>
        <v/>
      </c>
      <c r="AS193" s="289" t="str">
        <f>+Novembre!AE8</f>
        <v/>
      </c>
      <c r="AT193" s="289">
        <f>+Novembre!J8</f>
        <v>0</v>
      </c>
      <c r="AU193" s="279" t="str">
        <f t="shared" si="65"/>
        <v/>
      </c>
      <c r="AV193" s="178" t="str">
        <f t="shared" si="66"/>
        <v/>
      </c>
      <c r="AW193" s="179" t="str">
        <f>+IF(WEEKDAY(AL195)=1,SUM(AU$169:AU193),"")</f>
        <v/>
      </c>
      <c r="AX193" s="386"/>
    </row>
    <row r="194" spans="37:50" ht="15">
      <c r="AK194" s="975" t="str">
        <f t="shared" si="54"/>
        <v/>
      </c>
      <c r="AL194" s="286">
        <f t="shared" si="61"/>
        <v>43775</v>
      </c>
      <c r="AM194" s="287" t="str">
        <f>+Novembre!D9</f>
        <v>N</v>
      </c>
      <c r="AN194" s="287">
        <f t="shared" si="67"/>
        <v>1</v>
      </c>
      <c r="AO194" s="288">
        <f>+Novembre!W9</f>
        <v>7.7499999999999991</v>
      </c>
      <c r="AP194" s="289" t="str">
        <f>+Novembre!X9</f>
        <v/>
      </c>
      <c r="AQ194" s="289" t="str">
        <f>+Novembre!AF9</f>
        <v/>
      </c>
      <c r="AR194" s="289" t="str">
        <f t="shared" si="68"/>
        <v/>
      </c>
      <c r="AS194" s="289" t="str">
        <f>+Novembre!AE9</f>
        <v/>
      </c>
      <c r="AT194" s="289">
        <f>+Novembre!J9</f>
        <v>0</v>
      </c>
      <c r="AU194" s="279" t="str">
        <f t="shared" si="65"/>
        <v/>
      </c>
      <c r="AV194" s="178" t="str">
        <f t="shared" si="66"/>
        <v/>
      </c>
      <c r="AW194" s="179" t="str">
        <f>+IF(WEEKDAY(AL196)=1,SUM(AU$169:AU194),"")</f>
        <v/>
      </c>
      <c r="AX194" s="386"/>
    </row>
    <row r="195" spans="37:50" ht="15">
      <c r="AK195" s="975" t="str">
        <f t="shared" si="54"/>
        <v/>
      </c>
      <c r="AL195" s="286">
        <f t="shared" si="61"/>
        <v>43776</v>
      </c>
      <c r="AM195" s="287" t="str">
        <f>+Novembre!D10</f>
        <v>N</v>
      </c>
      <c r="AN195" s="287">
        <f t="shared" si="67"/>
        <v>1</v>
      </c>
      <c r="AO195" s="288">
        <f>+Novembre!W10</f>
        <v>7.7499999999999991</v>
      </c>
      <c r="AP195" s="289" t="str">
        <f>+Novembre!X10</f>
        <v/>
      </c>
      <c r="AQ195" s="289" t="str">
        <f>+Novembre!AF10</f>
        <v/>
      </c>
      <c r="AR195" s="289" t="str">
        <f t="shared" si="68"/>
        <v/>
      </c>
      <c r="AS195" s="289" t="str">
        <f>+Novembre!AE10</f>
        <v/>
      </c>
      <c r="AT195" s="289">
        <f>+Novembre!J10</f>
        <v>0</v>
      </c>
      <c r="AU195" s="279" t="str">
        <f t="shared" si="65"/>
        <v/>
      </c>
      <c r="AV195" s="178" t="str">
        <f t="shared" si="66"/>
        <v/>
      </c>
      <c r="AW195" s="179" t="str">
        <f>+IF(WEEKDAY(AL197)=1,SUM(AU$169:AU195),"")</f>
        <v/>
      </c>
      <c r="AX195" s="386"/>
    </row>
    <row r="196" spans="37:50" ht="15">
      <c r="AK196" s="975" t="str">
        <f t="shared" si="54"/>
        <v/>
      </c>
      <c r="AL196" s="286">
        <f t="shared" si="61"/>
        <v>43777</v>
      </c>
      <c r="AM196" s="287">
        <f>+Novembre!D11</f>
        <v>0</v>
      </c>
      <c r="AN196" s="287" t="str">
        <f t="shared" si="67"/>
        <v/>
      </c>
      <c r="AO196" s="288" t="str">
        <f>+Novembre!W11</f>
        <v/>
      </c>
      <c r="AP196" s="289" t="str">
        <f>+Novembre!X11</f>
        <v/>
      </c>
      <c r="AQ196" s="289" t="str">
        <f>+Novembre!AF11</f>
        <v/>
      </c>
      <c r="AR196" s="289" t="str">
        <f t="shared" si="68"/>
        <v/>
      </c>
      <c r="AS196" s="289" t="str">
        <f>+Novembre!AE11</f>
        <v/>
      </c>
      <c r="AT196" s="289">
        <f>+Novembre!J11</f>
        <v>0</v>
      </c>
      <c r="AU196" s="279">
        <f t="shared" si="65"/>
        <v>38.749999999999993</v>
      </c>
      <c r="AV196" s="178">
        <f t="shared" si="66"/>
        <v>0</v>
      </c>
      <c r="AW196" s="179">
        <f>+IF(WEEKDAY(AL198)=1,SUM(AU$169:AU196),"")</f>
        <v>152.33333333333331</v>
      </c>
      <c r="AX196" s="386"/>
    </row>
    <row r="197" spans="37:50" ht="15">
      <c r="AK197" s="975" t="str">
        <f t="shared" si="54"/>
        <v/>
      </c>
      <c r="AL197" s="286">
        <f t="shared" si="61"/>
        <v>43778</v>
      </c>
      <c r="AM197" s="287">
        <f>+Novembre!D12</f>
        <v>0</v>
      </c>
      <c r="AN197" s="287" t="str">
        <f t="shared" si="67"/>
        <v/>
      </c>
      <c r="AO197" s="288" t="str">
        <f>+Novembre!W12</f>
        <v/>
      </c>
      <c r="AP197" s="289" t="str">
        <f>+Novembre!X12</f>
        <v/>
      </c>
      <c r="AQ197" s="289" t="str">
        <f>+Novembre!AF12</f>
        <v/>
      </c>
      <c r="AR197" s="289" t="str">
        <f t="shared" si="68"/>
        <v/>
      </c>
      <c r="AS197" s="289" t="str">
        <f>+Novembre!AE12</f>
        <v/>
      </c>
      <c r="AT197" s="289">
        <f>+Novembre!J12</f>
        <v>0</v>
      </c>
      <c r="AU197" s="279"/>
      <c r="AV197" s="178" t="str">
        <f t="shared" si="66"/>
        <v/>
      </c>
      <c r="AW197" s="179" t="str">
        <f>+IF(WEEKDAY(AL199)=1,SUM(AU$197:AU197),"")</f>
        <v/>
      </c>
      <c r="AX197" s="386"/>
    </row>
    <row r="198" spans="37:50" ht="15">
      <c r="AK198" s="975" t="str">
        <f t="shared" si="54"/>
        <v/>
      </c>
      <c r="AL198" s="286">
        <f t="shared" si="61"/>
        <v>43779</v>
      </c>
      <c r="AM198" s="287" t="str">
        <f>+Novembre!D13</f>
        <v>M</v>
      </c>
      <c r="AN198" s="287">
        <f t="shared" si="67"/>
        <v>1</v>
      </c>
      <c r="AO198" s="288">
        <f>+Novembre!W13</f>
        <v>7.666666666666667</v>
      </c>
      <c r="AP198" s="289" t="str">
        <f>+Novembre!X13</f>
        <v/>
      </c>
      <c r="AQ198" s="289" t="str">
        <f>+Novembre!AF13</f>
        <v/>
      </c>
      <c r="AR198" s="289" t="str">
        <f t="shared" si="68"/>
        <v/>
      </c>
      <c r="AS198" s="289" t="str">
        <f>+Novembre!AE13</f>
        <v/>
      </c>
      <c r="AT198" s="289">
        <f>+Novembre!J13</f>
        <v>0</v>
      </c>
      <c r="AU198" s="279" t="str">
        <f t="shared" ref="AU198:AU229" si="69">+IF(WEEKDAY(AL200)=1,SUM(AO192:AP198),"")</f>
        <v/>
      </c>
      <c r="AV198" s="178" t="str">
        <f t="shared" si="66"/>
        <v/>
      </c>
      <c r="AW198" s="179" t="str">
        <f>+IF(WEEKDAY(AL200)=1,SUM(AU$197:AU198),"")</f>
        <v/>
      </c>
      <c r="AX198" s="386"/>
    </row>
    <row r="199" spans="37:50" ht="15">
      <c r="AK199" s="975" t="str">
        <f t="shared" si="54"/>
        <v/>
      </c>
      <c r="AL199" s="286">
        <f t="shared" si="61"/>
        <v>43780</v>
      </c>
      <c r="AM199" s="287">
        <f>+Novembre!D14</f>
        <v>0</v>
      </c>
      <c r="AN199" s="287" t="str">
        <f t="shared" si="67"/>
        <v/>
      </c>
      <c r="AO199" s="288" t="str">
        <f>+Novembre!W14</f>
        <v/>
      </c>
      <c r="AP199" s="289" t="str">
        <f>+Novembre!X14</f>
        <v/>
      </c>
      <c r="AQ199" s="289">
        <f>+Novembre!AF14</f>
        <v>6.9</v>
      </c>
      <c r="AR199" s="289">
        <f t="shared" si="68"/>
        <v>6.9</v>
      </c>
      <c r="AS199" s="289" t="str">
        <f>+Novembre!AE14</f>
        <v/>
      </c>
      <c r="AT199" s="289">
        <f>+Novembre!J14</f>
        <v>0</v>
      </c>
      <c r="AU199" s="279" t="str">
        <f t="shared" si="69"/>
        <v/>
      </c>
      <c r="AV199" s="178" t="str">
        <f t="shared" si="66"/>
        <v/>
      </c>
      <c r="AW199" s="179" t="str">
        <f>+IF(WEEKDAY(AL201)=1,SUM(AU$197:AU199),"")</f>
        <v/>
      </c>
      <c r="AX199" s="386"/>
    </row>
    <row r="200" spans="37:50" ht="15">
      <c r="AK200" s="975" t="str">
        <f t="shared" si="54"/>
        <v/>
      </c>
      <c r="AL200" s="286">
        <f t="shared" si="61"/>
        <v>43781</v>
      </c>
      <c r="AM200" s="287" t="str">
        <f>+Novembre!D15</f>
        <v>J</v>
      </c>
      <c r="AN200" s="287">
        <f t="shared" si="67"/>
        <v>1</v>
      </c>
      <c r="AO200" s="288">
        <f>+Novembre!W15</f>
        <v>7.8333333333333348</v>
      </c>
      <c r="AP200" s="289" t="str">
        <f>+Novembre!X15</f>
        <v/>
      </c>
      <c r="AQ200" s="289" t="str">
        <f>+Novembre!AF15</f>
        <v/>
      </c>
      <c r="AR200" s="289" t="str">
        <f t="shared" si="68"/>
        <v/>
      </c>
      <c r="AS200" s="289" t="str">
        <f>+Novembre!AE15</f>
        <v/>
      </c>
      <c r="AT200" s="289">
        <f>+Novembre!J15</f>
        <v>0</v>
      </c>
      <c r="AU200" s="279" t="str">
        <f t="shared" si="69"/>
        <v/>
      </c>
      <c r="AV200" s="178" t="str">
        <f t="shared" si="66"/>
        <v/>
      </c>
      <c r="AW200" s="179" t="str">
        <f>+IF(WEEKDAY(AL202)=1,SUM(AU$197:AU200),"")</f>
        <v/>
      </c>
      <c r="AX200" s="386"/>
    </row>
    <row r="201" spans="37:50" ht="15">
      <c r="AK201" s="975" t="str">
        <f t="shared" si="54"/>
        <v/>
      </c>
      <c r="AL201" s="286">
        <f t="shared" si="61"/>
        <v>43782</v>
      </c>
      <c r="AM201" s="287" t="str">
        <f>+Novembre!D16</f>
        <v>J</v>
      </c>
      <c r="AN201" s="287">
        <f t="shared" si="67"/>
        <v>1</v>
      </c>
      <c r="AO201" s="288">
        <f>+Novembre!W16</f>
        <v>7.666666666666667</v>
      </c>
      <c r="AP201" s="289" t="str">
        <f>+Novembre!X16</f>
        <v/>
      </c>
      <c r="AQ201" s="289" t="str">
        <f>+Novembre!AF16</f>
        <v/>
      </c>
      <c r="AR201" s="289" t="str">
        <f t="shared" si="68"/>
        <v/>
      </c>
      <c r="AS201" s="289" t="str">
        <f>+Novembre!AE16</f>
        <v/>
      </c>
      <c r="AT201" s="289">
        <f>+Novembre!J16</f>
        <v>0</v>
      </c>
      <c r="AU201" s="279" t="str">
        <f t="shared" si="69"/>
        <v/>
      </c>
      <c r="AV201" s="178" t="str">
        <f t="shared" si="66"/>
        <v/>
      </c>
      <c r="AW201" s="179" t="str">
        <f>+IF(WEEKDAY(AL203)=1,SUM(AU$197:AU201),"")</f>
        <v/>
      </c>
      <c r="AX201" s="386"/>
    </row>
    <row r="202" spans="37:50" ht="15">
      <c r="AK202" s="975" t="str">
        <f t="shared" si="54"/>
        <v/>
      </c>
      <c r="AL202" s="286">
        <f t="shared" si="61"/>
        <v>43783</v>
      </c>
      <c r="AM202" s="287" t="str">
        <f>+Novembre!D17</f>
        <v>J</v>
      </c>
      <c r="AN202" s="287">
        <f t="shared" si="67"/>
        <v>1</v>
      </c>
      <c r="AO202" s="288">
        <f>+Novembre!W17</f>
        <v>7.8333333333333348</v>
      </c>
      <c r="AP202" s="289" t="str">
        <f>+Novembre!X17</f>
        <v/>
      </c>
      <c r="AQ202" s="289" t="str">
        <f>+Novembre!AF17</f>
        <v/>
      </c>
      <c r="AR202" s="289" t="str">
        <f t="shared" si="68"/>
        <v/>
      </c>
      <c r="AS202" s="289" t="str">
        <f>+Novembre!AE17</f>
        <v/>
      </c>
      <c r="AT202" s="289">
        <f>+Novembre!J17</f>
        <v>0</v>
      </c>
      <c r="AU202" s="279" t="str">
        <f t="shared" si="69"/>
        <v/>
      </c>
      <c r="AV202" s="178" t="str">
        <f t="shared" si="66"/>
        <v/>
      </c>
      <c r="AW202" s="179" t="str">
        <f>+IF(WEEKDAY(AL204)=1,SUM(AU$197:AU202),"")</f>
        <v/>
      </c>
      <c r="AX202" s="386"/>
    </row>
    <row r="203" spans="37:50" ht="15">
      <c r="AK203" s="975" t="str">
        <f t="shared" si="54"/>
        <v/>
      </c>
      <c r="AL203" s="286">
        <f t="shared" si="61"/>
        <v>43784</v>
      </c>
      <c r="AM203" s="287">
        <f>+Novembre!D18</f>
        <v>0</v>
      </c>
      <c r="AN203" s="287" t="str">
        <f t="shared" si="67"/>
        <v/>
      </c>
      <c r="AO203" s="288" t="str">
        <f>+Novembre!W18</f>
        <v/>
      </c>
      <c r="AP203" s="289" t="str">
        <f>+Novembre!X18</f>
        <v/>
      </c>
      <c r="AQ203" s="289" t="str">
        <f>+Novembre!AF18</f>
        <v/>
      </c>
      <c r="AR203" s="289" t="str">
        <f t="shared" si="68"/>
        <v/>
      </c>
      <c r="AS203" s="289" t="str">
        <f>+Novembre!AE18</f>
        <v/>
      </c>
      <c r="AT203" s="289">
        <f>+Novembre!J18</f>
        <v>0</v>
      </c>
      <c r="AU203" s="279">
        <f t="shared" si="69"/>
        <v>31.000000000000004</v>
      </c>
      <c r="AV203" s="178">
        <f t="shared" si="66"/>
        <v>0</v>
      </c>
      <c r="AW203" s="179">
        <f>+IF(WEEKDAY(AL205)=1,SUM(AU$197:AU203),"")</f>
        <v>31.000000000000004</v>
      </c>
      <c r="AX203" s="386"/>
    </row>
    <row r="204" spans="37:50" ht="15">
      <c r="AK204" s="975" t="str">
        <f t="shared" si="54"/>
        <v/>
      </c>
      <c r="AL204" s="286">
        <f t="shared" si="61"/>
        <v>43785</v>
      </c>
      <c r="AM204" s="287">
        <f>+Novembre!D19</f>
        <v>0</v>
      </c>
      <c r="AN204" s="287" t="str">
        <f t="shared" si="67"/>
        <v/>
      </c>
      <c r="AO204" s="288" t="str">
        <f>+Novembre!W19</f>
        <v/>
      </c>
      <c r="AP204" s="289" t="str">
        <f>+Novembre!X19</f>
        <v/>
      </c>
      <c r="AQ204" s="289" t="str">
        <f>+Novembre!AF19</f>
        <v/>
      </c>
      <c r="AR204" s="289" t="str">
        <f t="shared" si="68"/>
        <v/>
      </c>
      <c r="AS204" s="289" t="str">
        <f>+Novembre!AE19</f>
        <v/>
      </c>
      <c r="AT204" s="289">
        <f>+Novembre!J19</f>
        <v>0</v>
      </c>
      <c r="AU204" s="279" t="str">
        <f t="shared" si="69"/>
        <v/>
      </c>
      <c r="AV204" s="178" t="str">
        <f t="shared" si="66"/>
        <v/>
      </c>
      <c r="AW204" s="179" t="str">
        <f>+IF(WEEKDAY(AL206)=1,SUM(AU$197:AU204),"")</f>
        <v/>
      </c>
      <c r="AX204" s="386"/>
    </row>
    <row r="205" spans="37:50" ht="15">
      <c r="AK205" s="975" t="str">
        <f t="shared" si="54"/>
        <v/>
      </c>
      <c r="AL205" s="286">
        <f t="shared" si="61"/>
        <v>43786</v>
      </c>
      <c r="AM205" s="287">
        <f>+Novembre!D20</f>
        <v>0</v>
      </c>
      <c r="AN205" s="287" t="str">
        <f t="shared" si="67"/>
        <v/>
      </c>
      <c r="AO205" s="288" t="str">
        <f>+Novembre!W20</f>
        <v/>
      </c>
      <c r="AP205" s="289" t="str">
        <f>+Novembre!X20</f>
        <v/>
      </c>
      <c r="AQ205" s="289" t="str">
        <f>+Novembre!AF20</f>
        <v/>
      </c>
      <c r="AR205" s="289" t="str">
        <f t="shared" si="68"/>
        <v/>
      </c>
      <c r="AS205" s="289" t="str">
        <f>+Novembre!AE20</f>
        <v/>
      </c>
      <c r="AT205" s="289">
        <f>+Novembre!J20</f>
        <v>0</v>
      </c>
      <c r="AU205" s="279" t="str">
        <f t="shared" si="69"/>
        <v/>
      </c>
      <c r="AV205" s="178" t="str">
        <f t="shared" si="66"/>
        <v/>
      </c>
      <c r="AW205" s="179" t="str">
        <f>+IF(WEEKDAY(AL207)=1,SUM(AU$197:AU205),"")</f>
        <v/>
      </c>
      <c r="AX205" s="386"/>
    </row>
    <row r="206" spans="37:50" ht="15">
      <c r="AK206" s="975" t="str">
        <f t="shared" si="54"/>
        <v/>
      </c>
      <c r="AL206" s="286">
        <f t="shared" si="61"/>
        <v>43787</v>
      </c>
      <c r="AM206" s="287" t="str">
        <f>+Novembre!D21</f>
        <v>M</v>
      </c>
      <c r="AN206" s="287">
        <f t="shared" si="67"/>
        <v>1</v>
      </c>
      <c r="AO206" s="288">
        <f>+Novembre!W21</f>
        <v>7.7500000000000009</v>
      </c>
      <c r="AP206" s="289" t="str">
        <f>+Novembre!X21</f>
        <v/>
      </c>
      <c r="AQ206" s="289" t="str">
        <f>+Novembre!AF21</f>
        <v/>
      </c>
      <c r="AR206" s="289" t="str">
        <f t="shared" si="68"/>
        <v/>
      </c>
      <c r="AS206" s="289" t="str">
        <f>+Novembre!AE21</f>
        <v/>
      </c>
      <c r="AT206" s="289">
        <f>+Novembre!J21</f>
        <v>0</v>
      </c>
      <c r="AU206" s="279" t="str">
        <f t="shared" si="69"/>
        <v/>
      </c>
      <c r="AV206" s="178" t="str">
        <f t="shared" si="66"/>
        <v/>
      </c>
      <c r="AW206" s="179" t="str">
        <f>+IF(WEEKDAY(AL208)=1,SUM(AU$197:AU206),"")</f>
        <v/>
      </c>
      <c r="AX206" s="386"/>
    </row>
    <row r="207" spans="37:50" ht="15">
      <c r="AK207" s="975" t="str">
        <f t="shared" si="54"/>
        <v/>
      </c>
      <c r="AL207" s="286">
        <f t="shared" si="61"/>
        <v>43788</v>
      </c>
      <c r="AM207" s="287" t="str">
        <f>+Novembre!D22</f>
        <v>M</v>
      </c>
      <c r="AN207" s="287">
        <f t="shared" si="67"/>
        <v>1</v>
      </c>
      <c r="AO207" s="288">
        <f>+Novembre!W22</f>
        <v>7.7500000000000009</v>
      </c>
      <c r="AP207" s="289" t="str">
        <f>+Novembre!X22</f>
        <v/>
      </c>
      <c r="AQ207" s="289" t="str">
        <f>+Novembre!AF22</f>
        <v/>
      </c>
      <c r="AR207" s="289" t="str">
        <f t="shared" si="68"/>
        <v/>
      </c>
      <c r="AS207" s="289" t="str">
        <f>+Novembre!AE22</f>
        <v/>
      </c>
      <c r="AT207" s="289">
        <f>+Novembre!J22</f>
        <v>0</v>
      </c>
      <c r="AU207" s="279" t="str">
        <f t="shared" si="69"/>
        <v/>
      </c>
      <c r="AV207" s="178" t="str">
        <f t="shared" si="66"/>
        <v/>
      </c>
      <c r="AW207" s="179" t="str">
        <f>+IF(WEEKDAY(AL209)=1,SUM(AU$197:AU207),"")</f>
        <v/>
      </c>
      <c r="AX207" s="386"/>
    </row>
    <row r="208" spans="37:50" ht="15">
      <c r="AK208" s="975" t="str">
        <f t="shared" si="54"/>
        <v/>
      </c>
      <c r="AL208" s="286">
        <f t="shared" si="61"/>
        <v>43789</v>
      </c>
      <c r="AM208" s="287" t="str">
        <f>+Novembre!D23</f>
        <v>M</v>
      </c>
      <c r="AN208" s="287">
        <f t="shared" si="67"/>
        <v>1</v>
      </c>
      <c r="AO208" s="288">
        <f>+Novembre!W23</f>
        <v>7.7500000000000009</v>
      </c>
      <c r="AP208" s="289" t="str">
        <f>+Novembre!X23</f>
        <v/>
      </c>
      <c r="AQ208" s="289" t="str">
        <f>+Novembre!AF23</f>
        <v/>
      </c>
      <c r="AR208" s="289" t="str">
        <f t="shared" si="68"/>
        <v/>
      </c>
      <c r="AS208" s="289" t="str">
        <f>+Novembre!AE23</f>
        <v/>
      </c>
      <c r="AT208" s="289">
        <f>+Novembre!J23</f>
        <v>0</v>
      </c>
      <c r="AU208" s="279" t="str">
        <f t="shared" si="69"/>
        <v/>
      </c>
      <c r="AV208" s="178" t="str">
        <f t="shared" si="66"/>
        <v/>
      </c>
      <c r="AW208" s="179" t="str">
        <f>+IF(WEEKDAY(AL210)=1,SUM(AU$197:AU208),"")</f>
        <v/>
      </c>
      <c r="AX208" s="386"/>
    </row>
    <row r="209" spans="37:56" ht="15">
      <c r="AK209" s="975" t="str">
        <f t="shared" si="54"/>
        <v/>
      </c>
      <c r="AL209" s="286">
        <f t="shared" si="61"/>
        <v>43790</v>
      </c>
      <c r="AM209" s="287" t="str">
        <f>+Novembre!D24</f>
        <v>M</v>
      </c>
      <c r="AN209" s="287">
        <f t="shared" si="67"/>
        <v>1</v>
      </c>
      <c r="AO209" s="288">
        <f>+Novembre!W24</f>
        <v>7.7500000000000009</v>
      </c>
      <c r="AP209" s="289" t="str">
        <f>+Novembre!X24</f>
        <v/>
      </c>
      <c r="AQ209" s="289" t="str">
        <f>+Novembre!AF24</f>
        <v/>
      </c>
      <c r="AR209" s="289" t="str">
        <f t="shared" si="68"/>
        <v/>
      </c>
      <c r="AS209" s="289" t="str">
        <f>+Novembre!AE24</f>
        <v/>
      </c>
      <c r="AT209" s="289">
        <f>+Novembre!J24</f>
        <v>0</v>
      </c>
      <c r="AU209" s="279" t="str">
        <f t="shared" si="69"/>
        <v/>
      </c>
      <c r="AV209" s="178" t="str">
        <f t="shared" si="66"/>
        <v/>
      </c>
      <c r="AW209" s="179" t="str">
        <f>+IF(WEEKDAY(AL211)=1,SUM(AU$197:AU209),"")</f>
        <v/>
      </c>
      <c r="AX209" s="386"/>
    </row>
    <row r="210" spans="37:56" ht="15">
      <c r="AK210" s="975" t="str">
        <f t="shared" si="54"/>
        <v/>
      </c>
      <c r="AL210" s="286">
        <f t="shared" si="61"/>
        <v>43791</v>
      </c>
      <c r="AM210" s="287" t="str">
        <f>+Novembre!D25</f>
        <v>M</v>
      </c>
      <c r="AN210" s="287">
        <f t="shared" si="67"/>
        <v>1</v>
      </c>
      <c r="AO210" s="288">
        <f>+Novembre!W25</f>
        <v>7.7500000000000009</v>
      </c>
      <c r="AP210" s="289" t="str">
        <f>+Novembre!X25</f>
        <v/>
      </c>
      <c r="AQ210" s="289" t="str">
        <f>+Novembre!AF25</f>
        <v/>
      </c>
      <c r="AR210" s="289" t="str">
        <f t="shared" si="68"/>
        <v/>
      </c>
      <c r="AS210" s="289" t="str">
        <f>+Novembre!AE25</f>
        <v/>
      </c>
      <c r="AT210" s="289">
        <f>+Novembre!J25</f>
        <v>0</v>
      </c>
      <c r="AU210" s="279">
        <f t="shared" si="69"/>
        <v>38.750000000000007</v>
      </c>
      <c r="AV210" s="178">
        <f t="shared" si="66"/>
        <v>0</v>
      </c>
      <c r="AW210" s="179">
        <f>+IF(WEEKDAY(AL212)=1,SUM(AU$197:AU210),"")</f>
        <v>69.750000000000014</v>
      </c>
      <c r="AX210" s="386"/>
    </row>
    <row r="211" spans="37:56" ht="15">
      <c r="AK211" s="975" t="str">
        <f t="shared" si="54"/>
        <v/>
      </c>
      <c r="AL211" s="286">
        <f t="shared" si="61"/>
        <v>43792</v>
      </c>
      <c r="AM211" s="287">
        <f>+Novembre!D26</f>
        <v>0</v>
      </c>
      <c r="AN211" s="287" t="str">
        <f t="shared" si="67"/>
        <v/>
      </c>
      <c r="AO211" s="288" t="str">
        <f>+Novembre!W26</f>
        <v/>
      </c>
      <c r="AP211" s="289" t="str">
        <f>+Novembre!X26</f>
        <v/>
      </c>
      <c r="AQ211" s="289" t="str">
        <f>+Novembre!AF26</f>
        <v/>
      </c>
      <c r="AR211" s="289" t="str">
        <f t="shared" si="68"/>
        <v/>
      </c>
      <c r="AS211" s="289" t="str">
        <f>+Novembre!AE26</f>
        <v/>
      </c>
      <c r="AT211" s="289">
        <f>+Novembre!J26</f>
        <v>0</v>
      </c>
      <c r="AU211" s="279" t="str">
        <f t="shared" si="69"/>
        <v/>
      </c>
      <c r="AV211" s="178" t="str">
        <f t="shared" si="66"/>
        <v/>
      </c>
      <c r="AW211" s="179" t="str">
        <f>+IF(WEEKDAY(AL213)=1,SUM(AU$197:AU211),"")</f>
        <v/>
      </c>
      <c r="AX211" s="386"/>
    </row>
    <row r="212" spans="37:56" ht="15">
      <c r="AK212" s="975" t="str">
        <f t="shared" si="54"/>
        <v/>
      </c>
      <c r="AL212" s="286">
        <f t="shared" si="61"/>
        <v>43793</v>
      </c>
      <c r="AM212" s="287">
        <f>+Novembre!D27</f>
        <v>0</v>
      </c>
      <c r="AN212" s="287" t="str">
        <f t="shared" si="67"/>
        <v/>
      </c>
      <c r="AO212" s="288" t="str">
        <f>+Novembre!W27</f>
        <v/>
      </c>
      <c r="AP212" s="289" t="str">
        <f>+Novembre!X27</f>
        <v/>
      </c>
      <c r="AQ212" s="289" t="str">
        <f>+Novembre!AF27</f>
        <v/>
      </c>
      <c r="AR212" s="289" t="str">
        <f t="shared" si="68"/>
        <v/>
      </c>
      <c r="AS212" s="289" t="str">
        <f>+Novembre!AE27</f>
        <v/>
      </c>
      <c r="AT212" s="289">
        <f>+Novembre!J27</f>
        <v>0</v>
      </c>
      <c r="AU212" s="279" t="str">
        <f t="shared" si="69"/>
        <v/>
      </c>
      <c r="AV212" s="178" t="str">
        <f t="shared" si="66"/>
        <v/>
      </c>
      <c r="AW212" s="179" t="str">
        <f>+IF(WEEKDAY(AL214)=1,SUM(AU$197:AU212),"")</f>
        <v/>
      </c>
      <c r="AX212" s="386"/>
    </row>
    <row r="213" spans="37:56" ht="15">
      <c r="AK213" s="975" t="str">
        <f t="shared" si="54"/>
        <v/>
      </c>
      <c r="AL213" s="286">
        <f t="shared" si="61"/>
        <v>43794</v>
      </c>
      <c r="AM213" s="287" t="str">
        <f>+Novembre!D28</f>
        <v>J</v>
      </c>
      <c r="AN213" s="287">
        <f t="shared" si="67"/>
        <v>1</v>
      </c>
      <c r="AO213" s="288">
        <f>+Novembre!W28</f>
        <v>7.666666666666667</v>
      </c>
      <c r="AP213" s="289" t="str">
        <f>+Novembre!X28</f>
        <v/>
      </c>
      <c r="AQ213" s="289" t="str">
        <f>+Novembre!AF28</f>
        <v/>
      </c>
      <c r="AR213" s="289" t="str">
        <f t="shared" si="68"/>
        <v/>
      </c>
      <c r="AS213" s="289" t="str">
        <f>+Novembre!AE28</f>
        <v/>
      </c>
      <c r="AT213" s="289">
        <f>+Novembre!J28</f>
        <v>0</v>
      </c>
      <c r="AU213" s="279" t="str">
        <f t="shared" si="69"/>
        <v/>
      </c>
      <c r="AV213" s="178" t="str">
        <f t="shared" si="66"/>
        <v/>
      </c>
      <c r="AW213" s="179" t="str">
        <f>+IF(WEEKDAY(AL215)=1,SUM(AU$197:AU213),"")</f>
        <v/>
      </c>
      <c r="AX213" s="386"/>
    </row>
    <row r="214" spans="37:56" ht="15">
      <c r="AK214" s="975" t="str">
        <f t="shared" si="54"/>
        <v/>
      </c>
      <c r="AL214" s="286">
        <f t="shared" si="61"/>
        <v>43795</v>
      </c>
      <c r="AM214" s="287" t="str">
        <f>+Novembre!D29</f>
        <v>AM</v>
      </c>
      <c r="AN214" s="287">
        <f t="shared" si="67"/>
        <v>1</v>
      </c>
      <c r="AO214" s="288">
        <f>+Novembre!W29</f>
        <v>7.7499999999999991</v>
      </c>
      <c r="AP214" s="289" t="str">
        <f>+Novembre!X29</f>
        <v/>
      </c>
      <c r="AQ214" s="289" t="str">
        <f>+Novembre!AF29</f>
        <v/>
      </c>
      <c r="AR214" s="289" t="str">
        <f t="shared" si="68"/>
        <v/>
      </c>
      <c r="AS214" s="289" t="str">
        <f>+Novembre!AE29</f>
        <v/>
      </c>
      <c r="AT214" s="289">
        <f>+Novembre!J29</f>
        <v>0</v>
      </c>
      <c r="AU214" s="279" t="str">
        <f t="shared" si="69"/>
        <v/>
      </c>
      <c r="AV214" s="178" t="str">
        <f t="shared" si="66"/>
        <v/>
      </c>
      <c r="AW214" s="178" t="str">
        <f>+IF(WEEKDAY(AL216)=1,SUM(AU$197:AU214),"")</f>
        <v/>
      </c>
      <c r="AX214" s="386"/>
    </row>
    <row r="215" spans="37:56" ht="15.75" thickBot="1">
      <c r="AK215" s="975" t="str">
        <f t="shared" si="54"/>
        <v/>
      </c>
      <c r="AL215" s="286">
        <f t="shared" si="61"/>
        <v>43796</v>
      </c>
      <c r="AM215" s="287" t="str">
        <f>+Novembre!D30</f>
        <v>AM</v>
      </c>
      <c r="AN215" s="287">
        <f t="shared" si="67"/>
        <v>1</v>
      </c>
      <c r="AO215" s="288">
        <f>+Novembre!W30</f>
        <v>6.7499999999999991</v>
      </c>
      <c r="AP215" s="289" t="str">
        <f>+Novembre!X30</f>
        <v/>
      </c>
      <c r="AQ215" s="289" t="str">
        <f>+Novembre!AF30</f>
        <v/>
      </c>
      <c r="AR215" s="289" t="str">
        <f t="shared" si="68"/>
        <v/>
      </c>
      <c r="AS215" s="289" t="str">
        <f>+Novembre!AE30</f>
        <v/>
      </c>
      <c r="AT215" s="289">
        <f>+Novembre!J30</f>
        <v>0</v>
      </c>
      <c r="AU215" s="279" t="str">
        <f t="shared" si="69"/>
        <v/>
      </c>
      <c r="AV215" s="178" t="str">
        <f t="shared" si="66"/>
        <v/>
      </c>
      <c r="AW215" s="179" t="str">
        <f>+IF(WEEKDAY(AL217)=1,SUM(AU$197:AU215),"")</f>
        <v/>
      </c>
      <c r="AX215" s="386"/>
    </row>
    <row r="216" spans="37:56" ht="15.75" thickBot="1">
      <c r="AK216" s="975" t="str">
        <f t="shared" si="54"/>
        <v/>
      </c>
      <c r="AL216" s="290">
        <f t="shared" si="61"/>
        <v>43797</v>
      </c>
      <c r="AM216" s="287" t="str">
        <f>+Novembre!D31</f>
        <v>AM</v>
      </c>
      <c r="AN216" s="287">
        <f t="shared" si="67"/>
        <v>1</v>
      </c>
      <c r="AO216" s="288">
        <f>+Novembre!W31</f>
        <v>7.7499999999999991</v>
      </c>
      <c r="AP216" s="289" t="str">
        <f>+Novembre!X31</f>
        <v/>
      </c>
      <c r="AQ216" s="289" t="str">
        <f>+Novembre!AF31</f>
        <v/>
      </c>
      <c r="AR216" s="289" t="str">
        <f t="shared" si="68"/>
        <v/>
      </c>
      <c r="AS216" s="289" t="str">
        <f>+Novembre!AE31</f>
        <v/>
      </c>
      <c r="AT216" s="289">
        <f>+Novembre!J31</f>
        <v>0</v>
      </c>
      <c r="AU216" s="279" t="str">
        <f t="shared" si="69"/>
        <v/>
      </c>
      <c r="AV216" s="178" t="str">
        <f t="shared" si="66"/>
        <v/>
      </c>
      <c r="AW216" s="179" t="str">
        <f>+IF(WEEKDAY(AL218)=1,SUM(AU$197:AU216),"")</f>
        <v/>
      </c>
      <c r="AX216" s="223">
        <f>+IF(WEEKDAY($AL$24)=1,SUM(AN192:AN219),IF(WEEKDAY($AL$25)=1,SUM(AN193:AN220),IF(WEEKDAY($AL$26)=1,SUM(AN194:AN221),IF(WEEKDAY($AL$27)=1,SUM(AN195:AN222),IF(WEEKDAY($AL$28)=1,SUM(AN196:AN223),IF(WEEKDAY($AL$29)=1,SUM(AN197:AN224),IF(WEEKDAY($AL$30)=1,SUM(AN198:AN225),"")))))))</f>
        <v>19</v>
      </c>
      <c r="AY216" s="223">
        <f t="shared" ref="AY216:BD216" si="70">+IF(WEEKDAY($AL$24)=1,SUM(AO192:AO219),IF(WEEKDAY($AL$25)=1,SUM(AO193:AO220),IF(WEEKDAY($AL$26)=1,SUM(AO194:AO221),IF(WEEKDAY($AL$27)=1,SUM(AO195:AO222),IF(WEEKDAY($AL$28)=1,SUM(AO196:AO223),IF(WEEKDAY($AL$29)=1,SUM(AO197:AO224),IF(WEEKDAY($AL$30)=1,SUM(AO198:AO225),"")))))))</f>
        <v>145.58333333333334</v>
      </c>
      <c r="AZ216" s="223">
        <f t="shared" si="70"/>
        <v>0</v>
      </c>
      <c r="BA216" s="223">
        <f t="shared" si="70"/>
        <v>6.9</v>
      </c>
      <c r="BB216" s="223">
        <f>+IF(WEEKDAY($AL$24)=1,SUM(AR192:AR219),IF(WEEKDAY($AL$25)=1,SUM(AR193:AR220),IF(WEEKDAY($AL$26)=1,SUM(AR194:AR221),IF(WEEKDAY($AL$27)=1,SUM(AR195:AR222),IF(WEEKDAY($AL$28)=1,SUM(AR196:AR223),IF(WEEKDAY($AL$29)=1,SUM(AR197:AR224),IF(WEEKDAY($AL$30)=1,SUM(AR198:AR225),"")))))))</f>
        <v>6.9</v>
      </c>
      <c r="BC216" s="223">
        <f t="shared" si="70"/>
        <v>0</v>
      </c>
      <c r="BD216" s="223">
        <f t="shared" si="70"/>
        <v>0</v>
      </c>
    </row>
    <row r="217" spans="37:56" ht="15.75" thickBot="1">
      <c r="AK217" s="975" t="str">
        <f t="shared" ref="AK217:AK280" si="71">IF(MOD((AL217-$AF$27)/28,1),"",MOD((AL217-$AF$27)/28,13)+1)</f>
        <v/>
      </c>
      <c r="AL217" s="286">
        <f t="shared" si="61"/>
        <v>43798</v>
      </c>
      <c r="AM217" s="287" t="str">
        <f>+Novembre!D32</f>
        <v>J</v>
      </c>
      <c r="AN217" s="287">
        <f t="shared" si="67"/>
        <v>1</v>
      </c>
      <c r="AO217" s="288">
        <f>+Novembre!W32</f>
        <v>7.2500000000000027</v>
      </c>
      <c r="AP217" s="289" t="str">
        <f>+Novembre!X32</f>
        <v/>
      </c>
      <c r="AQ217" s="289" t="str">
        <f>+Novembre!AF32</f>
        <v/>
      </c>
      <c r="AR217" s="289" t="str">
        <f t="shared" si="68"/>
        <v/>
      </c>
      <c r="AS217" s="289" t="str">
        <f>+Novembre!AE32</f>
        <v/>
      </c>
      <c r="AT217" s="289">
        <f>+Novembre!J32</f>
        <v>0</v>
      </c>
      <c r="AU217" s="279">
        <f t="shared" si="69"/>
        <v>37.166666666666664</v>
      </c>
      <c r="AV217" s="178">
        <f t="shared" si="66"/>
        <v>0</v>
      </c>
      <c r="AW217" s="179">
        <f>+IF(WEEKDAY(AL219)=1,SUM(AU$197:AU217),"")</f>
        <v>106.91666666666669</v>
      </c>
      <c r="AX217" s="386"/>
    </row>
    <row r="218" spans="37:56" ht="16.5" thickTop="1" thickBot="1">
      <c r="AK218" s="975" t="str">
        <f t="shared" si="71"/>
        <v/>
      </c>
      <c r="AL218" s="286">
        <f t="shared" si="61"/>
        <v>43799</v>
      </c>
      <c r="AM218" s="287">
        <f>+Novembre!D33</f>
        <v>0</v>
      </c>
      <c r="AN218" s="287" t="str">
        <f t="shared" si="67"/>
        <v/>
      </c>
      <c r="AO218" s="288" t="str">
        <f>+Novembre!W33</f>
        <v/>
      </c>
      <c r="AP218" s="289" t="str">
        <f>+Novembre!X33</f>
        <v/>
      </c>
      <c r="AQ218" s="289" t="str">
        <f>+Novembre!AF33</f>
        <v/>
      </c>
      <c r="AR218" s="289" t="str">
        <f t="shared" si="68"/>
        <v/>
      </c>
      <c r="AS218" s="289" t="str">
        <f>+Novembre!AE33</f>
        <v/>
      </c>
      <c r="AT218" s="289">
        <f>+Novembre!J33</f>
        <v>0</v>
      </c>
      <c r="AU218" s="279" t="str">
        <f t="shared" si="69"/>
        <v/>
      </c>
      <c r="AV218" s="178" t="str">
        <f t="shared" si="66"/>
        <v/>
      </c>
      <c r="AW218" s="179" t="str">
        <f>+IF(WEEKDAY(AL220)=1,SUM(AU$197:AU218),"")</f>
        <v/>
      </c>
      <c r="AX218" s="386"/>
      <c r="AZ218" s="936" t="str">
        <f>+IF(WEEKDAY(AL$26)=1,"Fin cycle 7",IF(WEEKDAY(AL$27)=1,"Fin cycle 7",IF(WEEKDAY(AL$28)=1,"Fin cycle 7",IF(WEEKDAY(AL$29)=1,"Fin cycle 7",IF(WEEKDAY(AL$30)=1,"Fin cycle 7",IF(WEEKDAY(AL$31)=1,"Fin cycle 7",IF(WEEKDAY(AL$32)=1,"Fin cycle 7","")))))))</f>
        <v>Fin cycle 7</v>
      </c>
      <c r="BA218" s="937"/>
      <c r="BB218" s="275">
        <f>SUM(AY216:AZ216)</f>
        <v>145.58333333333334</v>
      </c>
      <c r="BC218" s="590"/>
    </row>
    <row r="219" spans="37:56" ht="15">
      <c r="AK219" s="975" t="str">
        <f t="shared" si="71"/>
        <v/>
      </c>
      <c r="AL219" s="286">
        <f t="shared" si="61"/>
        <v>43800</v>
      </c>
      <c r="AM219" s="287" t="str">
        <f>+Décembre!D4</f>
        <v>N</v>
      </c>
      <c r="AN219" s="287">
        <f t="shared" ref="AN219" si="72">+IF(AM219=0,"",IF(AM219="CP","",1))</f>
        <v>1</v>
      </c>
      <c r="AO219" s="288">
        <f>+Décembre!W4</f>
        <v>7.666666666666667</v>
      </c>
      <c r="AP219" s="289" t="str">
        <f>+Décembre!X4</f>
        <v/>
      </c>
      <c r="AQ219" s="289" t="str">
        <f>+Décembre!AF4</f>
        <v/>
      </c>
      <c r="AR219" s="289" t="str">
        <f t="shared" ref="AR219" si="73">+IF(AS219&lt;&gt;"","",AQ219)</f>
        <v/>
      </c>
      <c r="AS219" s="289" t="str">
        <f>+Décembre!AE4</f>
        <v/>
      </c>
      <c r="AT219" s="289">
        <f>+Décembre!J4</f>
        <v>0</v>
      </c>
      <c r="AU219" s="279" t="str">
        <f t="shared" si="69"/>
        <v/>
      </c>
      <c r="AV219" s="178" t="str">
        <f t="shared" si="66"/>
        <v/>
      </c>
      <c r="AW219" s="179" t="str">
        <f>+IF(WEEKDAY(AL221)=1,SUM(AU$197:AU219),"")</f>
        <v/>
      </c>
      <c r="AX219" s="386"/>
    </row>
    <row r="220" spans="37:56" ht="15">
      <c r="AK220" s="975">
        <f t="shared" si="71"/>
        <v>8</v>
      </c>
      <c r="AL220" s="286">
        <f t="shared" si="61"/>
        <v>43801</v>
      </c>
      <c r="AM220" s="287" t="str">
        <f>+Décembre!D5</f>
        <v>N</v>
      </c>
      <c r="AN220" s="287">
        <f t="shared" ref="AN220:AN249" si="74">+IF(AM220=0,"",IF(AM220="CP","",1))</f>
        <v>1</v>
      </c>
      <c r="AO220" s="288">
        <f>+Décembre!W5</f>
        <v>7.7499999999999991</v>
      </c>
      <c r="AP220" s="289" t="str">
        <f>+Décembre!X5</f>
        <v/>
      </c>
      <c r="AQ220" s="289" t="str">
        <f>+Décembre!AF5</f>
        <v/>
      </c>
      <c r="AR220" s="289" t="str">
        <f t="shared" ref="AR220:AR249" si="75">+IF(AS220&lt;&gt;"","",AQ220)</f>
        <v/>
      </c>
      <c r="AS220" s="289" t="str">
        <f>+Décembre!AE5</f>
        <v/>
      </c>
      <c r="AT220" s="289">
        <f>+Décembre!J5</f>
        <v>0</v>
      </c>
      <c r="AU220" s="279" t="str">
        <f t="shared" si="69"/>
        <v/>
      </c>
      <c r="AV220" s="178" t="str">
        <f t="shared" si="66"/>
        <v/>
      </c>
      <c r="AW220" s="179" t="str">
        <f>+IF(WEEKDAY(AL222)=1,SUM(AU$197:AU220),"")</f>
        <v/>
      </c>
      <c r="AX220" s="386"/>
    </row>
    <row r="221" spans="37:56" ht="15">
      <c r="AK221" s="975" t="str">
        <f t="shared" si="71"/>
        <v/>
      </c>
      <c r="AL221" s="286">
        <f t="shared" si="61"/>
        <v>43802</v>
      </c>
      <c r="AM221" s="287" t="str">
        <f>+Décembre!D6</f>
        <v>N</v>
      </c>
      <c r="AN221" s="287">
        <f t="shared" si="74"/>
        <v>1</v>
      </c>
      <c r="AO221" s="288">
        <f>+Décembre!W6</f>
        <v>7.7499999999999991</v>
      </c>
      <c r="AP221" s="289" t="str">
        <f>+Décembre!X6</f>
        <v/>
      </c>
      <c r="AQ221" s="289" t="str">
        <f>+Décembre!AF6</f>
        <v/>
      </c>
      <c r="AR221" s="289" t="str">
        <f t="shared" si="75"/>
        <v/>
      </c>
      <c r="AS221" s="289" t="str">
        <f>+Décembre!AE6</f>
        <v/>
      </c>
      <c r="AT221" s="289">
        <f>+Décembre!J6</f>
        <v>0</v>
      </c>
      <c r="AU221" s="279" t="str">
        <f t="shared" si="69"/>
        <v/>
      </c>
      <c r="AV221" s="178" t="str">
        <f t="shared" si="66"/>
        <v/>
      </c>
      <c r="AW221" s="179" t="str">
        <f>+IF(WEEKDAY(AL223)=1,SUM(AU$197:AU221),"")</f>
        <v/>
      </c>
      <c r="AX221" s="386"/>
    </row>
    <row r="222" spans="37:56" ht="15">
      <c r="AK222" s="797" t="str">
        <f t="shared" si="71"/>
        <v/>
      </c>
      <c r="AL222" s="286">
        <f t="shared" si="61"/>
        <v>43803</v>
      </c>
      <c r="AM222" s="287" t="str">
        <f>+Décembre!D7</f>
        <v>N</v>
      </c>
      <c r="AN222" s="287">
        <f t="shared" si="74"/>
        <v>1</v>
      </c>
      <c r="AO222" s="288">
        <f>+Décembre!W7</f>
        <v>7.7499999999999991</v>
      </c>
      <c r="AP222" s="289" t="str">
        <f>+Décembre!X7</f>
        <v/>
      </c>
      <c r="AQ222" s="289" t="str">
        <f>+Décembre!AF7</f>
        <v/>
      </c>
      <c r="AR222" s="289" t="str">
        <f t="shared" si="75"/>
        <v/>
      </c>
      <c r="AS222" s="289" t="str">
        <f>+Décembre!AE7</f>
        <v/>
      </c>
      <c r="AT222" s="289">
        <f>+Décembre!J7</f>
        <v>0</v>
      </c>
      <c r="AU222" s="279" t="str">
        <f t="shared" si="69"/>
        <v/>
      </c>
      <c r="AV222" s="178" t="str">
        <f t="shared" si="66"/>
        <v/>
      </c>
      <c r="AW222" s="179" t="str">
        <f>+IF(WEEKDAY(AL224)=1,SUM(AU$197:AU222),"")</f>
        <v/>
      </c>
      <c r="AX222" s="386"/>
    </row>
    <row r="223" spans="37:56" ht="15">
      <c r="AK223" s="797" t="str">
        <f t="shared" si="71"/>
        <v/>
      </c>
      <c r="AL223" s="286">
        <f t="shared" si="61"/>
        <v>43804</v>
      </c>
      <c r="AM223" s="287" t="str">
        <f>+Décembre!D8</f>
        <v>N</v>
      </c>
      <c r="AN223" s="287">
        <f t="shared" si="74"/>
        <v>1</v>
      </c>
      <c r="AO223" s="288">
        <f>+Décembre!W8</f>
        <v>7.7499999999999991</v>
      </c>
      <c r="AP223" s="289" t="str">
        <f>+Décembre!X8</f>
        <v/>
      </c>
      <c r="AQ223" s="289" t="str">
        <f>+Décembre!AF8</f>
        <v/>
      </c>
      <c r="AR223" s="289" t="str">
        <f t="shared" si="75"/>
        <v/>
      </c>
      <c r="AS223" s="289" t="str">
        <f>+Décembre!AE8</f>
        <v/>
      </c>
      <c r="AT223" s="289">
        <f>+Décembre!J8</f>
        <v>0</v>
      </c>
      <c r="AU223" s="279" t="str">
        <f t="shared" si="69"/>
        <v/>
      </c>
      <c r="AV223" s="178" t="str">
        <f t="shared" si="66"/>
        <v/>
      </c>
      <c r="AW223" s="179" t="str">
        <f>+IF(WEEKDAY(AL225)=1,SUM(AU$197:AU223),"")</f>
        <v/>
      </c>
      <c r="AX223" s="386"/>
    </row>
    <row r="224" spans="37:56" ht="15">
      <c r="AK224" s="797" t="str">
        <f t="shared" si="71"/>
        <v/>
      </c>
      <c r="AL224" s="286">
        <f t="shared" si="61"/>
        <v>43805</v>
      </c>
      <c r="AM224" s="287">
        <f>+Décembre!D9</f>
        <v>0</v>
      </c>
      <c r="AN224" s="287" t="str">
        <f t="shared" si="74"/>
        <v/>
      </c>
      <c r="AO224" s="288" t="str">
        <f>+Décembre!W9</f>
        <v/>
      </c>
      <c r="AP224" s="289" t="str">
        <f>+Décembre!X9</f>
        <v/>
      </c>
      <c r="AQ224" s="289" t="str">
        <f>+Décembre!AF9</f>
        <v/>
      </c>
      <c r="AR224" s="289" t="str">
        <f t="shared" si="75"/>
        <v/>
      </c>
      <c r="AS224" s="289" t="str">
        <f>+Décembre!AE9</f>
        <v/>
      </c>
      <c r="AT224" s="289">
        <f>+Décembre!J9</f>
        <v>0</v>
      </c>
      <c r="AU224" s="279">
        <f t="shared" si="69"/>
        <v>38.666666666666664</v>
      </c>
      <c r="AV224" s="178">
        <f t="shared" si="66"/>
        <v>0</v>
      </c>
      <c r="AW224" s="179">
        <f>+IF(WEEKDAY(AL226)=1,SUM(AU$197:AU224),"")</f>
        <v>145.58333333333334</v>
      </c>
      <c r="AX224" s="386"/>
    </row>
    <row r="225" spans="37:50" ht="15">
      <c r="AK225" s="797" t="str">
        <f t="shared" si="71"/>
        <v/>
      </c>
      <c r="AL225" s="286">
        <f t="shared" si="61"/>
        <v>43806</v>
      </c>
      <c r="AM225" s="287">
        <f>+Décembre!D10</f>
        <v>0</v>
      </c>
      <c r="AN225" s="287" t="str">
        <f t="shared" si="74"/>
        <v/>
      </c>
      <c r="AO225" s="288" t="str">
        <f>+Décembre!W10</f>
        <v/>
      </c>
      <c r="AP225" s="289" t="str">
        <f>+Décembre!X10</f>
        <v/>
      </c>
      <c r="AQ225" s="289" t="str">
        <f>+Décembre!AF10</f>
        <v/>
      </c>
      <c r="AR225" s="289" t="str">
        <f t="shared" si="75"/>
        <v/>
      </c>
      <c r="AS225" s="289" t="str">
        <f>+Décembre!AE10</f>
        <v/>
      </c>
      <c r="AT225" s="289">
        <f>+Décembre!J10</f>
        <v>0</v>
      </c>
      <c r="AU225" s="279" t="str">
        <f t="shared" si="69"/>
        <v/>
      </c>
      <c r="AV225" s="178" t="str">
        <f t="shared" si="66"/>
        <v/>
      </c>
      <c r="AW225" s="179" t="str">
        <f>+IF(WEEKDAY(AL227)=1,SUM(AU$225:AU225),"")</f>
        <v/>
      </c>
      <c r="AX225" s="386"/>
    </row>
    <row r="226" spans="37:50" ht="15">
      <c r="AK226" s="797" t="str">
        <f t="shared" si="71"/>
        <v/>
      </c>
      <c r="AL226" s="286">
        <f t="shared" si="61"/>
        <v>43807</v>
      </c>
      <c r="AM226" s="287" t="str">
        <f>+Décembre!D11</f>
        <v>M</v>
      </c>
      <c r="AN226" s="287">
        <f t="shared" si="74"/>
        <v>1</v>
      </c>
      <c r="AO226" s="288">
        <f>+Décembre!W11</f>
        <v>7.1666666666666687</v>
      </c>
      <c r="AP226" s="289" t="str">
        <f>+Décembre!X11</f>
        <v/>
      </c>
      <c r="AQ226" s="289" t="str">
        <f>+Décembre!AF11</f>
        <v/>
      </c>
      <c r="AR226" s="289" t="str">
        <f t="shared" si="75"/>
        <v/>
      </c>
      <c r="AS226" s="289" t="str">
        <f>+Décembre!AE11</f>
        <v/>
      </c>
      <c r="AT226" s="289">
        <f>+Décembre!J11</f>
        <v>0</v>
      </c>
      <c r="AU226" s="279" t="str">
        <f t="shared" si="69"/>
        <v/>
      </c>
      <c r="AV226" s="178" t="str">
        <f t="shared" si="66"/>
        <v/>
      </c>
      <c r="AW226" s="179" t="str">
        <f>+IF(WEEKDAY(AL228)=1,SUM(AU$225:AU226),"")</f>
        <v/>
      </c>
      <c r="AX226" s="386"/>
    </row>
    <row r="227" spans="37:50" ht="15">
      <c r="AK227" s="797" t="str">
        <f t="shared" si="71"/>
        <v/>
      </c>
      <c r="AL227" s="286">
        <f t="shared" si="61"/>
        <v>43808</v>
      </c>
      <c r="AM227" s="287">
        <f>+Décembre!D12</f>
        <v>0</v>
      </c>
      <c r="AN227" s="287" t="str">
        <f t="shared" si="74"/>
        <v/>
      </c>
      <c r="AO227" s="288" t="str">
        <f>+Décembre!W12</f>
        <v/>
      </c>
      <c r="AP227" s="289" t="str">
        <f>+Décembre!X12</f>
        <v/>
      </c>
      <c r="AQ227" s="289" t="str">
        <f>+Décembre!AF12</f>
        <v/>
      </c>
      <c r="AR227" s="289" t="str">
        <f t="shared" si="75"/>
        <v/>
      </c>
      <c r="AS227" s="289" t="str">
        <f>+Décembre!AE12</f>
        <v/>
      </c>
      <c r="AT227" s="289">
        <f>+Décembre!J12</f>
        <v>0</v>
      </c>
      <c r="AU227" s="279" t="str">
        <f t="shared" si="69"/>
        <v/>
      </c>
      <c r="AV227" s="178" t="str">
        <f t="shared" si="66"/>
        <v/>
      </c>
      <c r="AW227" s="179" t="str">
        <f>+IF(WEEKDAY(AL229)=1,SUM(AU$225:AU227),"")</f>
        <v/>
      </c>
      <c r="AX227" s="386"/>
    </row>
    <row r="228" spans="37:50" ht="15">
      <c r="AK228" s="797" t="str">
        <f t="shared" si="71"/>
        <v/>
      </c>
      <c r="AL228" s="286">
        <f t="shared" ref="AL228:AL291" si="76">+AL227+1</f>
        <v>43809</v>
      </c>
      <c r="AM228" s="287">
        <f>+Décembre!D13</f>
        <v>0</v>
      </c>
      <c r="AN228" s="287" t="str">
        <f t="shared" si="74"/>
        <v/>
      </c>
      <c r="AO228" s="288" t="str">
        <f>+Décembre!W13</f>
        <v/>
      </c>
      <c r="AP228" s="289" t="str">
        <f>+Décembre!X13</f>
        <v/>
      </c>
      <c r="AQ228" s="289" t="str">
        <f>+Décembre!AF13</f>
        <v/>
      </c>
      <c r="AR228" s="289" t="str">
        <f t="shared" si="75"/>
        <v/>
      </c>
      <c r="AS228" s="289" t="str">
        <f>+Décembre!AE13</f>
        <v/>
      </c>
      <c r="AT228" s="289">
        <f>+Décembre!J13</f>
        <v>0</v>
      </c>
      <c r="AU228" s="279" t="str">
        <f t="shared" si="69"/>
        <v/>
      </c>
      <c r="AV228" s="178" t="str">
        <f t="shared" si="66"/>
        <v/>
      </c>
      <c r="AW228" s="179" t="str">
        <f>+IF(WEEKDAY(AL230)=1,SUM(AU$225:AU228),"")</f>
        <v/>
      </c>
      <c r="AX228" s="386"/>
    </row>
    <row r="229" spans="37:50" ht="15">
      <c r="AK229" s="797" t="str">
        <f t="shared" si="71"/>
        <v/>
      </c>
      <c r="AL229" s="286">
        <f t="shared" si="76"/>
        <v>43810</v>
      </c>
      <c r="AM229" s="287">
        <f>+Décembre!D14</f>
        <v>0</v>
      </c>
      <c r="AN229" s="287" t="str">
        <f t="shared" si="74"/>
        <v/>
      </c>
      <c r="AO229" s="288" t="str">
        <f>+Décembre!W14</f>
        <v/>
      </c>
      <c r="AP229" s="289" t="str">
        <f>+Décembre!X14</f>
        <v/>
      </c>
      <c r="AQ229" s="289" t="str">
        <f>+Décembre!AF14</f>
        <v/>
      </c>
      <c r="AR229" s="289" t="str">
        <f t="shared" si="75"/>
        <v/>
      </c>
      <c r="AS229" s="289" t="str">
        <f>+Décembre!AE14</f>
        <v/>
      </c>
      <c r="AT229" s="289">
        <f>+Décembre!J14</f>
        <v>0</v>
      </c>
      <c r="AU229" s="279" t="str">
        <f t="shared" si="69"/>
        <v/>
      </c>
      <c r="AV229" s="178" t="str">
        <f t="shared" si="66"/>
        <v/>
      </c>
      <c r="AW229" s="179" t="str">
        <f>+IF(WEEKDAY(AL231)=1,SUM(AU$225:AU229),"")</f>
        <v/>
      </c>
      <c r="AX229" s="386"/>
    </row>
    <row r="230" spans="37:50" ht="15">
      <c r="AK230" s="797" t="str">
        <f t="shared" si="71"/>
        <v/>
      </c>
      <c r="AL230" s="286">
        <f t="shared" si="76"/>
        <v>43811</v>
      </c>
      <c r="AM230" s="287">
        <f>+Décembre!D15</f>
        <v>0</v>
      </c>
      <c r="AN230" s="287" t="str">
        <f t="shared" si="74"/>
        <v/>
      </c>
      <c r="AO230" s="288" t="str">
        <f>+Décembre!W15</f>
        <v/>
      </c>
      <c r="AP230" s="289" t="str">
        <f>+Décembre!X15</f>
        <v/>
      </c>
      <c r="AQ230" s="289" t="str">
        <f>+Décembre!AF15</f>
        <v/>
      </c>
      <c r="AR230" s="289" t="str">
        <f t="shared" si="75"/>
        <v/>
      </c>
      <c r="AS230" s="289" t="str">
        <f>+Décembre!AE15</f>
        <v/>
      </c>
      <c r="AT230" s="289">
        <f>+Décembre!J15</f>
        <v>0</v>
      </c>
      <c r="AU230" s="279" t="str">
        <f t="shared" ref="AU230:AU261" si="77">+IF(WEEKDAY(AL232)=1,SUM(AO224:AP230),"")</f>
        <v/>
      </c>
      <c r="AV230" s="178" t="str">
        <f t="shared" si="66"/>
        <v/>
      </c>
      <c r="AW230" s="179" t="str">
        <f>+IF(WEEKDAY(AL232)=1,SUM(AU$225:AU230),"")</f>
        <v/>
      </c>
      <c r="AX230" s="386"/>
    </row>
    <row r="231" spans="37:50" ht="15">
      <c r="AK231" s="797" t="str">
        <f t="shared" si="71"/>
        <v/>
      </c>
      <c r="AL231" s="286">
        <f t="shared" si="76"/>
        <v>43812</v>
      </c>
      <c r="AM231" s="287">
        <f>+Décembre!D16</f>
        <v>0</v>
      </c>
      <c r="AN231" s="287" t="str">
        <f t="shared" si="74"/>
        <v/>
      </c>
      <c r="AO231" s="288" t="str">
        <f>+Décembre!W16</f>
        <v/>
      </c>
      <c r="AP231" s="289" t="str">
        <f>+Décembre!X16</f>
        <v/>
      </c>
      <c r="AQ231" s="289" t="str">
        <f>+Décembre!AF16</f>
        <v/>
      </c>
      <c r="AR231" s="289" t="str">
        <f t="shared" si="75"/>
        <v/>
      </c>
      <c r="AS231" s="289" t="str">
        <f>+Décembre!AE16</f>
        <v/>
      </c>
      <c r="AT231" s="289">
        <f>+Décembre!J16</f>
        <v>0</v>
      </c>
      <c r="AU231" s="279">
        <f t="shared" si="77"/>
        <v>7.1666666666666687</v>
      </c>
      <c r="AV231" s="178">
        <f t="shared" si="66"/>
        <v>0</v>
      </c>
      <c r="AW231" s="179">
        <f>+IF(WEEKDAY(AL233)=1,SUM(AU$225:AU231),"")</f>
        <v>7.1666666666666687</v>
      </c>
      <c r="AX231" s="386"/>
    </row>
    <row r="232" spans="37:50" ht="15">
      <c r="AK232" s="797" t="str">
        <f t="shared" si="71"/>
        <v/>
      </c>
      <c r="AL232" s="286">
        <f t="shared" si="76"/>
        <v>43813</v>
      </c>
      <c r="AM232" s="287">
        <f>+Décembre!D17</f>
        <v>0</v>
      </c>
      <c r="AN232" s="287" t="str">
        <f t="shared" si="74"/>
        <v/>
      </c>
      <c r="AO232" s="288" t="str">
        <f>+Décembre!W17</f>
        <v/>
      </c>
      <c r="AP232" s="289" t="str">
        <f>+Décembre!X17</f>
        <v/>
      </c>
      <c r="AQ232" s="289" t="str">
        <f>+Décembre!AF17</f>
        <v/>
      </c>
      <c r="AR232" s="289" t="str">
        <f t="shared" si="75"/>
        <v/>
      </c>
      <c r="AS232" s="289" t="str">
        <f>+Décembre!AE17</f>
        <v/>
      </c>
      <c r="AT232" s="289">
        <f>+Décembre!J17</f>
        <v>0</v>
      </c>
      <c r="AU232" s="279" t="str">
        <f t="shared" si="77"/>
        <v/>
      </c>
      <c r="AV232" s="178" t="str">
        <f t="shared" si="66"/>
        <v/>
      </c>
      <c r="AW232" s="179" t="str">
        <f>+IF(WEEKDAY(AL234)=1,SUM(AU$225:AU232),"")</f>
        <v/>
      </c>
      <c r="AX232" s="386"/>
    </row>
    <row r="233" spans="37:50" ht="15">
      <c r="AK233" s="797" t="str">
        <f t="shared" si="71"/>
        <v/>
      </c>
      <c r="AL233" s="286">
        <f t="shared" si="76"/>
        <v>43814</v>
      </c>
      <c r="AM233" s="287">
        <f>+Décembre!D18</f>
        <v>0</v>
      </c>
      <c r="AN233" s="287" t="str">
        <f t="shared" si="74"/>
        <v/>
      </c>
      <c r="AO233" s="288" t="str">
        <f>+Décembre!W18</f>
        <v/>
      </c>
      <c r="AP233" s="289" t="str">
        <f>+Décembre!X18</f>
        <v/>
      </c>
      <c r="AQ233" s="289" t="str">
        <f>+Décembre!AF18</f>
        <v/>
      </c>
      <c r="AR233" s="289" t="str">
        <f t="shared" si="75"/>
        <v/>
      </c>
      <c r="AS233" s="289" t="str">
        <f>+Décembre!AE18</f>
        <v/>
      </c>
      <c r="AT233" s="289">
        <f>+Décembre!J18</f>
        <v>0</v>
      </c>
      <c r="AU233" s="279" t="str">
        <f t="shared" si="77"/>
        <v/>
      </c>
      <c r="AV233" s="178" t="str">
        <f t="shared" si="66"/>
        <v/>
      </c>
      <c r="AW233" s="179" t="str">
        <f>+IF(WEEKDAY(AL235)=1,SUM(AU$225:AU233),"")</f>
        <v/>
      </c>
      <c r="AX233" s="386"/>
    </row>
    <row r="234" spans="37:50" ht="15">
      <c r="AK234" s="797" t="str">
        <f t="shared" si="71"/>
        <v/>
      </c>
      <c r="AL234" s="286">
        <f t="shared" si="76"/>
        <v>43815</v>
      </c>
      <c r="AM234" s="287">
        <f>+Décembre!D19</f>
        <v>0</v>
      </c>
      <c r="AN234" s="287" t="str">
        <f t="shared" si="74"/>
        <v/>
      </c>
      <c r="AO234" s="288" t="str">
        <f>+Décembre!W19</f>
        <v/>
      </c>
      <c r="AP234" s="289" t="str">
        <f>+Décembre!X19</f>
        <v/>
      </c>
      <c r="AQ234" s="289" t="str">
        <f>+Décembre!AF19</f>
        <v/>
      </c>
      <c r="AR234" s="289" t="str">
        <f t="shared" si="75"/>
        <v/>
      </c>
      <c r="AS234" s="289" t="str">
        <f>+Décembre!AE19</f>
        <v/>
      </c>
      <c r="AT234" s="289">
        <f>+Décembre!J19</f>
        <v>0</v>
      </c>
      <c r="AU234" s="279" t="str">
        <f t="shared" si="77"/>
        <v/>
      </c>
      <c r="AV234" s="178" t="str">
        <f t="shared" si="66"/>
        <v/>
      </c>
      <c r="AW234" s="179" t="str">
        <f>+IF(WEEKDAY(AL236)=1,SUM(AU$225:AU234),"")</f>
        <v/>
      </c>
      <c r="AX234" s="386"/>
    </row>
    <row r="235" spans="37:50" ht="15">
      <c r="AK235" s="797" t="str">
        <f t="shared" si="71"/>
        <v/>
      </c>
      <c r="AL235" s="286">
        <f t="shared" si="76"/>
        <v>43816</v>
      </c>
      <c r="AM235" s="287">
        <f>+Décembre!D20</f>
        <v>0</v>
      </c>
      <c r="AN235" s="287" t="str">
        <f t="shared" si="74"/>
        <v/>
      </c>
      <c r="AO235" s="288" t="str">
        <f>+Décembre!W20</f>
        <v/>
      </c>
      <c r="AP235" s="289" t="str">
        <f>+Décembre!X20</f>
        <v/>
      </c>
      <c r="AQ235" s="289" t="str">
        <f>+Décembre!AF20</f>
        <v/>
      </c>
      <c r="AR235" s="289" t="str">
        <f t="shared" si="75"/>
        <v/>
      </c>
      <c r="AS235" s="289" t="str">
        <f>+Décembre!AE20</f>
        <v/>
      </c>
      <c r="AT235" s="289">
        <f>+Décembre!J20</f>
        <v>0</v>
      </c>
      <c r="AU235" s="279" t="str">
        <f t="shared" si="77"/>
        <v/>
      </c>
      <c r="AV235" s="178" t="str">
        <f t="shared" si="66"/>
        <v/>
      </c>
      <c r="AW235" s="179" t="str">
        <f>+IF(WEEKDAY(AL237)=1,SUM(AU$225:AU235),"")</f>
        <v/>
      </c>
      <c r="AX235" s="386"/>
    </row>
    <row r="236" spans="37:50" ht="15">
      <c r="AK236" s="797" t="str">
        <f t="shared" si="71"/>
        <v/>
      </c>
      <c r="AL236" s="286">
        <f t="shared" si="76"/>
        <v>43817</v>
      </c>
      <c r="AM236" s="287">
        <f>+Décembre!D21</f>
        <v>0</v>
      </c>
      <c r="AN236" s="287" t="str">
        <f t="shared" si="74"/>
        <v/>
      </c>
      <c r="AO236" s="288" t="str">
        <f>+Décembre!W21</f>
        <v/>
      </c>
      <c r="AP236" s="289" t="str">
        <f>+Décembre!X21</f>
        <v/>
      </c>
      <c r="AQ236" s="289" t="str">
        <f>+Décembre!AF21</f>
        <v/>
      </c>
      <c r="AR236" s="289" t="str">
        <f t="shared" si="75"/>
        <v/>
      </c>
      <c r="AS236" s="289" t="str">
        <f>+Décembre!AE21</f>
        <v/>
      </c>
      <c r="AT236" s="289">
        <f>+Décembre!J21</f>
        <v>0</v>
      </c>
      <c r="AU236" s="279" t="str">
        <f t="shared" si="77"/>
        <v/>
      </c>
      <c r="AV236" s="178" t="str">
        <f t="shared" si="66"/>
        <v/>
      </c>
      <c r="AW236" s="179" t="str">
        <f>+IF(WEEKDAY(AL238)=1,SUM(AU$225:AU236),"")</f>
        <v/>
      </c>
      <c r="AX236" s="386"/>
    </row>
    <row r="237" spans="37:50" ht="15">
      <c r="AK237" s="797" t="str">
        <f t="shared" si="71"/>
        <v/>
      </c>
      <c r="AL237" s="286">
        <f t="shared" si="76"/>
        <v>43818</v>
      </c>
      <c r="AM237" s="287">
        <f>+Décembre!D22</f>
        <v>0</v>
      </c>
      <c r="AN237" s="287" t="str">
        <f t="shared" si="74"/>
        <v/>
      </c>
      <c r="AO237" s="288" t="str">
        <f>+Décembre!W22</f>
        <v/>
      </c>
      <c r="AP237" s="289" t="str">
        <f>+Décembre!X22</f>
        <v/>
      </c>
      <c r="AQ237" s="289" t="str">
        <f>+Décembre!AF22</f>
        <v/>
      </c>
      <c r="AR237" s="289" t="str">
        <f t="shared" si="75"/>
        <v/>
      </c>
      <c r="AS237" s="289" t="str">
        <f>+Décembre!AE22</f>
        <v/>
      </c>
      <c r="AT237" s="289">
        <f>+Décembre!J22</f>
        <v>0</v>
      </c>
      <c r="AU237" s="279" t="str">
        <f t="shared" si="77"/>
        <v/>
      </c>
      <c r="AV237" s="178" t="str">
        <f t="shared" si="66"/>
        <v/>
      </c>
      <c r="AW237" s="179" t="str">
        <f>+IF(WEEKDAY(AL239)=1,SUM(AU$225:AU237),"")</f>
        <v/>
      </c>
      <c r="AX237" s="386"/>
    </row>
    <row r="238" spans="37:50" ht="15">
      <c r="AK238" s="797" t="str">
        <f t="shared" si="71"/>
        <v/>
      </c>
      <c r="AL238" s="286">
        <f t="shared" si="76"/>
        <v>43819</v>
      </c>
      <c r="AM238" s="287">
        <f>+Décembre!D23</f>
        <v>0</v>
      </c>
      <c r="AN238" s="287" t="str">
        <f t="shared" si="74"/>
        <v/>
      </c>
      <c r="AO238" s="288" t="str">
        <f>+Décembre!W23</f>
        <v/>
      </c>
      <c r="AP238" s="289" t="str">
        <f>+Décembre!X23</f>
        <v/>
      </c>
      <c r="AQ238" s="289" t="str">
        <f>+Décembre!AF23</f>
        <v/>
      </c>
      <c r="AR238" s="289" t="str">
        <f t="shared" si="75"/>
        <v/>
      </c>
      <c r="AS238" s="289" t="str">
        <f>+Décembre!AE23</f>
        <v/>
      </c>
      <c r="AT238" s="289">
        <f>+Décembre!J23</f>
        <v>0</v>
      </c>
      <c r="AU238" s="279">
        <f t="shared" si="77"/>
        <v>0</v>
      </c>
      <c r="AV238" s="178">
        <f t="shared" si="66"/>
        <v>0</v>
      </c>
      <c r="AW238" s="179">
        <f>+IF(WEEKDAY(AL240)=1,SUM(AU$225:AU238),"")</f>
        <v>7.1666666666666687</v>
      </c>
      <c r="AX238" s="386"/>
    </row>
    <row r="239" spans="37:50" ht="15">
      <c r="AK239" s="797" t="str">
        <f t="shared" si="71"/>
        <v/>
      </c>
      <c r="AL239" s="286">
        <f t="shared" si="76"/>
        <v>43820</v>
      </c>
      <c r="AM239" s="287">
        <f>+Décembre!D24</f>
        <v>0</v>
      </c>
      <c r="AN239" s="287" t="str">
        <f t="shared" si="74"/>
        <v/>
      </c>
      <c r="AO239" s="288" t="str">
        <f>+Décembre!W24</f>
        <v/>
      </c>
      <c r="AP239" s="289" t="str">
        <f>+Décembre!X24</f>
        <v/>
      </c>
      <c r="AQ239" s="289" t="str">
        <f>+Décembre!AF24</f>
        <v/>
      </c>
      <c r="AR239" s="289" t="str">
        <f t="shared" si="75"/>
        <v/>
      </c>
      <c r="AS239" s="289" t="str">
        <f>+Décembre!AE24</f>
        <v/>
      </c>
      <c r="AT239" s="289">
        <f>+Décembre!J24</f>
        <v>0</v>
      </c>
      <c r="AU239" s="279" t="str">
        <f t="shared" si="77"/>
        <v/>
      </c>
      <c r="AV239" s="178" t="str">
        <f t="shared" si="66"/>
        <v/>
      </c>
      <c r="AW239" s="179" t="str">
        <f>+IF(WEEKDAY(AL241)=1,SUM(AU$225:AU239),"")</f>
        <v/>
      </c>
      <c r="AX239" s="386"/>
    </row>
    <row r="240" spans="37:50" ht="15">
      <c r="AK240" s="797" t="str">
        <f t="shared" si="71"/>
        <v/>
      </c>
      <c r="AL240" s="286">
        <f t="shared" si="76"/>
        <v>43821</v>
      </c>
      <c r="AM240" s="287">
        <f>+Décembre!D25</f>
        <v>0</v>
      </c>
      <c r="AN240" s="287" t="str">
        <f t="shared" si="74"/>
        <v/>
      </c>
      <c r="AO240" s="288" t="str">
        <f>+Décembre!W25</f>
        <v/>
      </c>
      <c r="AP240" s="289" t="str">
        <f>+Décembre!X25</f>
        <v/>
      </c>
      <c r="AQ240" s="289" t="str">
        <f>+Décembre!AF25</f>
        <v/>
      </c>
      <c r="AR240" s="289" t="str">
        <f t="shared" si="75"/>
        <v/>
      </c>
      <c r="AS240" s="289" t="str">
        <f>+Décembre!AE25</f>
        <v/>
      </c>
      <c r="AT240" s="289">
        <f>+Décembre!J25</f>
        <v>0</v>
      </c>
      <c r="AU240" s="279" t="str">
        <f t="shared" si="77"/>
        <v/>
      </c>
      <c r="AV240" s="178" t="str">
        <f t="shared" si="66"/>
        <v/>
      </c>
      <c r="AW240" s="179" t="str">
        <f>+IF(WEEKDAY(AL242)=1,SUM(AU$225:AU240),"")</f>
        <v/>
      </c>
      <c r="AX240" s="386"/>
    </row>
    <row r="241" spans="37:56" ht="15">
      <c r="AK241" s="797" t="str">
        <f t="shared" si="71"/>
        <v/>
      </c>
      <c r="AL241" s="286">
        <f t="shared" si="76"/>
        <v>43822</v>
      </c>
      <c r="AM241" s="287">
        <f>+Décembre!D26</f>
        <v>0</v>
      </c>
      <c r="AN241" s="287" t="str">
        <f t="shared" si="74"/>
        <v/>
      </c>
      <c r="AO241" s="288" t="str">
        <f>+Décembre!W26</f>
        <v/>
      </c>
      <c r="AP241" s="289" t="str">
        <f>+Décembre!X26</f>
        <v/>
      </c>
      <c r="AQ241" s="289" t="str">
        <f>+Décembre!AF26</f>
        <v/>
      </c>
      <c r="AR241" s="289" t="str">
        <f t="shared" si="75"/>
        <v/>
      </c>
      <c r="AS241" s="289" t="str">
        <f>+Décembre!AE26</f>
        <v/>
      </c>
      <c r="AT241" s="289">
        <f>+Décembre!J26</f>
        <v>0</v>
      </c>
      <c r="AU241" s="279" t="str">
        <f t="shared" si="77"/>
        <v/>
      </c>
      <c r="AV241" s="178" t="str">
        <f t="shared" si="66"/>
        <v/>
      </c>
      <c r="AW241" s="179" t="str">
        <f>+IF(WEEKDAY(AL243)=1,SUM(AU$225:AU241),"")</f>
        <v/>
      </c>
      <c r="AX241" s="386"/>
    </row>
    <row r="242" spans="37:56" ht="15">
      <c r="AK242" s="797" t="str">
        <f t="shared" si="71"/>
        <v/>
      </c>
      <c r="AL242" s="286">
        <f t="shared" si="76"/>
        <v>43823</v>
      </c>
      <c r="AM242" s="287">
        <f>+Décembre!D27</f>
        <v>0</v>
      </c>
      <c r="AN242" s="287" t="str">
        <f t="shared" si="74"/>
        <v/>
      </c>
      <c r="AO242" s="288" t="str">
        <f>+Décembre!W27</f>
        <v/>
      </c>
      <c r="AP242" s="289" t="str">
        <f>+Décembre!X27</f>
        <v/>
      </c>
      <c r="AQ242" s="289" t="str">
        <f>+Décembre!AF27</f>
        <v/>
      </c>
      <c r="AR242" s="289" t="str">
        <f t="shared" si="75"/>
        <v/>
      </c>
      <c r="AS242" s="289" t="str">
        <f>+Décembre!AE27</f>
        <v/>
      </c>
      <c r="AT242" s="289">
        <f>+Décembre!J27</f>
        <v>0</v>
      </c>
      <c r="AU242" s="279" t="str">
        <f t="shared" si="77"/>
        <v/>
      </c>
      <c r="AV242" s="178" t="str">
        <f t="shared" si="66"/>
        <v/>
      </c>
      <c r="AW242" s="179" t="str">
        <f>+IF(WEEKDAY(AL244)=1,SUM(AU$225:AU242),"")</f>
        <v/>
      </c>
      <c r="AX242" s="386"/>
    </row>
    <row r="243" spans="37:56" ht="15">
      <c r="AK243" s="797" t="str">
        <f t="shared" si="71"/>
        <v/>
      </c>
      <c r="AL243" s="286">
        <f t="shared" si="76"/>
        <v>43824</v>
      </c>
      <c r="AM243" s="287">
        <f>+Décembre!D28</f>
        <v>0</v>
      </c>
      <c r="AN243" s="287" t="str">
        <f t="shared" si="74"/>
        <v/>
      </c>
      <c r="AO243" s="288" t="str">
        <f>+Décembre!W28</f>
        <v/>
      </c>
      <c r="AP243" s="289" t="str">
        <f>+Décembre!X28</f>
        <v/>
      </c>
      <c r="AQ243" s="289">
        <f>+Décembre!AF28</f>
        <v>6.9</v>
      </c>
      <c r="AR243" s="289">
        <f t="shared" si="75"/>
        <v>6.9</v>
      </c>
      <c r="AS243" s="289" t="str">
        <f>+Décembre!AE28</f>
        <v/>
      </c>
      <c r="AT243" s="289">
        <f>+Décembre!J28</f>
        <v>0</v>
      </c>
      <c r="AU243" s="279" t="str">
        <f t="shared" si="77"/>
        <v/>
      </c>
      <c r="AV243" s="178" t="str">
        <f t="shared" si="66"/>
        <v/>
      </c>
      <c r="AW243" s="179" t="str">
        <f>+IF(WEEKDAY(AL245)=1,SUM(AU$225:AU243),"")</f>
        <v/>
      </c>
      <c r="AX243" s="386"/>
    </row>
    <row r="244" spans="37:56" ht="15">
      <c r="AK244" s="797" t="str">
        <f t="shared" si="71"/>
        <v/>
      </c>
      <c r="AL244" s="286">
        <f t="shared" si="76"/>
        <v>43825</v>
      </c>
      <c r="AM244" s="287">
        <f>+Décembre!D29</f>
        <v>0</v>
      </c>
      <c r="AN244" s="287" t="str">
        <f t="shared" si="74"/>
        <v/>
      </c>
      <c r="AO244" s="288" t="str">
        <f>+Décembre!W29</f>
        <v/>
      </c>
      <c r="AP244" s="289" t="str">
        <f>+Décembre!X29</f>
        <v/>
      </c>
      <c r="AQ244" s="289" t="str">
        <f>+Décembre!AF29</f>
        <v/>
      </c>
      <c r="AR244" s="289" t="str">
        <f t="shared" si="75"/>
        <v/>
      </c>
      <c r="AS244" s="289" t="str">
        <f>+Décembre!AE29</f>
        <v/>
      </c>
      <c r="AT244" s="289">
        <f>+Décembre!J29</f>
        <v>0</v>
      </c>
      <c r="AU244" s="279" t="str">
        <f t="shared" si="77"/>
        <v/>
      </c>
      <c r="AV244" s="178" t="str">
        <f t="shared" si="66"/>
        <v/>
      </c>
      <c r="AW244" s="179" t="str">
        <f>+IF(WEEKDAY(AL246)=1,SUM(AU$225:AU244),"")</f>
        <v/>
      </c>
      <c r="AX244" s="386"/>
    </row>
    <row r="245" spans="37:56" ht="15">
      <c r="AK245" s="797" t="str">
        <f t="shared" si="71"/>
        <v/>
      </c>
      <c r="AL245" s="286">
        <f t="shared" si="76"/>
        <v>43826</v>
      </c>
      <c r="AM245" s="287">
        <f>+Décembre!D30</f>
        <v>0</v>
      </c>
      <c r="AN245" s="287" t="str">
        <f t="shared" si="74"/>
        <v/>
      </c>
      <c r="AO245" s="288" t="str">
        <f>+Décembre!W30</f>
        <v/>
      </c>
      <c r="AP245" s="289" t="str">
        <f>+Décembre!X30</f>
        <v/>
      </c>
      <c r="AQ245" s="289" t="str">
        <f>+Décembre!AF30</f>
        <v/>
      </c>
      <c r="AR245" s="289" t="str">
        <f t="shared" si="75"/>
        <v/>
      </c>
      <c r="AS245" s="289" t="str">
        <f>+Décembre!AE30</f>
        <v/>
      </c>
      <c r="AT245" s="289">
        <f>+Décembre!J30</f>
        <v>0</v>
      </c>
      <c r="AU245" s="279">
        <f t="shared" si="77"/>
        <v>0</v>
      </c>
      <c r="AV245" s="178">
        <f t="shared" si="66"/>
        <v>0</v>
      </c>
      <c r="AW245" s="178">
        <f>+IF(WEEKDAY(AL247)=1,SUM(AU$225:AU245),"")</f>
        <v>7.1666666666666687</v>
      </c>
      <c r="AX245" s="386"/>
    </row>
    <row r="246" spans="37:56" ht="15.75" thickBot="1">
      <c r="AK246" s="797" t="str">
        <f t="shared" si="71"/>
        <v/>
      </c>
      <c r="AL246" s="286">
        <f t="shared" si="76"/>
        <v>43827</v>
      </c>
      <c r="AM246" s="287">
        <f>+Décembre!D31</f>
        <v>0</v>
      </c>
      <c r="AN246" s="287" t="str">
        <f t="shared" si="74"/>
        <v/>
      </c>
      <c r="AO246" s="288" t="str">
        <f>+Décembre!W31</f>
        <v/>
      </c>
      <c r="AP246" s="289" t="str">
        <f>+Décembre!X31</f>
        <v/>
      </c>
      <c r="AQ246" s="289" t="str">
        <f>+Décembre!AF31</f>
        <v/>
      </c>
      <c r="AR246" s="289" t="str">
        <f t="shared" si="75"/>
        <v/>
      </c>
      <c r="AS246" s="289" t="str">
        <f>+Décembre!AE31</f>
        <v/>
      </c>
      <c r="AT246" s="289">
        <f>+Décembre!J31</f>
        <v>0</v>
      </c>
      <c r="AU246" s="279" t="str">
        <f t="shared" si="77"/>
        <v/>
      </c>
      <c r="AV246" s="178" t="str">
        <f t="shared" si="66"/>
        <v/>
      </c>
      <c r="AW246" s="179" t="str">
        <f>+IF(WEEKDAY(AL248)=1,SUM(AU$225:AU246),"")</f>
        <v/>
      </c>
      <c r="AX246" s="386"/>
    </row>
    <row r="247" spans="37:56" ht="15.75" thickBot="1">
      <c r="AK247" s="797" t="str">
        <f t="shared" si="71"/>
        <v/>
      </c>
      <c r="AL247" s="290">
        <f t="shared" si="76"/>
        <v>43828</v>
      </c>
      <c r="AM247" s="287">
        <f>+Décembre!D32</f>
        <v>0</v>
      </c>
      <c r="AN247" s="287" t="str">
        <f t="shared" si="74"/>
        <v/>
      </c>
      <c r="AO247" s="288" t="str">
        <f>+Décembre!W32</f>
        <v/>
      </c>
      <c r="AP247" s="289" t="str">
        <f>+Décembre!X32</f>
        <v/>
      </c>
      <c r="AQ247" s="289" t="str">
        <f>+Décembre!AF32</f>
        <v/>
      </c>
      <c r="AR247" s="289" t="str">
        <f t="shared" si="75"/>
        <v/>
      </c>
      <c r="AS247" s="289" t="str">
        <f>+Décembre!AE32</f>
        <v/>
      </c>
      <c r="AT247" s="289">
        <f>+Décembre!J32</f>
        <v>0</v>
      </c>
      <c r="AU247" s="279" t="str">
        <f t="shared" si="77"/>
        <v/>
      </c>
      <c r="AV247" s="178" t="str">
        <f t="shared" si="66"/>
        <v/>
      </c>
      <c r="AW247" s="179" t="str">
        <f>+IF(WEEKDAY(AL249)=1,SUM(AU$225:AU247),"")</f>
        <v/>
      </c>
      <c r="AX247" s="223">
        <f>+IF(WEEKDAY($AL$24)=1,SUM(AN220:AN247),IF(WEEKDAY($AL$25)=1,SUM(AN221:AN248),IF(WEEKDAY($AL$26)=1,SUM(AN222:AN249),IF(WEEKDAY($AL$27)=1,SUM(AN223:AN250),IF(WEEKDAY($AL$28)=1,SUM(AN224:AN251),IF(WEEKDAY($AL$29)=1,SUM(AN225:AN252),IF(WEEKDAY($AL$30)=1,SUM(AN226:AN253),"")))))))</f>
        <v>5</v>
      </c>
      <c r="AY247" s="223">
        <f t="shared" ref="AY247:BD247" si="78">+IF(WEEKDAY($AL$24)=1,SUM(AO220:AO247),IF(WEEKDAY($AL$25)=1,SUM(AO221:AO248),IF(WEEKDAY($AL$26)=1,SUM(AO222:AO249),IF(WEEKDAY($AL$27)=1,SUM(AO223:AO250),IF(WEEKDAY($AL$28)=1,SUM(AO224:AO251),IF(WEEKDAY($AL$29)=1,SUM(AO225:AO252),IF(WEEKDAY($AL$30)=1,SUM(AO226:AO253),"")))))))</f>
        <v>36.666666666666671</v>
      </c>
      <c r="AZ247" s="223">
        <f t="shared" si="78"/>
        <v>0</v>
      </c>
      <c r="BA247" s="223">
        <f t="shared" si="78"/>
        <v>10.8</v>
      </c>
      <c r="BB247" s="223">
        <f t="shared" si="78"/>
        <v>6.9</v>
      </c>
      <c r="BC247" s="223">
        <f>+IF(WEEKDAY($AL$24)=1,SUM(AS220:AS247),IF(WEEKDAY($AL$25)=1,SUM(AS221:AS248),IF(WEEKDAY($AL$26)=1,SUM(AS222:AS249),IF(WEEKDAY($AL$27)=1,SUM(AS223:AS250),IF(WEEKDAY($AL$28)=1,SUM(AS224:AS251),IF(WEEKDAY($AL$29)=1,SUM(AS225:AS252),IF(WEEKDAY($AL$30)=1,SUM(AS226:AS253),"")))))))</f>
        <v>3</v>
      </c>
      <c r="BD247" s="223">
        <f t="shared" si="78"/>
        <v>0</v>
      </c>
    </row>
    <row r="248" spans="37:56" ht="15.75" thickBot="1">
      <c r="AK248" s="797">
        <f t="shared" si="71"/>
        <v>9</v>
      </c>
      <c r="AL248" s="286">
        <f t="shared" si="76"/>
        <v>43829</v>
      </c>
      <c r="AM248" s="287" t="str">
        <f>+Décembre!D33</f>
        <v>N</v>
      </c>
      <c r="AN248" s="287">
        <f t="shared" si="74"/>
        <v>1</v>
      </c>
      <c r="AO248" s="288">
        <f>+Décembre!W33</f>
        <v>7.7499999999999991</v>
      </c>
      <c r="AP248" s="289" t="str">
        <f>+Décembre!X33</f>
        <v/>
      </c>
      <c r="AQ248" s="289" t="str">
        <f>+Décembre!AF33</f>
        <v/>
      </c>
      <c r="AR248" s="289" t="str">
        <f t="shared" si="75"/>
        <v/>
      </c>
      <c r="AS248" s="289" t="str">
        <f>+Décembre!AE33</f>
        <v/>
      </c>
      <c r="AT248" s="289">
        <f>+Décembre!J33</f>
        <v>0</v>
      </c>
      <c r="AU248" s="279" t="str">
        <f t="shared" si="77"/>
        <v/>
      </c>
      <c r="AV248" s="178" t="str">
        <f t="shared" si="66"/>
        <v/>
      </c>
      <c r="AW248" s="179" t="str">
        <f>+IF(WEEKDAY(AL250)=1,SUM(AU$225:AU248),"")</f>
        <v/>
      </c>
      <c r="AX248" s="386"/>
    </row>
    <row r="249" spans="37:56" ht="16.5" thickTop="1" thickBot="1">
      <c r="AK249" s="797" t="str">
        <f t="shared" si="71"/>
        <v/>
      </c>
      <c r="AL249" s="286">
        <f t="shared" si="76"/>
        <v>43830</v>
      </c>
      <c r="AM249" s="287">
        <f>+Décembre!D34</f>
        <v>0</v>
      </c>
      <c r="AN249" s="287" t="str">
        <f t="shared" si="74"/>
        <v/>
      </c>
      <c r="AO249" s="288" t="str">
        <f>+Décembre!W34</f>
        <v/>
      </c>
      <c r="AP249" s="289" t="str">
        <f>+Décembre!X34</f>
        <v/>
      </c>
      <c r="AQ249" s="289" t="str">
        <f>+Décembre!AF34</f>
        <v/>
      </c>
      <c r="AR249" s="289" t="str">
        <f t="shared" si="75"/>
        <v/>
      </c>
      <c r="AS249" s="289" t="str">
        <f>+Décembre!AE34</f>
        <v/>
      </c>
      <c r="AT249" s="289">
        <f>+Décembre!J34</f>
        <v>0</v>
      </c>
      <c r="AU249" s="279" t="str">
        <f t="shared" si="77"/>
        <v/>
      </c>
      <c r="AV249" s="178" t="str">
        <f t="shared" si="66"/>
        <v/>
      </c>
      <c r="AW249" s="179" t="str">
        <f>+IF(WEEKDAY(AL251)=1,SUM(AU$225:AU249),"")</f>
        <v/>
      </c>
      <c r="AX249" s="386"/>
      <c r="AZ249" s="936" t="str">
        <f>+IF(WEEKDAY(AL$26)=1,"Fin cycle 8",IF(WEEKDAY(AL$27)=1,"Fin cycle 8",IF(WEEKDAY(AL$28)=1,"Fin cycle 8",IF(WEEKDAY(AL$29)=1,"Fin cycle 8",IF(WEEKDAY(AL$30)=1,"Fin cycle 8",IF(WEEKDAY(AL$31)=1,"Fin cycle 8",IF(WEEKDAY(AL$32)=1,"Fin cycle 8","")))))))</f>
        <v>Fin cycle 8</v>
      </c>
      <c r="BA249" s="937"/>
      <c r="BB249" s="275">
        <f>SUM(AY247:AZ247)+BD247</f>
        <v>36.666666666666671</v>
      </c>
      <c r="BC249" s="590"/>
    </row>
    <row r="250" spans="37:56" ht="15">
      <c r="AK250" s="797" t="str">
        <f t="shared" si="71"/>
        <v/>
      </c>
      <c r="AL250" s="286">
        <f t="shared" si="76"/>
        <v>43831</v>
      </c>
      <c r="AM250" s="287" t="str">
        <f>+Janvier!D4</f>
        <v>N</v>
      </c>
      <c r="AN250" s="287">
        <f t="shared" ref="AN250" si="79">+IF(AM250=0,"",IF(AM250="CP","",1))</f>
        <v>1</v>
      </c>
      <c r="AO250" s="288">
        <f>+Janvier!W4</f>
        <v>7.666666666666667</v>
      </c>
      <c r="AP250" s="289" t="str">
        <f>+Janvier!X4</f>
        <v/>
      </c>
      <c r="AQ250" s="289">
        <f>+Janvier!AF4</f>
        <v>3.9000000000000004</v>
      </c>
      <c r="AR250" s="289" t="str">
        <f t="shared" ref="AR250" si="80">+IF(AS250&lt;&gt;"","",AQ250)</f>
        <v/>
      </c>
      <c r="AS250" s="289">
        <f>+Janvier!AE4</f>
        <v>3</v>
      </c>
      <c r="AT250" s="289">
        <f>+Janvier!J4</f>
        <v>0</v>
      </c>
      <c r="AU250" s="279" t="str">
        <f t="shared" si="77"/>
        <v/>
      </c>
      <c r="AV250" s="178" t="str">
        <f t="shared" si="66"/>
        <v/>
      </c>
      <c r="AW250" s="179" t="str">
        <f>+IF(WEEKDAY(AL252)=1,SUM(AU$225:AU250),"")</f>
        <v/>
      </c>
      <c r="AX250" s="386"/>
    </row>
    <row r="251" spans="37:56" ht="15">
      <c r="AK251" s="797" t="str">
        <f t="shared" si="71"/>
        <v/>
      </c>
      <c r="AL251" s="286">
        <f t="shared" si="76"/>
        <v>43832</v>
      </c>
      <c r="AM251" s="287" t="str">
        <f>+Janvier!D5</f>
        <v>N</v>
      </c>
      <c r="AN251" s="287">
        <f t="shared" ref="AN251:AN280" si="81">+IF(AM251=0,"",IF(AM251="CP","",1))</f>
        <v>1</v>
      </c>
      <c r="AO251" s="288">
        <f>+Janvier!W5</f>
        <v>7.7499999999999991</v>
      </c>
      <c r="AP251" s="289" t="str">
        <f>+Janvier!X5</f>
        <v/>
      </c>
      <c r="AQ251" s="289" t="str">
        <f>+Janvier!AF5</f>
        <v/>
      </c>
      <c r="AR251" s="289" t="str">
        <f t="shared" ref="AR251:AR280" si="82">+IF(AS251&lt;&gt;"","",AQ251)</f>
        <v/>
      </c>
      <c r="AS251" s="289" t="str">
        <f>+Janvier!AE5</f>
        <v/>
      </c>
      <c r="AT251" s="289">
        <f>+Janvier!J5</f>
        <v>0</v>
      </c>
      <c r="AU251" s="279" t="str">
        <f t="shared" si="77"/>
        <v/>
      </c>
      <c r="AV251" s="178" t="str">
        <f t="shared" si="66"/>
        <v/>
      </c>
      <c r="AW251" s="179" t="str">
        <f>+IF(WEEKDAY(AL253)=1,SUM(AU$225:AU251),"")</f>
        <v/>
      </c>
      <c r="AX251" s="386"/>
    </row>
    <row r="252" spans="37:56" ht="15">
      <c r="AK252" s="797" t="str">
        <f t="shared" si="71"/>
        <v/>
      </c>
      <c r="AL252" s="286">
        <f t="shared" si="76"/>
        <v>43833</v>
      </c>
      <c r="AM252" s="287" t="str">
        <f>+Janvier!D6</f>
        <v>N</v>
      </c>
      <c r="AN252" s="287">
        <f t="shared" si="81"/>
        <v>1</v>
      </c>
      <c r="AO252" s="288">
        <f>+Janvier!W6</f>
        <v>6.3333333333333348</v>
      </c>
      <c r="AP252" s="289" t="str">
        <f>+Janvier!X6</f>
        <v/>
      </c>
      <c r="AQ252" s="289" t="str">
        <f>+Janvier!AF6</f>
        <v/>
      </c>
      <c r="AR252" s="289" t="str">
        <f t="shared" si="82"/>
        <v/>
      </c>
      <c r="AS252" s="289" t="str">
        <f>+Janvier!AE6</f>
        <v/>
      </c>
      <c r="AT252" s="289">
        <f>+Janvier!J6</f>
        <v>0</v>
      </c>
      <c r="AU252" s="279">
        <f t="shared" si="77"/>
        <v>29.5</v>
      </c>
      <c r="AV252" s="178">
        <f t="shared" si="66"/>
        <v>0</v>
      </c>
      <c r="AW252" s="179">
        <f>+IF(WEEKDAY(AL254)=1,SUM(AU$225:AU252),"")</f>
        <v>36.666666666666671</v>
      </c>
      <c r="AX252" s="386"/>
    </row>
    <row r="253" spans="37:56" ht="15">
      <c r="AK253" s="797" t="str">
        <f t="shared" si="71"/>
        <v/>
      </c>
      <c r="AL253" s="286">
        <f t="shared" si="76"/>
        <v>43834</v>
      </c>
      <c r="AM253" s="287">
        <f>+Janvier!D7</f>
        <v>0</v>
      </c>
      <c r="AN253" s="287" t="str">
        <f t="shared" si="81"/>
        <v/>
      </c>
      <c r="AO253" s="288" t="str">
        <f>+Janvier!W7</f>
        <v/>
      </c>
      <c r="AP253" s="289" t="str">
        <f>+Janvier!X7</f>
        <v/>
      </c>
      <c r="AQ253" s="289" t="str">
        <f>+Janvier!AF7</f>
        <v/>
      </c>
      <c r="AR253" s="289" t="str">
        <f t="shared" si="82"/>
        <v/>
      </c>
      <c r="AS253" s="289" t="str">
        <f>+Janvier!AE7</f>
        <v/>
      </c>
      <c r="AT253" s="289">
        <f>+Janvier!J7</f>
        <v>0</v>
      </c>
      <c r="AU253" s="279" t="str">
        <f t="shared" si="77"/>
        <v/>
      </c>
      <c r="AV253" s="178" t="str">
        <f t="shared" ref="AV253:AV306" si="83">+IF(WEEKDAY(AL255)=1,SUM(AP247:AP253),"")</f>
        <v/>
      </c>
      <c r="AW253" s="179" t="str">
        <f>+IF(WEEKDAY(AL255)=1,SUM(AU$253:AU253),"")</f>
        <v/>
      </c>
      <c r="AX253" s="386"/>
    </row>
    <row r="254" spans="37:56" ht="15">
      <c r="AK254" s="797" t="str">
        <f t="shared" si="71"/>
        <v/>
      </c>
      <c r="AL254" s="286">
        <f t="shared" si="76"/>
        <v>43835</v>
      </c>
      <c r="AM254" s="287">
        <f>+Janvier!D8</f>
        <v>0</v>
      </c>
      <c r="AN254" s="287" t="str">
        <f t="shared" si="81"/>
        <v/>
      </c>
      <c r="AO254" s="288" t="str">
        <f>+Janvier!W8</f>
        <v/>
      </c>
      <c r="AP254" s="289" t="str">
        <f>+Janvier!X8</f>
        <v/>
      </c>
      <c r="AQ254" s="289" t="str">
        <f>+Janvier!AF8</f>
        <v/>
      </c>
      <c r="AR254" s="289" t="str">
        <f t="shared" si="82"/>
        <v/>
      </c>
      <c r="AS254" s="289" t="str">
        <f>+Janvier!AE8</f>
        <v/>
      </c>
      <c r="AT254" s="289">
        <f>+Janvier!J8</f>
        <v>0</v>
      </c>
      <c r="AU254" s="279" t="str">
        <f t="shared" si="77"/>
        <v/>
      </c>
      <c r="AV254" s="178" t="str">
        <f t="shared" si="83"/>
        <v/>
      </c>
      <c r="AW254" s="179" t="str">
        <f>+IF(WEEKDAY(AL256)=1,SUM(AU$253:AU254),"")</f>
        <v/>
      </c>
      <c r="AX254" s="386"/>
    </row>
    <row r="255" spans="37:56" ht="15">
      <c r="AK255" s="797" t="str">
        <f t="shared" si="71"/>
        <v/>
      </c>
      <c r="AL255" s="286">
        <f t="shared" si="76"/>
        <v>43836</v>
      </c>
      <c r="AM255" s="287" t="str">
        <f>+Janvier!D9</f>
        <v>AM</v>
      </c>
      <c r="AN255" s="287">
        <f t="shared" si="81"/>
        <v>1</v>
      </c>
      <c r="AO255" s="288">
        <f>+Janvier!W9</f>
        <v>7.7499999999999991</v>
      </c>
      <c r="AP255" s="289" t="str">
        <f>+Janvier!X9</f>
        <v/>
      </c>
      <c r="AQ255" s="289" t="str">
        <f>+Janvier!AF9</f>
        <v/>
      </c>
      <c r="AR255" s="289" t="str">
        <f t="shared" si="82"/>
        <v/>
      </c>
      <c r="AS255" s="289" t="str">
        <f>+Janvier!AE9</f>
        <v/>
      </c>
      <c r="AT255" s="289">
        <f>+Janvier!J9</f>
        <v>0</v>
      </c>
      <c r="AU255" s="279" t="str">
        <f t="shared" si="77"/>
        <v/>
      </c>
      <c r="AV255" s="178" t="str">
        <f t="shared" si="83"/>
        <v/>
      </c>
      <c r="AW255" s="179" t="str">
        <f>+IF(WEEKDAY(AL257)=1,SUM(AU$253:AU255),"")</f>
        <v/>
      </c>
      <c r="AX255" s="386"/>
    </row>
    <row r="256" spans="37:56" ht="15">
      <c r="AK256" s="797" t="str">
        <f t="shared" si="71"/>
        <v/>
      </c>
      <c r="AL256" s="286">
        <f t="shared" si="76"/>
        <v>43837</v>
      </c>
      <c r="AM256" s="287" t="str">
        <f>+Janvier!D10</f>
        <v>AM</v>
      </c>
      <c r="AN256" s="287">
        <f t="shared" si="81"/>
        <v>1</v>
      </c>
      <c r="AO256" s="288">
        <f>+Janvier!W10</f>
        <v>7.7499999999999991</v>
      </c>
      <c r="AP256" s="289" t="str">
        <f>+Janvier!X10</f>
        <v/>
      </c>
      <c r="AQ256" s="289" t="str">
        <f>+Janvier!AF10</f>
        <v/>
      </c>
      <c r="AR256" s="289" t="str">
        <f t="shared" si="82"/>
        <v/>
      </c>
      <c r="AS256" s="289" t="str">
        <f>+Janvier!AE10</f>
        <v/>
      </c>
      <c r="AT256" s="289">
        <f>+Janvier!J10</f>
        <v>0</v>
      </c>
      <c r="AU256" s="279" t="str">
        <f t="shared" si="77"/>
        <v/>
      </c>
      <c r="AV256" s="178" t="str">
        <f t="shared" si="83"/>
        <v/>
      </c>
      <c r="AW256" s="179" t="str">
        <f>+IF(WEEKDAY(AL258)=1,SUM(AU$253:AU256),"")</f>
        <v/>
      </c>
      <c r="AX256" s="386"/>
    </row>
    <row r="257" spans="37:50" ht="15">
      <c r="AK257" s="797" t="str">
        <f t="shared" si="71"/>
        <v/>
      </c>
      <c r="AL257" s="286">
        <f t="shared" si="76"/>
        <v>43838</v>
      </c>
      <c r="AM257" s="287">
        <f>+Janvier!D11</f>
        <v>0</v>
      </c>
      <c r="AN257" s="287" t="str">
        <f t="shared" si="81"/>
        <v/>
      </c>
      <c r="AO257" s="288" t="str">
        <f>+Janvier!W11</f>
        <v/>
      </c>
      <c r="AP257" s="289" t="str">
        <f>+Janvier!X11</f>
        <v/>
      </c>
      <c r="AQ257" s="289" t="str">
        <f>+Janvier!AF11</f>
        <v/>
      </c>
      <c r="AR257" s="289" t="str">
        <f t="shared" si="82"/>
        <v/>
      </c>
      <c r="AS257" s="289" t="str">
        <f>+Janvier!AE11</f>
        <v/>
      </c>
      <c r="AT257" s="289">
        <f>+Janvier!J11</f>
        <v>0</v>
      </c>
      <c r="AU257" s="279" t="str">
        <f t="shared" si="77"/>
        <v/>
      </c>
      <c r="AV257" s="178" t="str">
        <f t="shared" si="83"/>
        <v/>
      </c>
      <c r="AW257" s="179" t="str">
        <f>+IF(WEEKDAY(AL259)=1,SUM(AU$253:AU257),"")</f>
        <v/>
      </c>
      <c r="AX257" s="386"/>
    </row>
    <row r="258" spans="37:50" ht="15">
      <c r="AK258" s="797" t="str">
        <f t="shared" si="71"/>
        <v/>
      </c>
      <c r="AL258" s="286">
        <f t="shared" si="76"/>
        <v>43839</v>
      </c>
      <c r="AM258" s="287">
        <f>+Janvier!D12</f>
        <v>0</v>
      </c>
      <c r="AN258" s="287" t="str">
        <f t="shared" si="81"/>
        <v/>
      </c>
      <c r="AO258" s="288" t="str">
        <f>+Janvier!W12</f>
        <v/>
      </c>
      <c r="AP258" s="289" t="str">
        <f>+Janvier!X12</f>
        <v/>
      </c>
      <c r="AQ258" s="289" t="str">
        <f>+Janvier!AF12</f>
        <v/>
      </c>
      <c r="AR258" s="289" t="str">
        <f t="shared" si="82"/>
        <v/>
      </c>
      <c r="AS258" s="289" t="str">
        <f>+Janvier!AE12</f>
        <v/>
      </c>
      <c r="AT258" s="289">
        <f>+Janvier!J12</f>
        <v>0</v>
      </c>
      <c r="AU258" s="279" t="str">
        <f t="shared" si="77"/>
        <v/>
      </c>
      <c r="AV258" s="178" t="str">
        <f t="shared" si="83"/>
        <v/>
      </c>
      <c r="AW258" s="179" t="str">
        <f>+IF(WEEKDAY(AL260)=1,SUM(AU$253:AU258),"")</f>
        <v/>
      </c>
      <c r="AX258" s="386"/>
    </row>
    <row r="259" spans="37:50" ht="15">
      <c r="AK259" s="797" t="str">
        <f t="shared" si="71"/>
        <v/>
      </c>
      <c r="AL259" s="286">
        <f t="shared" si="76"/>
        <v>43840</v>
      </c>
      <c r="AM259" s="287" t="str">
        <f>+Janvier!D13</f>
        <v>AM</v>
      </c>
      <c r="AN259" s="287">
        <f t="shared" si="81"/>
        <v>1</v>
      </c>
      <c r="AO259" s="288">
        <f>+Janvier!W13</f>
        <v>5.0833333333333321</v>
      </c>
      <c r="AP259" s="289" t="str">
        <f>+Janvier!X13</f>
        <v/>
      </c>
      <c r="AQ259" s="289" t="str">
        <f>+Janvier!AF13</f>
        <v/>
      </c>
      <c r="AR259" s="289" t="str">
        <f t="shared" si="82"/>
        <v/>
      </c>
      <c r="AS259" s="289" t="str">
        <f>+Janvier!AE13</f>
        <v/>
      </c>
      <c r="AT259" s="289">
        <f>+Janvier!J13</f>
        <v>0</v>
      </c>
      <c r="AU259" s="279">
        <f t="shared" si="77"/>
        <v>20.583333333333329</v>
      </c>
      <c r="AV259" s="178">
        <f t="shared" si="83"/>
        <v>0</v>
      </c>
      <c r="AW259" s="179">
        <f>+IF(WEEKDAY(AL261)=1,SUM(AU$253:AU259),"")</f>
        <v>20.583333333333329</v>
      </c>
      <c r="AX259" s="386"/>
    </row>
    <row r="260" spans="37:50" ht="14.25" customHeight="1">
      <c r="AK260" s="797" t="str">
        <f t="shared" si="71"/>
        <v/>
      </c>
      <c r="AL260" s="286">
        <f t="shared" si="76"/>
        <v>43841</v>
      </c>
      <c r="AM260" s="287">
        <f>+Janvier!D14</f>
        <v>0</v>
      </c>
      <c r="AN260" s="287" t="str">
        <f t="shared" si="81"/>
        <v/>
      </c>
      <c r="AO260" s="288" t="str">
        <f>+Janvier!W14</f>
        <v/>
      </c>
      <c r="AP260" s="289" t="str">
        <f>+Janvier!X14</f>
        <v/>
      </c>
      <c r="AQ260" s="289" t="str">
        <f>+Janvier!AF14</f>
        <v/>
      </c>
      <c r="AR260" s="289" t="str">
        <f t="shared" si="82"/>
        <v/>
      </c>
      <c r="AS260" s="289" t="str">
        <f>+Janvier!AE14</f>
        <v/>
      </c>
      <c r="AT260" s="289">
        <f>+Janvier!J14</f>
        <v>0</v>
      </c>
      <c r="AU260" s="279" t="str">
        <f t="shared" si="77"/>
        <v/>
      </c>
      <c r="AV260" s="178" t="str">
        <f t="shared" si="83"/>
        <v/>
      </c>
      <c r="AW260" s="179" t="str">
        <f>+IF(WEEKDAY(AL262)=1,SUM(AU$253:AU260),"")</f>
        <v/>
      </c>
      <c r="AX260" s="386"/>
    </row>
    <row r="261" spans="37:50" ht="15">
      <c r="AK261" s="797" t="str">
        <f t="shared" si="71"/>
        <v/>
      </c>
      <c r="AL261" s="286">
        <f t="shared" si="76"/>
        <v>43842</v>
      </c>
      <c r="AM261" s="287">
        <f>+Janvier!D15</f>
        <v>0</v>
      </c>
      <c r="AN261" s="287" t="str">
        <f t="shared" si="81"/>
        <v/>
      </c>
      <c r="AO261" s="288" t="str">
        <f>+Janvier!W15</f>
        <v/>
      </c>
      <c r="AP261" s="289" t="str">
        <f>+Janvier!X15</f>
        <v/>
      </c>
      <c r="AQ261" s="289" t="str">
        <f>+Janvier!AF15</f>
        <v/>
      </c>
      <c r="AR261" s="289" t="str">
        <f t="shared" si="82"/>
        <v/>
      </c>
      <c r="AS261" s="289" t="str">
        <f>+Janvier!AE15</f>
        <v/>
      </c>
      <c r="AT261" s="289">
        <f>+Janvier!J15</f>
        <v>0</v>
      </c>
      <c r="AU261" s="279" t="str">
        <f t="shared" si="77"/>
        <v/>
      </c>
      <c r="AV261" s="178" t="str">
        <f t="shared" si="83"/>
        <v/>
      </c>
      <c r="AW261" s="179" t="str">
        <f>+IF(WEEKDAY(AL263)=1,SUM(AU$253:AU261),"")</f>
        <v/>
      </c>
      <c r="AX261" s="386"/>
    </row>
    <row r="262" spans="37:50" ht="15">
      <c r="AK262" s="797" t="str">
        <f t="shared" si="71"/>
        <v/>
      </c>
      <c r="AL262" s="286">
        <f t="shared" si="76"/>
        <v>43843</v>
      </c>
      <c r="AM262" s="287">
        <f>+Janvier!D16</f>
        <v>0</v>
      </c>
      <c r="AN262" s="287" t="str">
        <f t="shared" si="81"/>
        <v/>
      </c>
      <c r="AO262" s="288" t="str">
        <f>+Janvier!W16</f>
        <v/>
      </c>
      <c r="AP262" s="289" t="str">
        <f>+Janvier!X16</f>
        <v/>
      </c>
      <c r="AQ262" s="289" t="str">
        <f>+Janvier!AF16</f>
        <v/>
      </c>
      <c r="AR262" s="289" t="str">
        <f t="shared" si="82"/>
        <v/>
      </c>
      <c r="AS262" s="289" t="str">
        <f>+Janvier!AE16</f>
        <v/>
      </c>
      <c r="AT262" s="289">
        <f>+Janvier!J16</f>
        <v>0</v>
      </c>
      <c r="AU262" s="279" t="str">
        <f t="shared" ref="AU262:AU293" si="84">+IF(WEEKDAY(AL264)=1,SUM(AO256:AP262),"")</f>
        <v/>
      </c>
      <c r="AV262" s="178" t="str">
        <f t="shared" si="83"/>
        <v/>
      </c>
      <c r="AW262" s="179" t="str">
        <f>+IF(WEEKDAY(AL264)=1,SUM(AU$253:AU262),"")</f>
        <v/>
      </c>
      <c r="AX262" s="386"/>
    </row>
    <row r="263" spans="37:50" ht="15">
      <c r="AK263" s="797" t="str">
        <f t="shared" si="71"/>
        <v/>
      </c>
      <c r="AL263" s="286">
        <f t="shared" si="76"/>
        <v>43844</v>
      </c>
      <c r="AM263" s="287">
        <f>+Janvier!D17</f>
        <v>0</v>
      </c>
      <c r="AN263" s="287" t="str">
        <f t="shared" si="81"/>
        <v/>
      </c>
      <c r="AO263" s="288" t="str">
        <f>+Janvier!W17</f>
        <v/>
      </c>
      <c r="AP263" s="289" t="str">
        <f>+Janvier!X17</f>
        <v/>
      </c>
      <c r="AQ263" s="289" t="str">
        <f>+Janvier!AF17</f>
        <v/>
      </c>
      <c r="AR263" s="289" t="str">
        <f t="shared" si="82"/>
        <v/>
      </c>
      <c r="AS263" s="289" t="str">
        <f>+Janvier!AE17</f>
        <v/>
      </c>
      <c r="AT263" s="289">
        <f>+Janvier!J17</f>
        <v>0</v>
      </c>
      <c r="AU263" s="279" t="str">
        <f t="shared" si="84"/>
        <v/>
      </c>
      <c r="AV263" s="178" t="str">
        <f t="shared" si="83"/>
        <v/>
      </c>
      <c r="AW263" s="179" t="str">
        <f>+IF(WEEKDAY(AL265)=1,SUM(AU$253:AU263),"")</f>
        <v/>
      </c>
      <c r="AX263" s="386"/>
    </row>
    <row r="264" spans="37:50" ht="15">
      <c r="AK264" s="797" t="str">
        <f t="shared" si="71"/>
        <v/>
      </c>
      <c r="AL264" s="286">
        <f t="shared" si="76"/>
        <v>43845</v>
      </c>
      <c r="AM264" s="287">
        <f>+Janvier!D18</f>
        <v>0</v>
      </c>
      <c r="AN264" s="287" t="str">
        <f t="shared" si="81"/>
        <v/>
      </c>
      <c r="AO264" s="288" t="str">
        <f>+Janvier!W18</f>
        <v/>
      </c>
      <c r="AP264" s="289" t="str">
        <f>+Janvier!X18</f>
        <v/>
      </c>
      <c r="AQ264" s="289" t="str">
        <f>+Janvier!AF18</f>
        <v/>
      </c>
      <c r="AR264" s="289" t="str">
        <f t="shared" si="82"/>
        <v/>
      </c>
      <c r="AS264" s="289" t="str">
        <f>+Janvier!AE18</f>
        <v/>
      </c>
      <c r="AT264" s="289">
        <f>+Janvier!J18</f>
        <v>0</v>
      </c>
      <c r="AU264" s="279" t="str">
        <f t="shared" si="84"/>
        <v/>
      </c>
      <c r="AV264" s="178" t="str">
        <f t="shared" si="83"/>
        <v/>
      </c>
      <c r="AW264" s="179" t="str">
        <f>+IF(WEEKDAY(AL266)=1,SUM(AU$253:AU264),"")</f>
        <v/>
      </c>
      <c r="AX264" s="386"/>
    </row>
    <row r="265" spans="37:50" ht="15">
      <c r="AK265" s="797" t="str">
        <f t="shared" si="71"/>
        <v/>
      </c>
      <c r="AL265" s="286">
        <f t="shared" si="76"/>
        <v>43846</v>
      </c>
      <c r="AM265" s="287" t="str">
        <f>+Janvier!D19</f>
        <v>M</v>
      </c>
      <c r="AN265" s="287">
        <f t="shared" si="81"/>
        <v>1</v>
      </c>
      <c r="AO265" s="288">
        <f>+Janvier!W19</f>
        <v>7.7500000000000009</v>
      </c>
      <c r="AP265" s="289" t="str">
        <f>+Janvier!X19</f>
        <v/>
      </c>
      <c r="AQ265" s="289" t="str">
        <f>+Janvier!AF19</f>
        <v/>
      </c>
      <c r="AR265" s="289" t="str">
        <f t="shared" si="82"/>
        <v/>
      </c>
      <c r="AS265" s="289" t="str">
        <f>+Janvier!AE19</f>
        <v/>
      </c>
      <c r="AT265" s="289">
        <f>+Janvier!J19</f>
        <v>0</v>
      </c>
      <c r="AU265" s="279" t="str">
        <f t="shared" si="84"/>
        <v/>
      </c>
      <c r="AV265" s="178" t="str">
        <f t="shared" si="83"/>
        <v/>
      </c>
      <c r="AW265" s="179" t="str">
        <f>+IF(WEEKDAY(AL267)=1,SUM(AU$253:AU265),"")</f>
        <v/>
      </c>
      <c r="AX265" s="386"/>
    </row>
    <row r="266" spans="37:50" ht="15">
      <c r="AK266" s="797" t="str">
        <f t="shared" si="71"/>
        <v/>
      </c>
      <c r="AL266" s="286">
        <f t="shared" si="76"/>
        <v>43847</v>
      </c>
      <c r="AM266" s="287" t="str">
        <f>+Janvier!D20</f>
        <v>M</v>
      </c>
      <c r="AN266" s="287">
        <f t="shared" si="81"/>
        <v>1</v>
      </c>
      <c r="AO266" s="288">
        <f>+Janvier!W20</f>
        <v>5.5833333333333357</v>
      </c>
      <c r="AP266" s="289" t="str">
        <f>+Janvier!X20</f>
        <v/>
      </c>
      <c r="AQ266" s="289" t="str">
        <f>+Janvier!AF20</f>
        <v/>
      </c>
      <c r="AR266" s="289" t="str">
        <f t="shared" si="82"/>
        <v/>
      </c>
      <c r="AS266" s="289" t="str">
        <f>+Janvier!AE20</f>
        <v/>
      </c>
      <c r="AT266" s="289">
        <f>+Janvier!J20</f>
        <v>0</v>
      </c>
      <c r="AU266" s="279">
        <f t="shared" si="84"/>
        <v>13.333333333333336</v>
      </c>
      <c r="AV266" s="178">
        <f t="shared" si="83"/>
        <v>0</v>
      </c>
      <c r="AW266" s="179">
        <f>+IF(WEEKDAY(AL268)=1,SUM(AU$253:AU266),"")</f>
        <v>33.916666666666664</v>
      </c>
      <c r="AX266" s="386"/>
    </row>
    <row r="267" spans="37:50" ht="15">
      <c r="AK267" s="797" t="str">
        <f t="shared" si="71"/>
        <v/>
      </c>
      <c r="AL267" s="286">
        <f t="shared" si="76"/>
        <v>43848</v>
      </c>
      <c r="AM267" s="287">
        <f>+Janvier!D21</f>
        <v>0</v>
      </c>
      <c r="AN267" s="287" t="str">
        <f t="shared" si="81"/>
        <v/>
      </c>
      <c r="AO267" s="288" t="str">
        <f>+Janvier!W21</f>
        <v/>
      </c>
      <c r="AP267" s="289" t="str">
        <f>+Janvier!X21</f>
        <v/>
      </c>
      <c r="AQ267" s="289" t="str">
        <f>+Janvier!AF21</f>
        <v/>
      </c>
      <c r="AR267" s="289" t="str">
        <f t="shared" si="82"/>
        <v/>
      </c>
      <c r="AS267" s="289" t="str">
        <f>+Janvier!AE21</f>
        <v/>
      </c>
      <c r="AT267" s="289">
        <f>+Janvier!J21</f>
        <v>0</v>
      </c>
      <c r="AU267" s="279" t="str">
        <f t="shared" si="84"/>
        <v/>
      </c>
      <c r="AV267" s="178" t="str">
        <f t="shared" si="83"/>
        <v/>
      </c>
      <c r="AW267" s="179" t="str">
        <f>+IF(WEEKDAY(AL269)=1,SUM(AU$253:AU267),"")</f>
        <v/>
      </c>
      <c r="AX267" s="386"/>
    </row>
    <row r="268" spans="37:50" ht="15">
      <c r="AK268" s="797" t="str">
        <f t="shared" si="71"/>
        <v/>
      </c>
      <c r="AL268" s="286">
        <f t="shared" si="76"/>
        <v>43849</v>
      </c>
      <c r="AM268" s="287" t="str">
        <f>+Janvier!D22</f>
        <v>M</v>
      </c>
      <c r="AN268" s="287">
        <f t="shared" si="81"/>
        <v>1</v>
      </c>
      <c r="AO268" s="288">
        <f>+Janvier!W22</f>
        <v>7.2500000000000027</v>
      </c>
      <c r="AP268" s="289" t="str">
        <f>+Janvier!X22</f>
        <v/>
      </c>
      <c r="AQ268" s="289" t="str">
        <f>+Janvier!AF22</f>
        <v/>
      </c>
      <c r="AR268" s="289" t="str">
        <f t="shared" si="82"/>
        <v/>
      </c>
      <c r="AS268" s="289" t="str">
        <f>+Janvier!AE22</f>
        <v/>
      </c>
      <c r="AT268" s="289">
        <f>+Janvier!J22</f>
        <v>0</v>
      </c>
      <c r="AU268" s="279" t="str">
        <f t="shared" si="84"/>
        <v/>
      </c>
      <c r="AV268" s="178" t="str">
        <f t="shared" si="83"/>
        <v/>
      </c>
      <c r="AW268" s="179" t="str">
        <f>+IF(WEEKDAY(AL270)=1,SUM(AU$253:AU268),"")</f>
        <v/>
      </c>
      <c r="AX268" s="386"/>
    </row>
    <row r="269" spans="37:50" ht="15">
      <c r="AK269" s="797" t="str">
        <f t="shared" si="71"/>
        <v/>
      </c>
      <c r="AL269" s="286">
        <f t="shared" si="76"/>
        <v>43850</v>
      </c>
      <c r="AM269" s="287">
        <f>+Janvier!D23</f>
        <v>0</v>
      </c>
      <c r="AN269" s="287" t="str">
        <f t="shared" si="81"/>
        <v/>
      </c>
      <c r="AO269" s="288" t="str">
        <f>+Janvier!W23</f>
        <v/>
      </c>
      <c r="AP269" s="289" t="str">
        <f>+Janvier!X23</f>
        <v/>
      </c>
      <c r="AQ269" s="289" t="str">
        <f>+Janvier!AF23</f>
        <v/>
      </c>
      <c r="AR269" s="289" t="str">
        <f t="shared" si="82"/>
        <v/>
      </c>
      <c r="AS269" s="289" t="str">
        <f>+Janvier!AE23</f>
        <v/>
      </c>
      <c r="AT269" s="289">
        <f>+Janvier!J23</f>
        <v>0</v>
      </c>
      <c r="AU269" s="279" t="str">
        <f t="shared" si="84"/>
        <v/>
      </c>
      <c r="AV269" s="178" t="str">
        <f t="shared" si="83"/>
        <v/>
      </c>
      <c r="AW269" s="179" t="str">
        <f>+IF(WEEKDAY(AL271)=1,SUM(AU$253:AU269),"")</f>
        <v/>
      </c>
      <c r="AX269" s="386"/>
    </row>
    <row r="270" spans="37:50" ht="15">
      <c r="AK270" s="797" t="str">
        <f t="shared" si="71"/>
        <v/>
      </c>
      <c r="AL270" s="286">
        <f t="shared" si="76"/>
        <v>43851</v>
      </c>
      <c r="AM270" s="287" t="str">
        <f>+Janvier!D24</f>
        <v>M</v>
      </c>
      <c r="AN270" s="287">
        <f t="shared" si="81"/>
        <v>1</v>
      </c>
      <c r="AO270" s="288">
        <f>+Janvier!W24</f>
        <v>7.7500000000000009</v>
      </c>
      <c r="AP270" s="289" t="str">
        <f>+Janvier!X24</f>
        <v/>
      </c>
      <c r="AQ270" s="289" t="str">
        <f>+Janvier!AF24</f>
        <v/>
      </c>
      <c r="AR270" s="289" t="str">
        <f t="shared" si="82"/>
        <v/>
      </c>
      <c r="AS270" s="289" t="str">
        <f>+Janvier!AE24</f>
        <v/>
      </c>
      <c r="AT270" s="289">
        <f>+Janvier!J24</f>
        <v>0</v>
      </c>
      <c r="AU270" s="279" t="str">
        <f t="shared" si="84"/>
        <v/>
      </c>
      <c r="AV270" s="178" t="str">
        <f t="shared" si="83"/>
        <v/>
      </c>
      <c r="AW270" s="179" t="str">
        <f>+IF(WEEKDAY(AL272)=1,SUM(AU$253:AU270),"")</f>
        <v/>
      </c>
      <c r="AX270" s="386"/>
    </row>
    <row r="271" spans="37:50" ht="15">
      <c r="AK271" s="797" t="str">
        <f t="shared" si="71"/>
        <v/>
      </c>
      <c r="AL271" s="286">
        <f t="shared" si="76"/>
        <v>43852</v>
      </c>
      <c r="AM271" s="287" t="str">
        <f>+Janvier!D25</f>
        <v>M</v>
      </c>
      <c r="AN271" s="287">
        <f t="shared" si="81"/>
        <v>1</v>
      </c>
      <c r="AO271" s="288">
        <f>+Janvier!W25</f>
        <v>7.7500000000000009</v>
      </c>
      <c r="AP271" s="289" t="str">
        <f>+Janvier!X25</f>
        <v/>
      </c>
      <c r="AQ271" s="289" t="str">
        <f>+Janvier!AF25</f>
        <v/>
      </c>
      <c r="AR271" s="289" t="str">
        <f t="shared" si="82"/>
        <v/>
      </c>
      <c r="AS271" s="289" t="str">
        <f>+Janvier!AE25</f>
        <v/>
      </c>
      <c r="AT271" s="289">
        <f>+Janvier!J25</f>
        <v>0</v>
      </c>
      <c r="AU271" s="279" t="str">
        <f t="shared" si="84"/>
        <v/>
      </c>
      <c r="AV271" s="178" t="str">
        <f t="shared" si="83"/>
        <v/>
      </c>
      <c r="AW271" s="179" t="str">
        <f>+IF(WEEKDAY(AL273)=1,SUM(AU$253:AU271),"")</f>
        <v/>
      </c>
      <c r="AX271" s="386"/>
    </row>
    <row r="272" spans="37:50" ht="15">
      <c r="AK272" s="797" t="str">
        <f t="shared" si="71"/>
        <v/>
      </c>
      <c r="AL272" s="286">
        <f t="shared" si="76"/>
        <v>43853</v>
      </c>
      <c r="AM272" s="287" t="str">
        <f>+Janvier!D26</f>
        <v>CP</v>
      </c>
      <c r="AN272" s="287" t="str">
        <f t="shared" si="81"/>
        <v/>
      </c>
      <c r="AO272" s="288" t="str">
        <f>+Janvier!W26</f>
        <v/>
      </c>
      <c r="AP272" s="289">
        <f>+Janvier!X26</f>
        <v>6.9</v>
      </c>
      <c r="AQ272" s="289" t="str">
        <f>+Janvier!AF26</f>
        <v/>
      </c>
      <c r="AR272" s="289" t="str">
        <f t="shared" si="82"/>
        <v/>
      </c>
      <c r="AS272" s="289" t="str">
        <f>+Janvier!AE26</f>
        <v/>
      </c>
      <c r="AT272" s="289">
        <f>+Janvier!J26</f>
        <v>0</v>
      </c>
      <c r="AU272" s="279" t="str">
        <f t="shared" si="84"/>
        <v/>
      </c>
      <c r="AV272" s="178" t="str">
        <f t="shared" si="83"/>
        <v/>
      </c>
      <c r="AW272" s="179" t="str">
        <f>+IF(WEEKDAY(AL274)=1,SUM(AU$253:AU272),"")</f>
        <v/>
      </c>
      <c r="AX272" s="386"/>
    </row>
    <row r="273" spans="37:56" ht="15">
      <c r="AK273" s="797" t="str">
        <f t="shared" si="71"/>
        <v/>
      </c>
      <c r="AL273" s="286">
        <f t="shared" si="76"/>
        <v>43854</v>
      </c>
      <c r="AM273" s="287" t="str">
        <f>+Janvier!D27</f>
        <v>CP</v>
      </c>
      <c r="AN273" s="287" t="str">
        <f t="shared" si="81"/>
        <v/>
      </c>
      <c r="AO273" s="288" t="str">
        <f>+Janvier!W27</f>
        <v/>
      </c>
      <c r="AP273" s="289">
        <f>+Janvier!X27</f>
        <v>6.9</v>
      </c>
      <c r="AQ273" s="289" t="str">
        <f>+Janvier!AF27</f>
        <v/>
      </c>
      <c r="AR273" s="289" t="str">
        <f t="shared" si="82"/>
        <v/>
      </c>
      <c r="AS273" s="289" t="str">
        <f>+Janvier!AE27</f>
        <v/>
      </c>
      <c r="AT273" s="289">
        <f>+Janvier!J27</f>
        <v>0</v>
      </c>
      <c r="AU273" s="279">
        <f t="shared" si="84"/>
        <v>36.550000000000004</v>
      </c>
      <c r="AV273" s="178">
        <f t="shared" si="83"/>
        <v>13.8</v>
      </c>
      <c r="AW273" s="179">
        <f>+IF(WEEKDAY(AL275)=1,SUM(AU$253:AU273),"")</f>
        <v>70.466666666666669</v>
      </c>
      <c r="AX273" s="386"/>
    </row>
    <row r="274" spans="37:56" ht="15">
      <c r="AK274" s="797" t="str">
        <f t="shared" si="71"/>
        <v/>
      </c>
      <c r="AL274" s="286">
        <f t="shared" si="76"/>
        <v>43855</v>
      </c>
      <c r="AM274" s="287">
        <f>+Janvier!D28</f>
        <v>0</v>
      </c>
      <c r="AN274" s="287" t="str">
        <f t="shared" si="81"/>
        <v/>
      </c>
      <c r="AO274" s="288" t="str">
        <f>+Janvier!W28</f>
        <v/>
      </c>
      <c r="AP274" s="289" t="str">
        <f>+Janvier!X28</f>
        <v/>
      </c>
      <c r="AQ274" s="289" t="str">
        <f>+Janvier!AF28</f>
        <v/>
      </c>
      <c r="AR274" s="289" t="str">
        <f t="shared" si="82"/>
        <v/>
      </c>
      <c r="AS274" s="289" t="str">
        <f>+Janvier!AE28</f>
        <v/>
      </c>
      <c r="AT274" s="289">
        <f>+Janvier!J28</f>
        <v>0</v>
      </c>
      <c r="AU274" s="279" t="str">
        <f t="shared" si="84"/>
        <v/>
      </c>
      <c r="AV274" s="178" t="str">
        <f t="shared" si="83"/>
        <v/>
      </c>
      <c r="AW274" s="179" t="str">
        <f>+IF(WEEKDAY(AL276)=1,SUM(AU$253:AU274),"")</f>
        <v/>
      </c>
      <c r="AX274" s="386"/>
    </row>
    <row r="275" spans="37:56" ht="15">
      <c r="AK275" s="797" t="str">
        <f t="shared" si="71"/>
        <v/>
      </c>
      <c r="AL275" s="286">
        <f t="shared" si="76"/>
        <v>43856</v>
      </c>
      <c r="AM275" s="287" t="str">
        <f>+Janvier!D29</f>
        <v>N</v>
      </c>
      <c r="AN275" s="287">
        <f t="shared" si="81"/>
        <v>1</v>
      </c>
      <c r="AO275" s="288">
        <f>+Janvier!W29</f>
        <v>7.666666666666667</v>
      </c>
      <c r="AP275" s="289" t="str">
        <f>+Janvier!X29</f>
        <v/>
      </c>
      <c r="AQ275" s="289" t="str">
        <f>+Janvier!AF29</f>
        <v/>
      </c>
      <c r="AR275" s="289" t="str">
        <f t="shared" si="82"/>
        <v/>
      </c>
      <c r="AS275" s="289" t="str">
        <f>+Janvier!AE29</f>
        <v/>
      </c>
      <c r="AT275" s="289">
        <f>+Janvier!J29</f>
        <v>0</v>
      </c>
      <c r="AU275" s="279" t="str">
        <f t="shared" si="84"/>
        <v/>
      </c>
      <c r="AV275" s="178" t="str">
        <f t="shared" si="83"/>
        <v/>
      </c>
      <c r="AW275" s="179" t="str">
        <f>+IF(WEEKDAY(AL277)=1,SUM(AU$253:AU275),"")</f>
        <v/>
      </c>
      <c r="AX275" s="386"/>
    </row>
    <row r="276" spans="37:56" ht="15">
      <c r="AK276" s="797">
        <f t="shared" si="71"/>
        <v>10</v>
      </c>
      <c r="AL276" s="286">
        <f t="shared" si="76"/>
        <v>43857</v>
      </c>
      <c r="AM276" s="287" t="str">
        <f>+Janvier!D30</f>
        <v>N</v>
      </c>
      <c r="AN276" s="287">
        <f t="shared" si="81"/>
        <v>1</v>
      </c>
      <c r="AO276" s="288">
        <f>+Janvier!W30</f>
        <v>7.7499999999999991</v>
      </c>
      <c r="AP276" s="289" t="str">
        <f>+Janvier!X30</f>
        <v/>
      </c>
      <c r="AQ276" s="289" t="str">
        <f>+Janvier!AF30</f>
        <v/>
      </c>
      <c r="AR276" s="289" t="str">
        <f t="shared" si="82"/>
        <v/>
      </c>
      <c r="AS276" s="289" t="str">
        <f>+Janvier!AE30</f>
        <v/>
      </c>
      <c r="AT276" s="289">
        <f>+Janvier!J30</f>
        <v>0</v>
      </c>
      <c r="AU276" s="279" t="str">
        <f t="shared" si="84"/>
        <v/>
      </c>
      <c r="AV276" s="178" t="str">
        <f t="shared" si="83"/>
        <v/>
      </c>
      <c r="AW276" s="179" t="str">
        <f>+IF(WEEKDAY(AL278)=1,SUM(AU$253:AU276),"")</f>
        <v/>
      </c>
      <c r="AX276" s="386"/>
    </row>
    <row r="277" spans="37:56" ht="15.75" thickBot="1">
      <c r="AK277" s="797" t="str">
        <f t="shared" si="71"/>
        <v/>
      </c>
      <c r="AL277" s="286">
        <f t="shared" si="76"/>
        <v>43858</v>
      </c>
      <c r="AM277" s="287" t="str">
        <f>+Janvier!D31</f>
        <v>N</v>
      </c>
      <c r="AN277" s="287">
        <f t="shared" si="81"/>
        <v>1</v>
      </c>
      <c r="AO277" s="288">
        <f>+Janvier!W31</f>
        <v>7.7499999999999991</v>
      </c>
      <c r="AP277" s="289" t="str">
        <f>+Janvier!X31</f>
        <v/>
      </c>
      <c r="AQ277" s="289" t="str">
        <f>+Janvier!AF31</f>
        <v/>
      </c>
      <c r="AR277" s="289" t="str">
        <f t="shared" si="82"/>
        <v/>
      </c>
      <c r="AS277" s="289" t="str">
        <f>+Janvier!AE31</f>
        <v/>
      </c>
      <c r="AT277" s="289">
        <f>+Janvier!J31</f>
        <v>0</v>
      </c>
      <c r="AU277" s="279" t="str">
        <f t="shared" si="84"/>
        <v/>
      </c>
      <c r="AV277" s="178" t="str">
        <f t="shared" si="83"/>
        <v/>
      </c>
      <c r="AW277" s="179" t="str">
        <f>+IF(WEEKDAY(AL279)=1,SUM(AU$253:AU277),"")</f>
        <v/>
      </c>
      <c r="AX277" s="386"/>
    </row>
    <row r="278" spans="37:56" ht="15.75" thickBot="1">
      <c r="AK278" s="797" t="str">
        <f t="shared" si="71"/>
        <v/>
      </c>
      <c r="AL278" s="286">
        <f t="shared" si="76"/>
        <v>43859</v>
      </c>
      <c r="AM278" s="287" t="str">
        <f>+Janvier!D32</f>
        <v>N</v>
      </c>
      <c r="AN278" s="287">
        <f t="shared" si="81"/>
        <v>1</v>
      </c>
      <c r="AO278" s="288">
        <f>+Janvier!W32</f>
        <v>7.7499999999999991</v>
      </c>
      <c r="AP278" s="289" t="str">
        <f>+Janvier!X32</f>
        <v/>
      </c>
      <c r="AQ278" s="289" t="str">
        <f>+Janvier!AF32</f>
        <v/>
      </c>
      <c r="AR278" s="289" t="str">
        <f t="shared" si="82"/>
        <v/>
      </c>
      <c r="AS278" s="289" t="str">
        <f>+Janvier!AE32</f>
        <v/>
      </c>
      <c r="AT278" s="289">
        <f>+Janvier!J32</f>
        <v>0</v>
      </c>
      <c r="AU278" s="279" t="str">
        <f t="shared" si="84"/>
        <v/>
      </c>
      <c r="AV278" s="178" t="str">
        <f t="shared" si="83"/>
        <v/>
      </c>
      <c r="AW278" s="179" t="str">
        <f>+IF(WEEKDAY(AL280)=1,SUM(AU$253:AU278),"")</f>
        <v/>
      </c>
      <c r="AX278" s="223">
        <f>+IF(WEEKDAY($AL$24)=1,SUM(AN248:AN275),IF(WEEKDAY($AL$25)=1,SUM(AN249:AN276),IF(WEEKDAY($AL$26)=1,SUM(AN250:AN277),IF(WEEKDAY($AL$27)=1,SUM(AN251:AN278),IF(WEEKDAY($AL$28)=1,SUM(AN252:AN279),IF(WEEKDAY($AL$29)=1,SUM(AN253:AN280),IF(WEEKDAY($AL$30)=1,SUM(AN254:AN281),"")))))))</f>
        <v>13</v>
      </c>
      <c r="AY278" s="223">
        <f t="shared" ref="AY278:BD278" si="85">+IF(WEEKDAY($AL$24)=1,SUM(AO248:AO275),IF(WEEKDAY($AL$25)=1,SUM(AO249:AO276),IF(WEEKDAY($AL$26)=1,SUM(AO250:AO277),IF(WEEKDAY($AL$27)=1,SUM(AO251:AO278),IF(WEEKDAY($AL$28)=1,SUM(AO252:AO279),IF(WEEKDAY($AL$29)=1,SUM(AO253:AO280),IF(WEEKDAY($AL$30)=1,SUM(AO254:AO281),"")))))))</f>
        <v>95.333333333333329</v>
      </c>
      <c r="AZ278" s="223">
        <f t="shared" si="85"/>
        <v>13.8</v>
      </c>
      <c r="BA278" s="223">
        <f t="shared" si="85"/>
        <v>0</v>
      </c>
      <c r="BB278" s="223">
        <f t="shared" si="85"/>
        <v>0</v>
      </c>
      <c r="BC278" s="223">
        <f t="shared" si="85"/>
        <v>0</v>
      </c>
      <c r="BD278" s="223">
        <f t="shared" si="85"/>
        <v>0</v>
      </c>
    </row>
    <row r="279" spans="37:56" ht="15.75" thickBot="1">
      <c r="AK279" s="797" t="str">
        <f t="shared" si="71"/>
        <v/>
      </c>
      <c r="AL279" s="286">
        <f t="shared" si="76"/>
        <v>43860</v>
      </c>
      <c r="AM279" s="287" t="str">
        <f>+Janvier!D33</f>
        <v>N</v>
      </c>
      <c r="AN279" s="287">
        <f t="shared" si="81"/>
        <v>1</v>
      </c>
      <c r="AO279" s="288">
        <f>+Janvier!W33</f>
        <v>7.7499999999999991</v>
      </c>
      <c r="AP279" s="289" t="str">
        <f>+Janvier!X33</f>
        <v/>
      </c>
      <c r="AQ279" s="289" t="str">
        <f>+Janvier!AF33</f>
        <v/>
      </c>
      <c r="AR279" s="289" t="str">
        <f t="shared" si="82"/>
        <v/>
      </c>
      <c r="AS279" s="289" t="str">
        <f>+Janvier!AE33</f>
        <v/>
      </c>
      <c r="AT279" s="289">
        <f>+Janvier!J33</f>
        <v>0</v>
      </c>
      <c r="AU279" s="279" t="str">
        <f t="shared" si="84"/>
        <v/>
      </c>
      <c r="AV279" s="178" t="str">
        <f t="shared" si="83"/>
        <v/>
      </c>
      <c r="AW279" s="179" t="str">
        <f>+IF(WEEKDAY(AL281)=1,SUM(AU$253:AU279),"")</f>
        <v/>
      </c>
      <c r="AX279" s="386"/>
    </row>
    <row r="280" spans="37:56" ht="16.5" thickTop="1" thickBot="1">
      <c r="AK280" s="797" t="str">
        <f t="shared" si="71"/>
        <v/>
      </c>
      <c r="AL280" s="286">
        <f t="shared" si="76"/>
        <v>43861</v>
      </c>
      <c r="AM280" s="287">
        <f>+Janvier!D34</f>
        <v>0</v>
      </c>
      <c r="AN280" s="287" t="str">
        <f t="shared" si="81"/>
        <v/>
      </c>
      <c r="AO280" s="288" t="str">
        <f>+Janvier!W34</f>
        <v/>
      </c>
      <c r="AP280" s="289" t="str">
        <f>+Janvier!X34</f>
        <v/>
      </c>
      <c r="AQ280" s="289" t="str">
        <f>+Janvier!AF34</f>
        <v/>
      </c>
      <c r="AR280" s="289" t="str">
        <f t="shared" si="82"/>
        <v/>
      </c>
      <c r="AS280" s="289" t="str">
        <f>+Janvier!AE34</f>
        <v/>
      </c>
      <c r="AT280" s="289">
        <f>+Janvier!J34</f>
        <v>0</v>
      </c>
      <c r="AU280" s="279">
        <f t="shared" si="84"/>
        <v>38.666666666666664</v>
      </c>
      <c r="AV280" s="178">
        <f t="shared" si="83"/>
        <v>0</v>
      </c>
      <c r="AW280" s="179">
        <f>+IF(WEEKDAY(AL282)=1,SUM(AU$253:AU280),"")</f>
        <v>109.13333333333333</v>
      </c>
      <c r="AX280" s="386"/>
      <c r="AZ280" s="936" t="str">
        <f>+IF(WEEKDAY(AL$26)=1,"Fin cycle 9",IF(WEEKDAY(AL$27)=1,"Fin cycle 9",IF(WEEKDAY(AL$28)=1,"Fin cycle 9",IF(WEEKDAY(AL$29)=1,"Fin cycle 9",IF(WEEKDAY(AL$30)=1,"Fin cycle 9",IF(WEEKDAY(AL$31)=1,"Fin cycle 9",IF(WEEKDAY(AL$32)=1,"Fin cycle 9","")))))))</f>
        <v>Fin cycle 9</v>
      </c>
      <c r="BA280" s="937"/>
      <c r="BB280" s="275">
        <f>SUM(AY278:AZ278)</f>
        <v>109.13333333333333</v>
      </c>
      <c r="BC280" s="590"/>
    </row>
    <row r="281" spans="37:56" ht="15">
      <c r="AK281" s="797" t="str">
        <f t="shared" ref="AK281:AK344" si="86">IF(MOD((AL281-$AF$27)/28,1),"",MOD((AL281-$AF$27)/28,13)+1)</f>
        <v/>
      </c>
      <c r="AL281" s="538">
        <f t="shared" si="76"/>
        <v>43862</v>
      </c>
      <c r="AM281" s="539">
        <f>+Février!D4</f>
        <v>0</v>
      </c>
      <c r="AN281" s="539" t="str">
        <f t="shared" ref="AN281:AN343" si="87">+IF(AM281=0,"",IF(AM281="CP","",1))</f>
        <v/>
      </c>
      <c r="AO281" s="540" t="str">
        <f>+Février!W4</f>
        <v/>
      </c>
      <c r="AP281" s="541" t="str">
        <f>+Février!X4</f>
        <v/>
      </c>
      <c r="AQ281" s="541">
        <f>+Février!AF4</f>
        <v>0</v>
      </c>
      <c r="AR281" s="541" t="str">
        <f t="shared" ref="AR281:AR341" si="88">+IF(AS281&lt;&gt;"","",AQ281)</f>
        <v/>
      </c>
      <c r="AS281" s="541">
        <f>+Février!AE4</f>
        <v>0</v>
      </c>
      <c r="AT281" s="541">
        <f>+Février!J4</f>
        <v>0</v>
      </c>
      <c r="AU281" s="279" t="str">
        <f t="shared" si="84"/>
        <v/>
      </c>
      <c r="AV281" s="178" t="str">
        <f t="shared" si="83"/>
        <v/>
      </c>
      <c r="AW281" s="179" t="str">
        <f>+IF(WEEKDAY(AL283)=1,SUM(AU$253:AU281),"")</f>
        <v/>
      </c>
      <c r="AX281" s="386"/>
    </row>
    <row r="282" spans="37:56" ht="15">
      <c r="AK282" s="797" t="str">
        <f t="shared" si="86"/>
        <v/>
      </c>
      <c r="AL282" s="538">
        <f t="shared" si="76"/>
        <v>43863</v>
      </c>
      <c r="AM282" s="539">
        <f>+Février!D5</f>
        <v>0</v>
      </c>
      <c r="AN282" s="539" t="str">
        <f t="shared" ref="AN282:AN308" si="89">+IF(AM282=0,"",IF(AM282="CP","",1))</f>
        <v/>
      </c>
      <c r="AO282" s="540" t="str">
        <f>+Février!W5</f>
        <v/>
      </c>
      <c r="AP282" s="541" t="str">
        <f>+Février!X5</f>
        <v/>
      </c>
      <c r="AQ282" s="541">
        <f>+Février!AF5</f>
        <v>0</v>
      </c>
      <c r="AR282" s="541" t="str">
        <f t="shared" ref="AR282:AR308" si="90">+IF(AS282&lt;&gt;"","",AQ282)</f>
        <v/>
      </c>
      <c r="AS282" s="541">
        <f>+Février!AE5</f>
        <v>0</v>
      </c>
      <c r="AT282" s="541">
        <f>+Février!J5</f>
        <v>0</v>
      </c>
      <c r="AU282" s="279" t="str">
        <f t="shared" si="84"/>
        <v/>
      </c>
      <c r="AV282" s="178" t="str">
        <f t="shared" si="83"/>
        <v/>
      </c>
      <c r="AW282" s="179" t="str">
        <f>+IF(WEEKDAY(AL284)=1,SUM(AU$253:AU282),"")</f>
        <v/>
      </c>
      <c r="AX282" s="386"/>
    </row>
    <row r="283" spans="37:56" ht="15">
      <c r="AK283" s="797" t="str">
        <f t="shared" si="86"/>
        <v/>
      </c>
      <c r="AL283" s="538">
        <f t="shared" si="76"/>
        <v>43864</v>
      </c>
      <c r="AM283" s="539" t="str">
        <f>+Février!D6</f>
        <v>AM</v>
      </c>
      <c r="AN283" s="539">
        <f t="shared" si="89"/>
        <v>1</v>
      </c>
      <c r="AO283" s="540">
        <f>+Février!W6</f>
        <v>7.7499999999999991</v>
      </c>
      <c r="AP283" s="541" t="str">
        <f>+Février!X6</f>
        <v/>
      </c>
      <c r="AQ283" s="541">
        <f>+Février!AF6</f>
        <v>0</v>
      </c>
      <c r="AR283" s="541" t="str">
        <f t="shared" si="90"/>
        <v/>
      </c>
      <c r="AS283" s="541">
        <f>+Février!AE6</f>
        <v>0</v>
      </c>
      <c r="AT283" s="541">
        <f>+Février!J6</f>
        <v>0</v>
      </c>
      <c r="AU283" s="279" t="str">
        <f t="shared" si="84"/>
        <v/>
      </c>
      <c r="AV283" s="178" t="str">
        <f t="shared" si="83"/>
        <v/>
      </c>
      <c r="AW283" s="179" t="str">
        <f>+IF(WEEKDAY(AL285)=1,SUM(AU$253:AU283),"")</f>
        <v/>
      </c>
      <c r="AX283" s="386"/>
    </row>
    <row r="284" spans="37:56" ht="15">
      <c r="AK284" s="797" t="str">
        <f t="shared" si="86"/>
        <v/>
      </c>
      <c r="AL284" s="538">
        <f t="shared" si="76"/>
        <v>43865</v>
      </c>
      <c r="AM284" s="539" t="str">
        <f>+Février!D7</f>
        <v>AM</v>
      </c>
      <c r="AN284" s="539">
        <f t="shared" si="89"/>
        <v>1</v>
      </c>
      <c r="AO284" s="540">
        <f>+Février!W7</f>
        <v>7.7499999999999991</v>
      </c>
      <c r="AP284" s="541" t="str">
        <f>+Février!X7</f>
        <v/>
      </c>
      <c r="AQ284" s="541">
        <f>+Février!AF7</f>
        <v>0</v>
      </c>
      <c r="AR284" s="541" t="str">
        <f t="shared" si="90"/>
        <v/>
      </c>
      <c r="AS284" s="541">
        <f>+Février!AE7</f>
        <v>0</v>
      </c>
      <c r="AT284" s="541">
        <f>+Février!J7</f>
        <v>0</v>
      </c>
      <c r="AU284" s="279" t="str">
        <f t="shared" si="84"/>
        <v/>
      </c>
      <c r="AV284" s="178" t="str">
        <f t="shared" si="83"/>
        <v/>
      </c>
      <c r="AW284" s="179" t="str">
        <f>+IF(WEEKDAY(AL286)=1,SUM(AU$253:AU284),"")</f>
        <v/>
      </c>
      <c r="AX284" s="386"/>
    </row>
    <row r="285" spans="37:56" ht="15">
      <c r="AK285" s="797" t="str">
        <f t="shared" si="86"/>
        <v/>
      </c>
      <c r="AL285" s="538">
        <f t="shared" si="76"/>
        <v>43866</v>
      </c>
      <c r="AM285" s="539" t="str">
        <f>+Février!D8</f>
        <v>AM</v>
      </c>
      <c r="AN285" s="539">
        <f t="shared" si="89"/>
        <v>1</v>
      </c>
      <c r="AO285" s="540">
        <f>+Février!W8</f>
        <v>7.7499999999999991</v>
      </c>
      <c r="AP285" s="541" t="str">
        <f>+Février!X8</f>
        <v/>
      </c>
      <c r="AQ285" s="541">
        <f>+Février!AF8</f>
        <v>0</v>
      </c>
      <c r="AR285" s="541" t="str">
        <f t="shared" si="90"/>
        <v/>
      </c>
      <c r="AS285" s="541">
        <f>+Février!AE8</f>
        <v>0</v>
      </c>
      <c r="AT285" s="541">
        <f>+Février!J8</f>
        <v>0</v>
      </c>
      <c r="AU285" s="279" t="str">
        <f t="shared" si="84"/>
        <v/>
      </c>
      <c r="AV285" s="178" t="str">
        <f t="shared" si="83"/>
        <v/>
      </c>
      <c r="AW285" s="179" t="str">
        <f>+IF(WEEKDAY(AL287)=1,SUM(AU$253:AU285),"")</f>
        <v/>
      </c>
      <c r="AX285" s="386"/>
    </row>
    <row r="286" spans="37:56" ht="15">
      <c r="AK286" s="797" t="str">
        <f t="shared" si="86"/>
        <v/>
      </c>
      <c r="AL286" s="538">
        <f t="shared" si="76"/>
        <v>43867</v>
      </c>
      <c r="AM286" s="539" t="str">
        <f>+Février!D9</f>
        <v>AM</v>
      </c>
      <c r="AN286" s="539">
        <f t="shared" si="89"/>
        <v>1</v>
      </c>
      <c r="AO286" s="540">
        <f>+Février!W9</f>
        <v>7.7499999999999991</v>
      </c>
      <c r="AP286" s="541" t="str">
        <f>+Février!X9</f>
        <v/>
      </c>
      <c r="AQ286" s="541">
        <f>+Février!AF9</f>
        <v>0</v>
      </c>
      <c r="AR286" s="541" t="str">
        <f t="shared" si="90"/>
        <v/>
      </c>
      <c r="AS286" s="541">
        <f>+Février!AE9</f>
        <v>0</v>
      </c>
      <c r="AT286" s="541">
        <f>+Février!J9</f>
        <v>0</v>
      </c>
      <c r="AU286" s="279" t="str">
        <f t="shared" si="84"/>
        <v/>
      </c>
      <c r="AV286" s="178" t="str">
        <f t="shared" si="83"/>
        <v/>
      </c>
      <c r="AW286" s="179" t="str">
        <f>+IF(WEEKDAY(AL288)=1,SUM(AU$253:AU286),"")</f>
        <v/>
      </c>
      <c r="AX286" s="386"/>
    </row>
    <row r="287" spans="37:56" ht="15">
      <c r="AK287" s="797" t="str">
        <f t="shared" si="86"/>
        <v/>
      </c>
      <c r="AL287" s="538">
        <f t="shared" si="76"/>
        <v>43868</v>
      </c>
      <c r="AM287" s="539" t="str">
        <f>+Février!D10</f>
        <v>AM</v>
      </c>
      <c r="AN287" s="539">
        <f t="shared" si="89"/>
        <v>1</v>
      </c>
      <c r="AO287" s="540">
        <f>+Février!W10</f>
        <v>5.3333333333333286</v>
      </c>
      <c r="AP287" s="541" t="str">
        <f>+Février!X10</f>
        <v/>
      </c>
      <c r="AQ287" s="541">
        <f>+Février!AF10</f>
        <v>0</v>
      </c>
      <c r="AR287" s="541" t="str">
        <f t="shared" si="90"/>
        <v/>
      </c>
      <c r="AS287" s="541">
        <f>+Février!AE10</f>
        <v>0</v>
      </c>
      <c r="AT287" s="541">
        <f>+Février!J10</f>
        <v>0</v>
      </c>
      <c r="AU287" s="279">
        <f t="shared" si="84"/>
        <v>36.333333333333329</v>
      </c>
      <c r="AV287" s="178">
        <f t="shared" si="83"/>
        <v>0</v>
      </c>
      <c r="AW287" s="179">
        <f>+IF(WEEKDAY(AL289)=1,SUM(AU$253:AU287),"")</f>
        <v>145.46666666666664</v>
      </c>
      <c r="AX287" s="386"/>
    </row>
    <row r="288" spans="37:56" ht="15">
      <c r="AK288" s="797" t="str">
        <f t="shared" si="86"/>
        <v/>
      </c>
      <c r="AL288" s="538">
        <f t="shared" si="76"/>
        <v>43869</v>
      </c>
      <c r="AM288" s="539">
        <f>+Février!D11</f>
        <v>0</v>
      </c>
      <c r="AN288" s="539" t="str">
        <f t="shared" si="89"/>
        <v/>
      </c>
      <c r="AO288" s="540" t="str">
        <f>+Février!W11</f>
        <v/>
      </c>
      <c r="AP288" s="541" t="str">
        <f>+Février!X11</f>
        <v/>
      </c>
      <c r="AQ288" s="541">
        <f>+Février!AF11</f>
        <v>0</v>
      </c>
      <c r="AR288" s="541" t="str">
        <f t="shared" si="90"/>
        <v/>
      </c>
      <c r="AS288" s="541">
        <f>+Février!AE11</f>
        <v>0</v>
      </c>
      <c r="AT288" s="541">
        <f>+Février!J11</f>
        <v>0</v>
      </c>
      <c r="AU288" s="279" t="str">
        <f t="shared" si="84"/>
        <v/>
      </c>
      <c r="AV288" s="178" t="str">
        <f t="shared" si="83"/>
        <v/>
      </c>
      <c r="AW288" s="179" t="str">
        <f>+IF(WEEKDAY(AL290)=1,SUM(AU$253:AU288),"")</f>
        <v/>
      </c>
      <c r="AX288" s="386"/>
    </row>
    <row r="289" spans="36:50" ht="15">
      <c r="AK289" s="797" t="str">
        <f t="shared" si="86"/>
        <v/>
      </c>
      <c r="AL289" s="538">
        <f t="shared" si="76"/>
        <v>43870</v>
      </c>
      <c r="AM289" s="539">
        <f>+Février!D12</f>
        <v>0</v>
      </c>
      <c r="AN289" s="539" t="str">
        <f t="shared" si="89"/>
        <v/>
      </c>
      <c r="AO289" s="540" t="str">
        <f>+Février!W12</f>
        <v/>
      </c>
      <c r="AP289" s="541" t="str">
        <f>+Février!X12</f>
        <v/>
      </c>
      <c r="AQ289" s="541">
        <f>+Février!AF12</f>
        <v>0</v>
      </c>
      <c r="AR289" s="541" t="str">
        <f t="shared" si="90"/>
        <v/>
      </c>
      <c r="AS289" s="541">
        <f>+Février!AE12</f>
        <v>0</v>
      </c>
      <c r="AT289" s="541">
        <f>+Février!J12</f>
        <v>0</v>
      </c>
      <c r="AU289" s="279" t="str">
        <f t="shared" si="84"/>
        <v/>
      </c>
      <c r="AV289" s="178" t="str">
        <f t="shared" si="83"/>
        <v/>
      </c>
      <c r="AW289" s="179" t="str">
        <f>+IF(WEEKDAY(AL291)=1,SUM(AU$253:AU289),"")</f>
        <v/>
      </c>
      <c r="AX289" s="386"/>
    </row>
    <row r="290" spans="36:50" ht="15">
      <c r="AJ290" s="595"/>
      <c r="AK290" s="797" t="str">
        <f t="shared" si="86"/>
        <v/>
      </c>
      <c r="AL290" s="538">
        <f t="shared" si="76"/>
        <v>43871</v>
      </c>
      <c r="AM290" s="539" t="str">
        <f>+Février!D13</f>
        <v>M</v>
      </c>
      <c r="AN290" s="539">
        <f t="shared" si="89"/>
        <v>1</v>
      </c>
      <c r="AO290" s="540">
        <f>+Février!W13</f>
        <v>7.7500000000000009</v>
      </c>
      <c r="AP290" s="541" t="str">
        <f>+Février!X13</f>
        <v/>
      </c>
      <c r="AQ290" s="541">
        <f>+Février!AF13</f>
        <v>0</v>
      </c>
      <c r="AR290" s="541" t="str">
        <f t="shared" si="90"/>
        <v/>
      </c>
      <c r="AS290" s="541">
        <f>+Février!AE13</f>
        <v>0</v>
      </c>
      <c r="AT290" s="541">
        <f>+Février!J13</f>
        <v>0</v>
      </c>
      <c r="AU290" s="279" t="str">
        <f t="shared" si="84"/>
        <v/>
      </c>
      <c r="AV290" s="178" t="str">
        <f t="shared" si="83"/>
        <v/>
      </c>
      <c r="AW290" s="179" t="str">
        <f>+IF(WEEKDAY(AL292)=1,SUM(AU$253:AU290),"")</f>
        <v/>
      </c>
      <c r="AX290" s="386"/>
    </row>
    <row r="291" spans="36:50" ht="15">
      <c r="AK291" s="797" t="str">
        <f t="shared" si="86"/>
        <v/>
      </c>
      <c r="AL291" s="538">
        <f t="shared" si="76"/>
        <v>43872</v>
      </c>
      <c r="AM291" s="539" t="str">
        <f>+Février!D14</f>
        <v>M</v>
      </c>
      <c r="AN291" s="539">
        <f t="shared" si="89"/>
        <v>1</v>
      </c>
      <c r="AO291" s="540">
        <f>+Février!W14</f>
        <v>7.7500000000000009</v>
      </c>
      <c r="AP291" s="541" t="str">
        <f>+Février!X14</f>
        <v/>
      </c>
      <c r="AQ291" s="541">
        <f>+Février!AF14</f>
        <v>0</v>
      </c>
      <c r="AR291" s="541" t="str">
        <f t="shared" si="90"/>
        <v/>
      </c>
      <c r="AS291" s="541">
        <f>+Février!AE14</f>
        <v>0</v>
      </c>
      <c r="AT291" s="541">
        <f>+Février!J14</f>
        <v>0</v>
      </c>
      <c r="AU291" s="279" t="str">
        <f t="shared" si="84"/>
        <v/>
      </c>
      <c r="AV291" s="178" t="str">
        <f t="shared" si="83"/>
        <v/>
      </c>
      <c r="AW291" s="179" t="str">
        <f>+IF(WEEKDAY(AL293)=1,SUM(AU$253:AU291),"")</f>
        <v/>
      </c>
      <c r="AX291" s="386"/>
    </row>
    <row r="292" spans="36:50" ht="15">
      <c r="AK292" s="797" t="str">
        <f t="shared" si="86"/>
        <v/>
      </c>
      <c r="AL292" s="538">
        <f t="shared" ref="AL292:AL338" si="91">+AL291+1</f>
        <v>43873</v>
      </c>
      <c r="AM292" s="539" t="str">
        <f>+Février!D15</f>
        <v>M</v>
      </c>
      <c r="AN292" s="539">
        <f t="shared" si="89"/>
        <v>1</v>
      </c>
      <c r="AO292" s="540">
        <f>+Février!W15</f>
        <v>7.7500000000000009</v>
      </c>
      <c r="AP292" s="541" t="str">
        <f>+Février!X15</f>
        <v/>
      </c>
      <c r="AQ292" s="541">
        <f>+Février!AF15</f>
        <v>0</v>
      </c>
      <c r="AR292" s="541" t="str">
        <f t="shared" si="90"/>
        <v/>
      </c>
      <c r="AS292" s="541">
        <f>+Février!AE15</f>
        <v>0</v>
      </c>
      <c r="AT292" s="541">
        <f>+Février!J15</f>
        <v>0</v>
      </c>
      <c r="AU292" s="279" t="str">
        <f t="shared" si="84"/>
        <v/>
      </c>
      <c r="AV292" s="178" t="str">
        <f t="shared" si="83"/>
        <v/>
      </c>
      <c r="AW292" s="179" t="str">
        <f>+IF(WEEKDAY(AL294)=1,SUM(AU$253:AU292),"")</f>
        <v/>
      </c>
      <c r="AX292" s="386"/>
    </row>
    <row r="293" spans="36:50" ht="15">
      <c r="AK293" s="797" t="str">
        <f t="shared" si="86"/>
        <v/>
      </c>
      <c r="AL293" s="538">
        <f t="shared" si="91"/>
        <v>43874</v>
      </c>
      <c r="AM293" s="539" t="str">
        <f>+Février!D16</f>
        <v>M</v>
      </c>
      <c r="AN293" s="539">
        <f t="shared" si="89"/>
        <v>1</v>
      </c>
      <c r="AO293" s="540">
        <f>+Février!W16</f>
        <v>7.7500000000000009</v>
      </c>
      <c r="AP293" s="541" t="str">
        <f>+Février!X16</f>
        <v/>
      </c>
      <c r="AQ293" s="541">
        <f>+Février!AF16</f>
        <v>0</v>
      </c>
      <c r="AR293" s="541" t="str">
        <f t="shared" si="90"/>
        <v/>
      </c>
      <c r="AS293" s="541">
        <f>+Février!AE16</f>
        <v>0</v>
      </c>
      <c r="AT293" s="541">
        <f>+Février!J16</f>
        <v>0</v>
      </c>
      <c r="AU293" s="279" t="str">
        <f t="shared" si="84"/>
        <v/>
      </c>
      <c r="AV293" s="178" t="str">
        <f t="shared" si="83"/>
        <v/>
      </c>
      <c r="AW293" s="179" t="str">
        <f>+IF(WEEKDAY(AL295)=1,SUM(AU$253:AU293),"")</f>
        <v/>
      </c>
      <c r="AX293" s="386"/>
    </row>
    <row r="294" spans="36:50" ht="15">
      <c r="AK294" s="797" t="str">
        <f t="shared" si="86"/>
        <v/>
      </c>
      <c r="AL294" s="538">
        <f t="shared" si="91"/>
        <v>43875</v>
      </c>
      <c r="AM294" s="539" t="str">
        <f>+Février!D17</f>
        <v>M</v>
      </c>
      <c r="AN294" s="539">
        <f t="shared" si="89"/>
        <v>1</v>
      </c>
      <c r="AO294" s="540">
        <f>+Février!W17</f>
        <v>5.3333333333333339</v>
      </c>
      <c r="AP294" s="541" t="str">
        <f>+Février!X17</f>
        <v/>
      </c>
      <c r="AQ294" s="541">
        <f>+Février!AF17</f>
        <v>0</v>
      </c>
      <c r="AR294" s="541" t="str">
        <f t="shared" si="90"/>
        <v/>
      </c>
      <c r="AS294" s="541">
        <f>+Février!AE17</f>
        <v>0</v>
      </c>
      <c r="AT294" s="541">
        <f>+Février!J17</f>
        <v>0</v>
      </c>
      <c r="AU294" s="279">
        <f t="shared" ref="AU294:AU306" si="92">+IF(WEEKDAY(AL296)=1,SUM(AO288:AP294),"")</f>
        <v>36.333333333333336</v>
      </c>
      <c r="AV294" s="178">
        <f t="shared" si="83"/>
        <v>0</v>
      </c>
      <c r="AW294" s="179">
        <f>+IF(WEEKDAY(AL296)=1,SUM(AU$253:AU294),"")</f>
        <v>181.79999999999998</v>
      </c>
      <c r="AX294" s="386"/>
    </row>
    <row r="295" spans="36:50" ht="15">
      <c r="AK295" s="797" t="str">
        <f t="shared" si="86"/>
        <v/>
      </c>
      <c r="AL295" s="538">
        <f t="shared" si="91"/>
        <v>43876</v>
      </c>
      <c r="AM295" s="539">
        <f>+Février!D18</f>
        <v>0</v>
      </c>
      <c r="AN295" s="539" t="str">
        <f t="shared" si="89"/>
        <v/>
      </c>
      <c r="AO295" s="540" t="str">
        <f>+Février!W18</f>
        <v/>
      </c>
      <c r="AP295" s="541" t="str">
        <f>+Février!X18</f>
        <v/>
      </c>
      <c r="AQ295" s="541">
        <f>+Février!AF18</f>
        <v>0</v>
      </c>
      <c r="AR295" s="541" t="str">
        <f t="shared" si="90"/>
        <v/>
      </c>
      <c r="AS295" s="541">
        <f>+Février!AE18</f>
        <v>0</v>
      </c>
      <c r="AT295" s="541">
        <f>+Février!J18</f>
        <v>0</v>
      </c>
      <c r="AU295" s="279" t="str">
        <f t="shared" si="92"/>
        <v/>
      </c>
      <c r="AV295" s="178" t="str">
        <f t="shared" si="83"/>
        <v/>
      </c>
      <c r="AW295" s="179" t="str">
        <f>+IF(WEEKDAY(AL297)=1,SUM(AU$253:AU295),"")</f>
        <v/>
      </c>
      <c r="AX295" s="386"/>
    </row>
    <row r="296" spans="36:50" ht="15">
      <c r="AK296" s="797" t="str">
        <f t="shared" si="86"/>
        <v/>
      </c>
      <c r="AL296" s="538">
        <f t="shared" si="91"/>
        <v>43877</v>
      </c>
      <c r="AM296" s="539" t="str">
        <f>+Février!D19</f>
        <v>M</v>
      </c>
      <c r="AN296" s="539">
        <f t="shared" si="89"/>
        <v>1</v>
      </c>
      <c r="AO296" s="540">
        <f>+Février!W19</f>
        <v>7.666666666666667</v>
      </c>
      <c r="AP296" s="541" t="str">
        <f>+Février!X19</f>
        <v/>
      </c>
      <c r="AQ296" s="541">
        <f>+Février!AF19</f>
        <v>0</v>
      </c>
      <c r="AR296" s="541" t="str">
        <f t="shared" si="90"/>
        <v/>
      </c>
      <c r="AS296" s="541">
        <f>+Février!AE19</f>
        <v>0</v>
      </c>
      <c r="AT296" s="541">
        <f>+Février!J19</f>
        <v>0</v>
      </c>
      <c r="AU296" s="279" t="str">
        <f t="shared" si="92"/>
        <v/>
      </c>
      <c r="AV296" s="178" t="str">
        <f t="shared" si="83"/>
        <v/>
      </c>
      <c r="AW296" s="179" t="str">
        <f>+IF(WEEKDAY(AL298)=1,SUM(AU$253:AU296),"")</f>
        <v/>
      </c>
      <c r="AX296" s="386"/>
    </row>
    <row r="297" spans="36:50" ht="15">
      <c r="AK297" s="797" t="str">
        <f t="shared" si="86"/>
        <v/>
      </c>
      <c r="AL297" s="538">
        <f t="shared" si="91"/>
        <v>43878</v>
      </c>
      <c r="AM297" s="539">
        <f>+Février!D20</f>
        <v>0</v>
      </c>
      <c r="AN297" s="539" t="str">
        <f t="shared" si="89"/>
        <v/>
      </c>
      <c r="AO297" s="540" t="str">
        <f>+Février!W20</f>
        <v/>
      </c>
      <c r="AP297" s="541" t="str">
        <f>+Février!X20</f>
        <v/>
      </c>
      <c r="AQ297" s="541">
        <f>+Février!AF20</f>
        <v>0</v>
      </c>
      <c r="AR297" s="541" t="str">
        <f t="shared" si="90"/>
        <v/>
      </c>
      <c r="AS297" s="541">
        <f>+Février!AE20</f>
        <v>0</v>
      </c>
      <c r="AT297" s="541">
        <f>+Février!J20</f>
        <v>0</v>
      </c>
      <c r="AU297" s="279" t="str">
        <f t="shared" si="92"/>
        <v/>
      </c>
      <c r="AV297" s="178" t="str">
        <f t="shared" si="83"/>
        <v/>
      </c>
      <c r="AW297" s="179" t="str">
        <f>+IF(WEEKDAY(AL299)=1,SUM(AU$253:AU297),"")</f>
        <v/>
      </c>
      <c r="AX297" s="386"/>
    </row>
    <row r="298" spans="36:50" ht="15">
      <c r="AK298" s="797" t="str">
        <f t="shared" si="86"/>
        <v/>
      </c>
      <c r="AL298" s="538">
        <f t="shared" si="91"/>
        <v>43879</v>
      </c>
      <c r="AM298" s="539">
        <f>+Février!D21</f>
        <v>0</v>
      </c>
      <c r="AN298" s="539" t="str">
        <f t="shared" si="89"/>
        <v/>
      </c>
      <c r="AO298" s="540" t="str">
        <f>+Février!W21</f>
        <v/>
      </c>
      <c r="AP298" s="541" t="str">
        <f>+Février!X21</f>
        <v/>
      </c>
      <c r="AQ298" s="541">
        <f>+Février!AF21</f>
        <v>0</v>
      </c>
      <c r="AR298" s="541" t="str">
        <f t="shared" si="90"/>
        <v/>
      </c>
      <c r="AS298" s="541">
        <f>+Février!AE21</f>
        <v>0</v>
      </c>
      <c r="AT298" s="541">
        <f>+Février!J21</f>
        <v>0</v>
      </c>
      <c r="AU298" s="279" t="str">
        <f t="shared" si="92"/>
        <v/>
      </c>
      <c r="AV298" s="178" t="str">
        <f t="shared" si="83"/>
        <v/>
      </c>
      <c r="AW298" s="179" t="str">
        <f>+IF(WEEKDAY(AL300)=1,SUM(AU$253:AU298),"")</f>
        <v/>
      </c>
      <c r="AX298" s="386"/>
    </row>
    <row r="299" spans="36:50" ht="15">
      <c r="AK299" s="797" t="str">
        <f t="shared" si="86"/>
        <v/>
      </c>
      <c r="AL299" s="538">
        <f t="shared" si="91"/>
        <v>43880</v>
      </c>
      <c r="AM299" s="539" t="str">
        <f>+Février!D22</f>
        <v>AM</v>
      </c>
      <c r="AN299" s="539">
        <f t="shared" si="89"/>
        <v>1</v>
      </c>
      <c r="AO299" s="540">
        <f>+Février!W22</f>
        <v>7.7499999999999991</v>
      </c>
      <c r="AP299" s="541" t="str">
        <f>+Février!X22</f>
        <v/>
      </c>
      <c r="AQ299" s="541">
        <f>+Février!AF22</f>
        <v>0</v>
      </c>
      <c r="AR299" s="541" t="str">
        <f t="shared" si="90"/>
        <v/>
      </c>
      <c r="AS299" s="541">
        <f>+Février!AE22</f>
        <v>0</v>
      </c>
      <c r="AT299" s="541">
        <f>+Février!J22</f>
        <v>0</v>
      </c>
      <c r="AU299" s="279" t="str">
        <f t="shared" si="92"/>
        <v/>
      </c>
      <c r="AV299" s="178" t="str">
        <f t="shared" si="83"/>
        <v/>
      </c>
      <c r="AW299" s="179" t="str">
        <f>+IF(WEEKDAY(AL301)=1,SUM(AU$253:AU299),"")</f>
        <v/>
      </c>
      <c r="AX299" s="386"/>
    </row>
    <row r="300" spans="36:50" ht="15">
      <c r="AK300" s="797" t="str">
        <f t="shared" si="86"/>
        <v/>
      </c>
      <c r="AL300" s="538">
        <f t="shared" si="91"/>
        <v>43881</v>
      </c>
      <c r="AM300" s="539" t="str">
        <f>+Février!D23</f>
        <v>AM</v>
      </c>
      <c r="AN300" s="539">
        <f t="shared" si="89"/>
        <v>1</v>
      </c>
      <c r="AO300" s="540">
        <f>+Février!W23</f>
        <v>7.7499999999999991</v>
      </c>
      <c r="AP300" s="541" t="str">
        <f>+Février!X23</f>
        <v/>
      </c>
      <c r="AQ300" s="541">
        <f>+Février!AF23</f>
        <v>0</v>
      </c>
      <c r="AR300" s="541" t="str">
        <f t="shared" si="90"/>
        <v/>
      </c>
      <c r="AS300" s="541">
        <f>+Février!AE23</f>
        <v>0</v>
      </c>
      <c r="AT300" s="541">
        <f>+Février!J23</f>
        <v>0</v>
      </c>
      <c r="AU300" s="279" t="str">
        <f t="shared" si="92"/>
        <v/>
      </c>
      <c r="AV300" s="178" t="str">
        <f t="shared" si="83"/>
        <v/>
      </c>
      <c r="AW300" s="179" t="str">
        <f>+IF(WEEKDAY(AL302)=1,SUM(AU$253:AU300),"")</f>
        <v/>
      </c>
      <c r="AX300" s="386"/>
    </row>
    <row r="301" spans="36:50" ht="15">
      <c r="AK301" s="797" t="str">
        <f t="shared" si="86"/>
        <v/>
      </c>
      <c r="AL301" s="538">
        <f t="shared" si="91"/>
        <v>43882</v>
      </c>
      <c r="AM301" s="539" t="str">
        <f>+Février!D24</f>
        <v>AM</v>
      </c>
      <c r="AN301" s="539">
        <f t="shared" si="89"/>
        <v>1</v>
      </c>
      <c r="AO301" s="540">
        <f>+Février!W24</f>
        <v>7.7499999999999991</v>
      </c>
      <c r="AP301" s="541" t="str">
        <f>+Février!X24</f>
        <v/>
      </c>
      <c r="AQ301" s="541">
        <f>+Février!AF24</f>
        <v>0</v>
      </c>
      <c r="AR301" s="541" t="str">
        <f t="shared" si="90"/>
        <v/>
      </c>
      <c r="AS301" s="541">
        <f>+Février!AE24</f>
        <v>0</v>
      </c>
      <c r="AT301" s="541">
        <f>+Février!J24</f>
        <v>0</v>
      </c>
      <c r="AU301" s="279">
        <f t="shared" si="92"/>
        <v>30.916666666666664</v>
      </c>
      <c r="AV301" s="178">
        <f t="shared" si="83"/>
        <v>0</v>
      </c>
      <c r="AW301" s="179">
        <f>+IF(WEEKDAY(AL303)=1,SUM(AU$253:AU301),"")</f>
        <v>212.71666666666664</v>
      </c>
      <c r="AX301" s="386"/>
    </row>
    <row r="302" spans="36:50" ht="15">
      <c r="AK302" s="797" t="str">
        <f t="shared" si="86"/>
        <v/>
      </c>
      <c r="AL302" s="538">
        <f t="shared" si="91"/>
        <v>43883</v>
      </c>
      <c r="AM302" s="539">
        <f>+Février!D25</f>
        <v>0</v>
      </c>
      <c r="AN302" s="539" t="str">
        <f t="shared" si="89"/>
        <v/>
      </c>
      <c r="AO302" s="540" t="str">
        <f>+Février!W25</f>
        <v/>
      </c>
      <c r="AP302" s="541" t="str">
        <f>+Février!X25</f>
        <v/>
      </c>
      <c r="AQ302" s="541">
        <f>+Février!AF25</f>
        <v>0</v>
      </c>
      <c r="AR302" s="541" t="str">
        <f t="shared" si="90"/>
        <v/>
      </c>
      <c r="AS302" s="541">
        <f>+Février!AE25</f>
        <v>0</v>
      </c>
      <c r="AT302" s="541">
        <f>+Février!J25</f>
        <v>0</v>
      </c>
      <c r="AU302" s="279" t="str">
        <f t="shared" si="92"/>
        <v/>
      </c>
      <c r="AV302" s="178" t="str">
        <f t="shared" si="83"/>
        <v/>
      </c>
      <c r="AW302" s="179" t="str">
        <f>+IF(WEEKDAY(AL304)=1,SUM(AU$253:AU302),"")</f>
        <v/>
      </c>
      <c r="AX302" s="386"/>
    </row>
    <row r="303" spans="36:50" ht="15">
      <c r="AK303" s="797" t="str">
        <f t="shared" si="86"/>
        <v/>
      </c>
      <c r="AL303" s="538">
        <f t="shared" si="91"/>
        <v>43884</v>
      </c>
      <c r="AM303" s="539" t="str">
        <f>+Février!D26</f>
        <v>N</v>
      </c>
      <c r="AN303" s="539">
        <f t="shared" si="89"/>
        <v>1</v>
      </c>
      <c r="AO303" s="540">
        <f>+Février!W26</f>
        <v>7.666666666666667</v>
      </c>
      <c r="AP303" s="541" t="str">
        <f>+Février!X26</f>
        <v/>
      </c>
      <c r="AQ303" s="541">
        <f>+Février!AF26</f>
        <v>0</v>
      </c>
      <c r="AR303" s="541" t="str">
        <f t="shared" si="90"/>
        <v/>
      </c>
      <c r="AS303" s="541">
        <f>+Février!AE26</f>
        <v>0</v>
      </c>
      <c r="AT303" s="541">
        <f>+Février!J26</f>
        <v>0</v>
      </c>
      <c r="AU303" s="279" t="str">
        <f t="shared" si="92"/>
        <v/>
      </c>
      <c r="AV303" s="178" t="str">
        <f t="shared" si="83"/>
        <v/>
      </c>
      <c r="AW303" s="179" t="str">
        <f>+IF(WEEKDAY(AL305)=1,SUM(AU$253:AU303),"")</f>
        <v/>
      </c>
      <c r="AX303" s="386"/>
    </row>
    <row r="304" spans="36:50" ht="15">
      <c r="AK304" s="797">
        <f t="shared" si="86"/>
        <v>11</v>
      </c>
      <c r="AL304" s="538">
        <f t="shared" si="91"/>
        <v>43885</v>
      </c>
      <c r="AM304" s="539" t="str">
        <f>+Février!D27</f>
        <v>N</v>
      </c>
      <c r="AN304" s="539">
        <f t="shared" si="89"/>
        <v>1</v>
      </c>
      <c r="AO304" s="540">
        <f>+Février!W27</f>
        <v>7.7499999999999991</v>
      </c>
      <c r="AP304" s="541" t="str">
        <f>+Février!X27</f>
        <v/>
      </c>
      <c r="AQ304" s="541">
        <f>+Février!AF27</f>
        <v>0</v>
      </c>
      <c r="AR304" s="541" t="str">
        <f t="shared" si="90"/>
        <v/>
      </c>
      <c r="AS304" s="541">
        <f>+Février!AE27</f>
        <v>0</v>
      </c>
      <c r="AT304" s="541">
        <f>+Février!J27</f>
        <v>0</v>
      </c>
      <c r="AU304" s="279" t="str">
        <f t="shared" si="92"/>
        <v/>
      </c>
      <c r="AV304" s="178" t="str">
        <f t="shared" si="83"/>
        <v/>
      </c>
      <c r="AW304" s="179" t="str">
        <f>+IF(WEEKDAY(AL306)=1,SUM(AU$253:AU304),"")</f>
        <v/>
      </c>
      <c r="AX304" s="386"/>
    </row>
    <row r="305" spans="37:56" ht="15.75" thickBot="1">
      <c r="AK305" s="797" t="str">
        <f t="shared" si="86"/>
        <v/>
      </c>
      <c r="AL305" s="538">
        <f t="shared" si="91"/>
        <v>43886</v>
      </c>
      <c r="AM305" s="539" t="str">
        <f>+Février!D28</f>
        <v>N</v>
      </c>
      <c r="AN305" s="539">
        <f t="shared" si="89"/>
        <v>1</v>
      </c>
      <c r="AO305" s="540">
        <f>+Février!W28</f>
        <v>7.7499999999999991</v>
      </c>
      <c r="AP305" s="541" t="str">
        <f>+Février!X28</f>
        <v/>
      </c>
      <c r="AQ305" s="541">
        <f>+Février!AF28</f>
        <v>0</v>
      </c>
      <c r="AR305" s="541" t="str">
        <f t="shared" si="90"/>
        <v/>
      </c>
      <c r="AS305" s="541">
        <f>+Février!AE28</f>
        <v>0</v>
      </c>
      <c r="AT305" s="541">
        <f>+Février!J28</f>
        <v>0</v>
      </c>
      <c r="AU305" s="279" t="str">
        <f t="shared" si="92"/>
        <v/>
      </c>
      <c r="AV305" s="178" t="str">
        <f t="shared" si="83"/>
        <v/>
      </c>
      <c r="AW305" s="179" t="str">
        <f>+IF(WEEKDAY(AL307)=1,SUM(AU$253:AU305),"")</f>
        <v/>
      </c>
      <c r="AX305" s="386"/>
    </row>
    <row r="306" spans="37:56" ht="15.75" thickBot="1">
      <c r="AK306" s="797" t="str">
        <f t="shared" si="86"/>
        <v/>
      </c>
      <c r="AL306" s="538">
        <f t="shared" si="91"/>
        <v>43887</v>
      </c>
      <c r="AM306" s="539" t="str">
        <f>+Février!D29</f>
        <v>N</v>
      </c>
      <c r="AN306" s="539">
        <f t="shared" si="89"/>
        <v>1</v>
      </c>
      <c r="AO306" s="540">
        <f>+Février!W29</f>
        <v>7.7499999999999991</v>
      </c>
      <c r="AP306" s="541" t="str">
        <f>+Février!X29</f>
        <v/>
      </c>
      <c r="AQ306" s="541">
        <f>+Février!AF29</f>
        <v>0</v>
      </c>
      <c r="AR306" s="541" t="str">
        <f t="shared" si="90"/>
        <v/>
      </c>
      <c r="AS306" s="541">
        <f>+Février!AE29</f>
        <v>0</v>
      </c>
      <c r="AT306" s="541">
        <f>+Février!J29</f>
        <v>0</v>
      </c>
      <c r="AU306" s="279" t="str">
        <f t="shared" si="92"/>
        <v/>
      </c>
      <c r="AV306" s="178" t="str">
        <f t="shared" si="83"/>
        <v/>
      </c>
      <c r="AW306" s="179" t="str">
        <f>+IF(WEEKDAY(AL308)=1,SUM(AU$253:AU306),"")</f>
        <v/>
      </c>
      <c r="AX306" s="223">
        <f>+IF(WEEKDAY($AL$24)=1,SUM(AN276:AN303),IF(WEEKDAY($AL$25)=1,AU318SOMME(AN277:AN304),IF(WEEKDAY($AL$26)=1,SUM(AN278:AN306),IF(WEEKDAY($AL$27)=1,SUM(AN279:AN307),IF(WEEKDAY($AL$28)=1,SUM(AN280:AN308),IF(WEEKDAY($AL$29)=1,SUM(AN281:AN309),IF(WEEKDAY($AL$30)=1,SUM(AN282:AN310),"")))))))</f>
        <v>20</v>
      </c>
      <c r="AY306" s="223">
        <f>+IF(WEEKDAY($AL$24)=1,SUM(AO276:AO303),IF(WEEKDAY($AL$25)=1,AU318SOMME(AO277:AO304),IF(WEEKDAY($AL$26)=1,SUM(AO278:AO306),IF(WEEKDAY($AL$27)=1,SUM(AO279:AO307),IF(WEEKDAY($AL$28)=1,SUM(AO280:AO308),IF(WEEKDAY($AL$29)=1,SUM(AO281:AO309),IF(WEEKDAY($AL$30)=1,SUM(AO282:AO310),"")))))))</f>
        <v>150</v>
      </c>
      <c r="AZ306" s="223">
        <f>+IF(WEEKDAY($AL$24)=1,SUM(AP276:AP303),IF(WEEKDAY($AL$25)=1,AU318SOMME(AP277:AP304),IF(WEEKDAY($AL$26)=1,SUM(AP278:AP306),IF(WEEKDAY($AL$27)=1,SUM(AP279:AP307),IF(WEEKDAY($AL$28)=1,SUM(AP280:AP308),IF(WEEKDAY($AL$29)=1,SUM(AP281:AP309),IF(WEEKDAY($AL$30)=1,SUM(AP282:AP310),"")))))))</f>
        <v>0</v>
      </c>
      <c r="BA306" s="223">
        <f>+IF(WEEKDAY($AL$24)=1,SUM(AQ276:AQ303),IF(WEEKDAY($AL$25)=1,AU318SOMME(AQ277:AQ304),IF(WEEKDAY($AL$26)=1,SUM(AQ278:AQ306),IF(WEEKDAY($AL$27)=1,SUM(AQ279:AQ307),IF(WEEKDAY($AL$28)=1,SUM(AQ280:AQ308),IF(WEEKDAY($AL$29)=1,SUM(AQ281:AQ309),IF(WEEKDAY($AL$30)=1,SUM(AQ282:AQ310),"")))))))</f>
        <v>0</v>
      </c>
      <c r="BB306" s="223">
        <f>+IF(WEEKDAY($AL$24)=1,SUM(AR276:AR303),IF(WEEKDAY($AL$25)=1,AU318SOMME(AR277:AR304),IF(WEEKDAY($AL$26)=1,SUM(AR278:AR306),IF(WEEKDAY($AL$27)=1,SUM(AR279:AR307),IF(WEEKDAY($AL$28)=1,SUM(AR280:AR308),IF(WEEKDAY($AL$29)=1,SUM(AR281:AR309),IF(WEEKDAY($AL$30)=1,SUM(AR282:AR310),"")))))))</f>
        <v>0</v>
      </c>
      <c r="BC306" s="223">
        <f>+IF(WEEKDAY($AL$24)=1,SUM(AS276:AS303),IF(WEEKDAY($AL$25)=1,AU318SOMME(AS277:AS304),IF(WEEKDAY($AL$26)=1,SUM(AS278:AS306),IF(WEEKDAY($AL$27)=1,SUM(AS279:AS307),IF(WEEKDAY($AL$28)=1,SUM(AS280:AS308),IF(WEEKDAY($AL$29)=1,SUM(AS281:AS309),IF(WEEKDAY($AL$30)=1,SUM(AS282:AS310),"")))))))</f>
        <v>0</v>
      </c>
      <c r="BD306" s="223">
        <f>+IF(WEEKDAY($AL$24)=1,SUM(AT276:AT303),IF(WEEKDAY($AL$25)=1,AU318SOMME(AT277:AT304),IF(WEEKDAY($AL$26)=1,SUM(AT278:AT306),IF(WEEKDAY($AL$27)=1,SUM(AT279:AT307),IF(WEEKDAY($AL$28)=1,SUM(AT280:AT308),IF(WEEKDAY($AL$29)=1,SUM(AT281:AT309),IF(WEEKDAY($AL$30)=1,SUM(AT282:AT310),"")))))))</f>
        <v>0</v>
      </c>
    </row>
    <row r="307" spans="37:56" ht="15.75" thickBot="1">
      <c r="AK307" s="797" t="str">
        <f t="shared" si="86"/>
        <v/>
      </c>
      <c r="AL307" s="538">
        <f t="shared" si="91"/>
        <v>43888</v>
      </c>
      <c r="AM307" s="539" t="str">
        <f>+Février!D30</f>
        <v>N</v>
      </c>
      <c r="AN307" s="539">
        <f t="shared" si="89"/>
        <v>1</v>
      </c>
      <c r="AO307" s="540">
        <f>+Février!W30</f>
        <v>7.7499999999999991</v>
      </c>
      <c r="AP307" s="541" t="str">
        <f>+Février!X30</f>
        <v/>
      </c>
      <c r="AQ307" s="541">
        <f>+Février!AF30</f>
        <v>0</v>
      </c>
      <c r="AR307" s="541" t="str">
        <f t="shared" si="90"/>
        <v/>
      </c>
      <c r="AS307" s="541">
        <f>+Février!AE30</f>
        <v>0</v>
      </c>
      <c r="AT307" s="541">
        <f>+Février!J30</f>
        <v>0</v>
      </c>
      <c r="AU307" s="279" t="str">
        <f>IF(AL309="","",IF(WEEKDAY(AL309)=1,SUM(AO301:AP307),""))</f>
        <v/>
      </c>
      <c r="AV307" s="178" t="str">
        <f>IF(AL309="","",IF(WEEKDAY(AL309)=1,SUM(AP301:AP307),""))</f>
        <v/>
      </c>
      <c r="AW307" s="179" t="str">
        <f>IF(AL309="","",IF(WEEKDAY(AL309)=1,SUM(AU$253:AU307),""))</f>
        <v/>
      </c>
      <c r="AX307" s="386"/>
    </row>
    <row r="308" spans="37:56" ht="16.5" thickTop="1" thickBot="1">
      <c r="AK308" s="797" t="str">
        <f t="shared" si="86"/>
        <v/>
      </c>
      <c r="AL308" s="538">
        <f t="shared" si="91"/>
        <v>43889</v>
      </c>
      <c r="AM308" s="539">
        <f>+Février!D31</f>
        <v>0</v>
      </c>
      <c r="AN308" s="539" t="str">
        <f t="shared" si="89"/>
        <v/>
      </c>
      <c r="AO308" s="540" t="str">
        <f>+Février!W31</f>
        <v/>
      </c>
      <c r="AP308" s="541" t="str">
        <f>+Février!X31</f>
        <v/>
      </c>
      <c r="AQ308" s="541">
        <f>+Février!AF31</f>
        <v>0</v>
      </c>
      <c r="AR308" s="541" t="str">
        <f t="shared" si="90"/>
        <v/>
      </c>
      <c r="AS308" s="541">
        <f>+Février!AE31</f>
        <v>0</v>
      </c>
      <c r="AT308" s="541">
        <f>+Février!J31</f>
        <v>0</v>
      </c>
      <c r="AU308" s="279">
        <f t="shared" ref="AU308:AU339" si="93">+IF(WEEKDAY(AL310)=1,SUM(AO302:AP308),"")</f>
        <v>38.666666666666664</v>
      </c>
      <c r="AV308" s="178">
        <f t="shared" ref="AV308:AV339" si="94">+IF(WEEKDAY(AL310)=1,SUM(AP302:AP308),"")</f>
        <v>0</v>
      </c>
      <c r="AW308" s="179">
        <f>+IF(WEEKDAY(AL310)=1,SUM(AU$253:AU308),"")</f>
        <v>251.3833333333333</v>
      </c>
      <c r="AX308" s="386"/>
      <c r="AZ308" s="936" t="str">
        <f>+IF(WEEKDAY(AL$26)=1,"Fin cycle 10",IF(WEEKDAY(AL$27)=1,"Fin cycle 10",IF(WEEKDAY(AL$28)=1,"Fin cycle 10",IF(WEEKDAY(AL$29)=1,"Fin cycle 10",IF(WEEKDAY(AL$30)=1,"Fin cycle 10",IF(WEEKDAY(AL$31)=1,"Fin cycle 10",IF(WEEKDAY(AL$32)=1,"Fin cycle 10","")))))))</f>
        <v>Fin cycle 10</v>
      </c>
      <c r="BA308" s="937"/>
      <c r="BB308" s="275">
        <f>IF(AL307="",SUM(#REF!),SUM(AY306:AZ306))</f>
        <v>150</v>
      </c>
      <c r="BC308" s="590"/>
    </row>
    <row r="309" spans="37:56" ht="15.75" thickBot="1">
      <c r="AK309" s="797" t="str">
        <f t="shared" si="86"/>
        <v/>
      </c>
      <c r="AL309" s="597">
        <f>+IF(Février!C32&lt;&gt;"",Février!C32,Mars!C4)</f>
        <v>43890</v>
      </c>
      <c r="AM309" s="592" t="str">
        <f>+IF($AL$310=Mars!$C$4,Mars!D5,Mars!D6)</f>
        <v>AM</v>
      </c>
      <c r="AN309" s="592">
        <f t="shared" si="87"/>
        <v>1</v>
      </c>
      <c r="AO309" s="593">
        <f>+IF($AL$310=Mars!$C$4,Mars!W5,Mars!W6)</f>
        <v>7.7499999999999991</v>
      </c>
      <c r="AP309" s="592" t="str">
        <f>+IF($AL$310=Mars!$C$4,Mars!X5,Mars!X6)</f>
        <v/>
      </c>
      <c r="AQ309" s="592" t="str">
        <f>+IF($AL$310=Mars!$C$4,Mars!AF5,Mars!AF6)</f>
        <v/>
      </c>
      <c r="AR309" s="593" t="str">
        <f t="shared" si="88"/>
        <v/>
      </c>
      <c r="AS309" s="593" t="str">
        <f>+IF($AL$310=Mars!$C$4,Mars!AE5,Mars!AE6)</f>
        <v/>
      </c>
      <c r="AT309" s="594">
        <f>+IF($AL$310=Mars!$C$4,Mars!J5,Mars!J6)</f>
        <v>0</v>
      </c>
      <c r="AU309" s="279" t="str">
        <f t="shared" si="93"/>
        <v/>
      </c>
      <c r="AV309" s="178" t="str">
        <f t="shared" si="94"/>
        <v/>
      </c>
      <c r="AW309" s="179" t="str">
        <f>+IF(WEEKDAY(AL311)=1,SUM(AU$253:AU309),"")</f>
        <v/>
      </c>
      <c r="AX309" s="386"/>
    </row>
    <row r="310" spans="37:56" ht="15">
      <c r="AK310" s="797" t="str">
        <f t="shared" si="86"/>
        <v/>
      </c>
      <c r="AL310" s="538">
        <f>+IF(Février!C32="",Mars!C5,Mars!C4)</f>
        <v>43891</v>
      </c>
      <c r="AM310" s="287">
        <f>+IF($AL$310=Mars!$C$4,Mars!D4,Mars!D5)</f>
        <v>0</v>
      </c>
      <c r="AN310" s="596" t="str">
        <f t="shared" si="87"/>
        <v/>
      </c>
      <c r="AO310" s="288" t="str">
        <f>+IF($AL$310=Mars!$C$4,Mars!W4,Mars!W5)</f>
        <v/>
      </c>
      <c r="AP310" s="287" t="str">
        <f>+IF($AL$310=Mars!$C$4,Mars!X4,Mars!X5)</f>
        <v/>
      </c>
      <c r="AQ310" s="287" t="str">
        <f>+IF($AL$310=Mars!$C$4,Mars!AF4,Mars!AF5)</f>
        <v/>
      </c>
      <c r="AR310" s="288" t="str">
        <f t="shared" si="88"/>
        <v/>
      </c>
      <c r="AS310" s="288" t="str">
        <f>+IF($AL$310=Mars!$C$4,Mars!AE4,Mars!AE5)</f>
        <v/>
      </c>
      <c r="AT310" s="287">
        <f>+IF($AL$310=Mars!$C$4,Mars!J4,Mars!J5)</f>
        <v>0</v>
      </c>
      <c r="AU310" s="279" t="str">
        <f t="shared" si="93"/>
        <v/>
      </c>
      <c r="AV310" s="178" t="str">
        <f t="shared" si="94"/>
        <v/>
      </c>
      <c r="AW310" s="179" t="str">
        <f>+IF(WEEKDAY(AL312)=1,SUM(AU$253:AU310),"")</f>
        <v/>
      </c>
      <c r="AX310" s="386"/>
    </row>
    <row r="311" spans="37:56" ht="15">
      <c r="AK311" s="797" t="str">
        <f t="shared" si="86"/>
        <v/>
      </c>
      <c r="AL311" s="286">
        <f t="shared" si="91"/>
        <v>43892</v>
      </c>
      <c r="AM311" s="287" t="str">
        <f>+IF($AL$310=Mars!$C$4,Mars!D5,Mars!D6)</f>
        <v>AM</v>
      </c>
      <c r="AN311" s="596">
        <f t="shared" si="87"/>
        <v>1</v>
      </c>
      <c r="AO311" s="288">
        <f>+IF($AL$310=Mars!$C$4,Mars!W5,Mars!W6)</f>
        <v>7.7499999999999991</v>
      </c>
      <c r="AP311" s="287" t="str">
        <f>+IF($AL$310=Mars!$C$4,Mars!X5,Mars!X6)</f>
        <v/>
      </c>
      <c r="AQ311" s="287" t="str">
        <f>+IF($AL$310=Mars!$C$4,Mars!AF5,Mars!AF6)</f>
        <v/>
      </c>
      <c r="AR311" s="288" t="str">
        <f t="shared" si="88"/>
        <v/>
      </c>
      <c r="AS311" s="288" t="str">
        <f>+IF($AL$310=Mars!$C$4,Mars!AE5,Mars!AE6)</f>
        <v/>
      </c>
      <c r="AT311" s="287">
        <f>+IF($AL$310=Mars!$C$4,Mars!J5,Mars!J6)</f>
        <v>0</v>
      </c>
      <c r="AU311" s="279" t="str">
        <f t="shared" si="93"/>
        <v/>
      </c>
      <c r="AV311" s="178" t="str">
        <f t="shared" si="94"/>
        <v/>
      </c>
      <c r="AW311" s="179" t="str">
        <f>+IF(WEEKDAY(AL313)=1,SUM(AU$253:AU311),"")</f>
        <v/>
      </c>
      <c r="AX311" s="386"/>
    </row>
    <row r="312" spans="37:56" ht="15">
      <c r="AK312" s="797" t="str">
        <f t="shared" si="86"/>
        <v/>
      </c>
      <c r="AL312" s="286">
        <f t="shared" si="91"/>
        <v>43893</v>
      </c>
      <c r="AM312" s="287" t="str">
        <f>+IF($AL$310=Mars!$C$4,Mars!D6,Mars!D7)</f>
        <v>AM</v>
      </c>
      <c r="AN312" s="596">
        <f t="shared" ref="AN312:AN339" si="95">+IF(AM312=0,"",IF(AM312="CP","",1))</f>
        <v>1</v>
      </c>
      <c r="AO312" s="288">
        <f>+IF($AL$310=Mars!$C$4,Mars!W6,Mars!W7)</f>
        <v>7.7499999999999991</v>
      </c>
      <c r="AP312" s="287" t="str">
        <f>+IF($AL$310=Mars!$C$4,Mars!X6,Mars!X7)</f>
        <v/>
      </c>
      <c r="AQ312" s="287" t="str">
        <f>+IF($AL$310=Mars!$C$4,Mars!AF6,Mars!AF7)</f>
        <v/>
      </c>
      <c r="AR312" s="288" t="str">
        <f t="shared" ref="AR312:AR339" si="96">+IF(AS312&lt;&gt;"","",AQ312)</f>
        <v/>
      </c>
      <c r="AS312" s="288" t="str">
        <f>+IF($AL$310=Mars!$C$4,Mars!AE6,Mars!AE7)</f>
        <v/>
      </c>
      <c r="AT312" s="287">
        <f>+IF($AL$310=Mars!$C$4,Mars!J6,Mars!J7)</f>
        <v>0</v>
      </c>
      <c r="AU312" s="279" t="str">
        <f t="shared" si="93"/>
        <v/>
      </c>
      <c r="AV312" s="178" t="str">
        <f t="shared" si="94"/>
        <v/>
      </c>
      <c r="AW312" s="179" t="str">
        <f>+IF(WEEKDAY(AL314)=1,SUM(AU$253:AU312),"")</f>
        <v/>
      </c>
      <c r="AX312" s="386"/>
    </row>
    <row r="313" spans="37:56" ht="15">
      <c r="AK313" s="797" t="str">
        <f t="shared" si="86"/>
        <v/>
      </c>
      <c r="AL313" s="286">
        <f t="shared" si="91"/>
        <v>43894</v>
      </c>
      <c r="AM313" s="287" t="str">
        <f>+IF($AL$310=Mars!$C$4,Mars!D7,Mars!D8)</f>
        <v>AM</v>
      </c>
      <c r="AN313" s="596">
        <f t="shared" si="95"/>
        <v>1</v>
      </c>
      <c r="AO313" s="288">
        <f>+IF($AL$310=Mars!$C$4,Mars!W7,Mars!W8)</f>
        <v>7.7499999999999991</v>
      </c>
      <c r="AP313" s="287" t="str">
        <f>+IF($AL$310=Mars!$C$4,Mars!X7,Mars!X8)</f>
        <v/>
      </c>
      <c r="AQ313" s="287" t="str">
        <f>+IF($AL$310=Mars!$C$4,Mars!AF7,Mars!AF8)</f>
        <v/>
      </c>
      <c r="AR313" s="288" t="str">
        <f t="shared" si="96"/>
        <v/>
      </c>
      <c r="AS313" s="288" t="str">
        <f>+IF($AL$310=Mars!$C$4,Mars!AE7,Mars!AE8)</f>
        <v/>
      </c>
      <c r="AT313" s="287">
        <f>+IF($AL$310=Mars!$C$4,Mars!J7,Mars!J8)</f>
        <v>0</v>
      </c>
      <c r="AU313" s="279" t="str">
        <f t="shared" si="93"/>
        <v/>
      </c>
      <c r="AV313" s="178" t="str">
        <f t="shared" si="94"/>
        <v/>
      </c>
      <c r="AW313" s="179" t="str">
        <f>+IF(WEEKDAY(AL315)=1,SUM(AU$253:AU313),"")</f>
        <v/>
      </c>
      <c r="AX313" s="386"/>
    </row>
    <row r="314" spans="37:56" ht="15">
      <c r="AK314" s="797" t="str">
        <f t="shared" si="86"/>
        <v/>
      </c>
      <c r="AL314" s="286">
        <f t="shared" si="91"/>
        <v>43895</v>
      </c>
      <c r="AM314" s="287" t="str">
        <f>+IF($AL$310=Mars!$C$4,Mars!D8,Mars!D9)</f>
        <v>AM</v>
      </c>
      <c r="AN314" s="596">
        <f t="shared" si="95"/>
        <v>1</v>
      </c>
      <c r="AO314" s="288">
        <f>+IF($AL$310=Mars!$C$4,Mars!W8,Mars!W9)</f>
        <v>7.7499999999999991</v>
      </c>
      <c r="AP314" s="287" t="str">
        <f>+IF($AL$310=Mars!$C$4,Mars!X8,Mars!X9)</f>
        <v/>
      </c>
      <c r="AQ314" s="287" t="str">
        <f>+IF($AL$310=Mars!$C$4,Mars!AF8,Mars!AF9)</f>
        <v/>
      </c>
      <c r="AR314" s="288" t="str">
        <f t="shared" si="96"/>
        <v/>
      </c>
      <c r="AS314" s="288" t="str">
        <f>+IF($AL$310=Mars!$C$4,Mars!AE8,Mars!AE9)</f>
        <v/>
      </c>
      <c r="AT314" s="287">
        <f>+IF($AL$310=Mars!$C$4,Mars!J8,Mars!J9)</f>
        <v>0</v>
      </c>
      <c r="AU314" s="279" t="str">
        <f t="shared" si="93"/>
        <v/>
      </c>
      <c r="AV314" s="178" t="str">
        <f t="shared" si="94"/>
        <v/>
      </c>
      <c r="AW314" s="179" t="str">
        <f>+IF(WEEKDAY(AL316)=1,SUM(AU$253:AU314),"")</f>
        <v/>
      </c>
      <c r="AX314" s="386"/>
    </row>
    <row r="315" spans="37:56" ht="15">
      <c r="AK315" s="797" t="str">
        <f t="shared" si="86"/>
        <v/>
      </c>
      <c r="AL315" s="286">
        <f t="shared" si="91"/>
        <v>43896</v>
      </c>
      <c r="AM315" s="287">
        <f>+IF($AL$310=Mars!$C$4,Mars!D9,Mars!D10)</f>
        <v>0</v>
      </c>
      <c r="AN315" s="596" t="str">
        <f t="shared" si="95"/>
        <v/>
      </c>
      <c r="AO315" s="288" t="str">
        <f>+IF($AL$310=Mars!$C$4,Mars!W9,Mars!W10)</f>
        <v/>
      </c>
      <c r="AP315" s="287" t="str">
        <f>+IF($AL$310=Mars!$C$4,Mars!X9,Mars!X10)</f>
        <v/>
      </c>
      <c r="AQ315" s="287" t="str">
        <f>+IF($AL$310=Mars!$C$4,Mars!AF9,Mars!AF10)</f>
        <v/>
      </c>
      <c r="AR315" s="288" t="str">
        <f t="shared" si="96"/>
        <v/>
      </c>
      <c r="AS315" s="288" t="str">
        <f>+IF($AL$310=Mars!$C$4,Mars!AE9,Mars!AE10)</f>
        <v/>
      </c>
      <c r="AT315" s="287">
        <f>+IF($AL$310=Mars!$C$4,Mars!J9,Mars!J10)</f>
        <v>0</v>
      </c>
      <c r="AU315" s="279">
        <f t="shared" si="93"/>
        <v>38.749999999999993</v>
      </c>
      <c r="AV315" s="178">
        <f t="shared" si="94"/>
        <v>0</v>
      </c>
      <c r="AW315" s="179">
        <f>+IF(WEEKDAY(AL317)=1,SUM(AU$253:AU315),"")</f>
        <v>290.13333333333327</v>
      </c>
      <c r="AX315" s="386"/>
    </row>
    <row r="316" spans="37:56" ht="15">
      <c r="AK316" s="797" t="str">
        <f t="shared" si="86"/>
        <v/>
      </c>
      <c r="AL316" s="286">
        <f t="shared" si="91"/>
        <v>43897</v>
      </c>
      <c r="AM316" s="287">
        <f>+IF($AL$310=Mars!$C$4,Mars!D10,Mars!D11)</f>
        <v>0</v>
      </c>
      <c r="AN316" s="596" t="str">
        <f t="shared" si="95"/>
        <v/>
      </c>
      <c r="AO316" s="288" t="str">
        <f>+IF($AL$310=Mars!$C$4,Mars!W10,Mars!W11)</f>
        <v/>
      </c>
      <c r="AP316" s="287" t="str">
        <f>+IF($AL$310=Mars!$C$4,Mars!X10,Mars!X11)</f>
        <v/>
      </c>
      <c r="AQ316" s="287" t="str">
        <f>+IF($AL$310=Mars!$C$4,Mars!AF10,Mars!AF11)</f>
        <v/>
      </c>
      <c r="AR316" s="288" t="str">
        <f t="shared" si="96"/>
        <v/>
      </c>
      <c r="AS316" s="288" t="str">
        <f>+IF($AL$310=Mars!$C$4,Mars!AE10,Mars!AE11)</f>
        <v/>
      </c>
      <c r="AT316" s="287">
        <f>+IF($AL$310=Mars!$C$4,Mars!J10,Mars!J11)</f>
        <v>0</v>
      </c>
      <c r="AU316" s="279" t="str">
        <f t="shared" si="93"/>
        <v/>
      </c>
      <c r="AV316" s="178" t="str">
        <f t="shared" si="94"/>
        <v/>
      </c>
      <c r="AW316" s="179" t="str">
        <f>+IF(WEEKDAY(AL318)=1,SUM(AU$253:AU316),"")</f>
        <v/>
      </c>
      <c r="AX316" s="386"/>
    </row>
    <row r="317" spans="37:56" ht="15">
      <c r="AK317" s="797" t="str">
        <f t="shared" si="86"/>
        <v/>
      </c>
      <c r="AL317" s="286">
        <f t="shared" si="91"/>
        <v>43898</v>
      </c>
      <c r="AM317" s="287">
        <f>+IF($AL$310=Mars!$C$4,Mars!D11,Mars!D12)</f>
        <v>0</v>
      </c>
      <c r="AN317" s="596" t="str">
        <f t="shared" si="95"/>
        <v/>
      </c>
      <c r="AO317" s="288" t="str">
        <f>+IF($AL$310=Mars!$C$4,Mars!W11,Mars!W12)</f>
        <v/>
      </c>
      <c r="AP317" s="287" t="str">
        <f>+IF($AL$310=Mars!$C$4,Mars!X11,Mars!X12)</f>
        <v/>
      </c>
      <c r="AQ317" s="287" t="str">
        <f>+IF($AL$310=Mars!$C$4,Mars!AF11,Mars!AF12)</f>
        <v/>
      </c>
      <c r="AR317" s="288" t="str">
        <f t="shared" si="96"/>
        <v/>
      </c>
      <c r="AS317" s="288" t="str">
        <f>+IF($AL$310=Mars!$C$4,Mars!AE11,Mars!AE12)</f>
        <v/>
      </c>
      <c r="AT317" s="287">
        <f>+IF($AL$310=Mars!$C$4,Mars!J11,Mars!J12)</f>
        <v>0</v>
      </c>
      <c r="AU317" s="279" t="str">
        <f t="shared" si="93"/>
        <v/>
      </c>
      <c r="AV317" s="178" t="str">
        <f t="shared" si="94"/>
        <v/>
      </c>
      <c r="AW317" s="179" t="str">
        <f>+IF(WEEKDAY(AL319)=1,SUM(AU$253:AU317),"")</f>
        <v/>
      </c>
      <c r="AX317" s="386"/>
    </row>
    <row r="318" spans="37:56" ht="15">
      <c r="AK318" s="797" t="str">
        <f t="shared" si="86"/>
        <v/>
      </c>
      <c r="AL318" s="286">
        <f t="shared" si="91"/>
        <v>43899</v>
      </c>
      <c r="AM318" s="287">
        <f>+IF($AL$310=Mars!$C$4,Mars!D12,Mars!D13)</f>
        <v>0</v>
      </c>
      <c r="AN318" s="596" t="str">
        <f t="shared" si="95"/>
        <v/>
      </c>
      <c r="AO318" s="288" t="str">
        <f>+IF($AL$310=Mars!$C$4,Mars!W12,Mars!W13)</f>
        <v/>
      </c>
      <c r="AP318" s="287" t="str">
        <f>+IF($AL$310=Mars!$C$4,Mars!X12,Mars!X13)</f>
        <v/>
      </c>
      <c r="AQ318" s="287" t="str">
        <f>+IF($AL$310=Mars!$C$4,Mars!AF12,Mars!AF13)</f>
        <v/>
      </c>
      <c r="AR318" s="288" t="str">
        <f t="shared" si="96"/>
        <v/>
      </c>
      <c r="AS318" s="288" t="str">
        <f>+IF($AL$310=Mars!$C$4,Mars!AE12,Mars!AE13)</f>
        <v/>
      </c>
      <c r="AT318" s="287">
        <f>+IF($AL$310=Mars!$C$4,Mars!J12,Mars!J13)</f>
        <v>0</v>
      </c>
      <c r="AU318" s="279" t="str">
        <f t="shared" si="93"/>
        <v/>
      </c>
      <c r="AV318" s="178" t="str">
        <f t="shared" si="94"/>
        <v/>
      </c>
      <c r="AW318" s="179" t="str">
        <f>+IF(WEEKDAY(AL320)=1,SUM(AU$253:AU318),"")</f>
        <v/>
      </c>
      <c r="AX318" s="386"/>
    </row>
    <row r="319" spans="37:56" ht="15">
      <c r="AK319" s="797" t="str">
        <f t="shared" si="86"/>
        <v/>
      </c>
      <c r="AL319" s="286">
        <f t="shared" si="91"/>
        <v>43900</v>
      </c>
      <c r="AM319" s="287">
        <f>+IF($AL$310=Mars!$C$4,Mars!D13,Mars!D14)</f>
        <v>0</v>
      </c>
      <c r="AN319" s="596" t="str">
        <f t="shared" si="95"/>
        <v/>
      </c>
      <c r="AO319" s="288" t="str">
        <f>+IF($AL$310=Mars!$C$4,Mars!W13,Mars!W14)</f>
        <v/>
      </c>
      <c r="AP319" s="287" t="str">
        <f>+IF($AL$310=Mars!$C$4,Mars!X13,Mars!X14)</f>
        <v/>
      </c>
      <c r="AQ319" s="287" t="str">
        <f>+IF($AL$310=Mars!$C$4,Mars!AF13,Mars!AF14)</f>
        <v/>
      </c>
      <c r="AR319" s="288" t="str">
        <f t="shared" si="96"/>
        <v/>
      </c>
      <c r="AS319" s="288" t="str">
        <f>+IF($AL$310=Mars!$C$4,Mars!AE13,Mars!AE14)</f>
        <v/>
      </c>
      <c r="AT319" s="287">
        <f>+IF($AL$310=Mars!$C$4,Mars!J13,Mars!J14)</f>
        <v>0</v>
      </c>
      <c r="AU319" s="279" t="str">
        <f t="shared" si="93"/>
        <v/>
      </c>
      <c r="AV319" s="178" t="str">
        <f t="shared" si="94"/>
        <v/>
      </c>
      <c r="AW319" s="179" t="str">
        <f>+IF(WEEKDAY(AL321)=1,SUM(AU$253:AU319),"")</f>
        <v/>
      </c>
      <c r="AX319" s="386"/>
    </row>
    <row r="320" spans="37:56" ht="15">
      <c r="AK320" s="797" t="str">
        <f t="shared" si="86"/>
        <v/>
      </c>
      <c r="AL320" s="286">
        <f t="shared" si="91"/>
        <v>43901</v>
      </c>
      <c r="AM320" s="287">
        <f>+IF($AL$310=Mars!$C$4,Mars!D14,Mars!D15)</f>
        <v>0</v>
      </c>
      <c r="AN320" s="596" t="str">
        <f t="shared" si="95"/>
        <v/>
      </c>
      <c r="AO320" s="288" t="str">
        <f>+IF($AL$310=Mars!$C$4,Mars!W14,Mars!W15)</f>
        <v/>
      </c>
      <c r="AP320" s="287" t="str">
        <f>+IF($AL$310=Mars!$C$4,Mars!X14,Mars!X15)</f>
        <v/>
      </c>
      <c r="AQ320" s="287" t="str">
        <f>+IF($AL$310=Mars!$C$4,Mars!AF14,Mars!AF15)</f>
        <v/>
      </c>
      <c r="AR320" s="288" t="str">
        <f t="shared" si="96"/>
        <v/>
      </c>
      <c r="AS320" s="288" t="str">
        <f>+IF($AL$310=Mars!$C$4,Mars!AE14,Mars!AE15)</f>
        <v/>
      </c>
      <c r="AT320" s="287">
        <f>+IF($AL$310=Mars!$C$4,Mars!J14,Mars!J15)</f>
        <v>0</v>
      </c>
      <c r="AU320" s="279" t="str">
        <f t="shared" si="93"/>
        <v/>
      </c>
      <c r="AV320" s="178" t="str">
        <f t="shared" si="94"/>
        <v/>
      </c>
      <c r="AW320" s="179" t="str">
        <f>+IF(WEEKDAY(AL322)=1,SUM(AU$253:AU320),"")</f>
        <v/>
      </c>
      <c r="AX320" s="386"/>
    </row>
    <row r="321" spans="37:50" ht="15">
      <c r="AK321" s="797" t="str">
        <f t="shared" si="86"/>
        <v/>
      </c>
      <c r="AL321" s="286">
        <f t="shared" si="91"/>
        <v>43902</v>
      </c>
      <c r="AM321" s="287">
        <f>+IF($AL$310=Mars!$C$4,Mars!D15,Mars!D16)</f>
        <v>0</v>
      </c>
      <c r="AN321" s="596" t="str">
        <f t="shared" si="95"/>
        <v/>
      </c>
      <c r="AO321" s="288" t="str">
        <f>+IF($AL$310=Mars!$C$4,Mars!W15,Mars!W16)</f>
        <v/>
      </c>
      <c r="AP321" s="287" t="str">
        <f>+IF($AL$310=Mars!$C$4,Mars!X15,Mars!X16)</f>
        <v/>
      </c>
      <c r="AQ321" s="287" t="str">
        <f>+IF($AL$310=Mars!$C$4,Mars!AF15,Mars!AF16)</f>
        <v/>
      </c>
      <c r="AR321" s="288" t="str">
        <f t="shared" si="96"/>
        <v/>
      </c>
      <c r="AS321" s="288" t="str">
        <f>+IF($AL$310=Mars!$C$4,Mars!AE15,Mars!AE16)</f>
        <v/>
      </c>
      <c r="AT321" s="287">
        <f>+IF($AL$310=Mars!$C$4,Mars!J15,Mars!J16)</f>
        <v>0</v>
      </c>
      <c r="AU321" s="279" t="str">
        <f t="shared" si="93"/>
        <v/>
      </c>
      <c r="AV321" s="178" t="str">
        <f t="shared" si="94"/>
        <v/>
      </c>
      <c r="AW321" s="179" t="str">
        <f>+IF(WEEKDAY(AL323)=1,SUM(AU$253:AU321),"")</f>
        <v/>
      </c>
      <c r="AX321" s="386"/>
    </row>
    <row r="322" spans="37:50" ht="15">
      <c r="AK322" s="797" t="str">
        <f t="shared" si="86"/>
        <v/>
      </c>
      <c r="AL322" s="286">
        <f t="shared" si="91"/>
        <v>43903</v>
      </c>
      <c r="AM322" s="287">
        <f>+IF($AL$310=Mars!$C$4,Mars!D16,Mars!D17)</f>
        <v>0</v>
      </c>
      <c r="AN322" s="596" t="str">
        <f t="shared" si="95"/>
        <v/>
      </c>
      <c r="AO322" s="288" t="str">
        <f>+IF($AL$310=Mars!$C$4,Mars!W16,Mars!W17)</f>
        <v/>
      </c>
      <c r="AP322" s="287" t="str">
        <f>+IF($AL$310=Mars!$C$4,Mars!X16,Mars!X17)</f>
        <v/>
      </c>
      <c r="AQ322" s="287" t="str">
        <f>+IF($AL$310=Mars!$C$4,Mars!AF16,Mars!AF17)</f>
        <v/>
      </c>
      <c r="AR322" s="288" t="str">
        <f t="shared" si="96"/>
        <v/>
      </c>
      <c r="AS322" s="288" t="str">
        <f>+IF($AL$310=Mars!$C$4,Mars!AE16,Mars!AE17)</f>
        <v/>
      </c>
      <c r="AT322" s="287">
        <f>+IF($AL$310=Mars!$C$4,Mars!J16,Mars!J17)</f>
        <v>0</v>
      </c>
      <c r="AU322" s="279">
        <f t="shared" si="93"/>
        <v>0</v>
      </c>
      <c r="AV322" s="178">
        <f t="shared" si="94"/>
        <v>0</v>
      </c>
      <c r="AW322" s="179">
        <f>+IF(WEEKDAY(AL324)=1,SUM(AU$253:AU322),"")</f>
        <v>290.13333333333327</v>
      </c>
      <c r="AX322" s="386"/>
    </row>
    <row r="323" spans="37:50" ht="15">
      <c r="AK323" s="797" t="str">
        <f t="shared" si="86"/>
        <v/>
      </c>
      <c r="AL323" s="286">
        <f t="shared" si="91"/>
        <v>43904</v>
      </c>
      <c r="AM323" s="287">
        <f>+IF($AL$310=Mars!$C$4,Mars!D17,Mars!D18)</f>
        <v>0</v>
      </c>
      <c r="AN323" s="596" t="str">
        <f t="shared" si="95"/>
        <v/>
      </c>
      <c r="AO323" s="288" t="str">
        <f>+IF($AL$310=Mars!$C$4,Mars!W17,Mars!W18)</f>
        <v/>
      </c>
      <c r="AP323" s="287" t="str">
        <f>+IF($AL$310=Mars!$C$4,Mars!X17,Mars!X18)</f>
        <v/>
      </c>
      <c r="AQ323" s="287" t="str">
        <f>+IF($AL$310=Mars!$C$4,Mars!AF17,Mars!AF18)</f>
        <v/>
      </c>
      <c r="AR323" s="288" t="str">
        <f t="shared" si="96"/>
        <v/>
      </c>
      <c r="AS323" s="288" t="str">
        <f>+IF($AL$310=Mars!$C$4,Mars!AE17,Mars!AE18)</f>
        <v/>
      </c>
      <c r="AT323" s="287">
        <f>+IF($AL$310=Mars!$C$4,Mars!J17,Mars!J18)</f>
        <v>0</v>
      </c>
      <c r="AU323" s="279" t="str">
        <f t="shared" si="93"/>
        <v/>
      </c>
      <c r="AV323" s="178" t="str">
        <f t="shared" si="94"/>
        <v/>
      </c>
      <c r="AW323" s="179" t="str">
        <f>+IF(WEEKDAY(AL325)=1,SUM(AU$253:AU323),"")</f>
        <v/>
      </c>
      <c r="AX323" s="386"/>
    </row>
    <row r="324" spans="37:50" ht="15">
      <c r="AK324" s="797" t="str">
        <f t="shared" si="86"/>
        <v/>
      </c>
      <c r="AL324" s="286">
        <f t="shared" si="91"/>
        <v>43905</v>
      </c>
      <c r="AM324" s="287">
        <f>+IF($AL$310=Mars!$C$4,Mars!D18,Mars!D19)</f>
        <v>0</v>
      </c>
      <c r="AN324" s="596" t="str">
        <f t="shared" si="95"/>
        <v/>
      </c>
      <c r="AO324" s="288" t="str">
        <f>+IF($AL$310=Mars!$C$4,Mars!W18,Mars!W19)</f>
        <v/>
      </c>
      <c r="AP324" s="287" t="str">
        <f>+IF($AL$310=Mars!$C$4,Mars!X18,Mars!X19)</f>
        <v/>
      </c>
      <c r="AQ324" s="287" t="str">
        <f>+IF($AL$310=Mars!$C$4,Mars!AF18,Mars!AF19)</f>
        <v/>
      </c>
      <c r="AR324" s="288" t="str">
        <f t="shared" si="96"/>
        <v/>
      </c>
      <c r="AS324" s="288" t="str">
        <f>+IF($AL$310=Mars!$C$4,Mars!AE18,Mars!AE19)</f>
        <v/>
      </c>
      <c r="AT324" s="287">
        <f>+IF($AL$310=Mars!$C$4,Mars!J18,Mars!J19)</f>
        <v>0</v>
      </c>
      <c r="AU324" s="279" t="str">
        <f t="shared" si="93"/>
        <v/>
      </c>
      <c r="AV324" s="178" t="str">
        <f t="shared" si="94"/>
        <v/>
      </c>
      <c r="AW324" s="179" t="str">
        <f>+IF(WEEKDAY(AL326)=1,SUM(AU$253:AU324),"")</f>
        <v/>
      </c>
      <c r="AX324" s="386"/>
    </row>
    <row r="325" spans="37:50" ht="15">
      <c r="AK325" s="797" t="str">
        <f t="shared" si="86"/>
        <v/>
      </c>
      <c r="AL325" s="286">
        <f t="shared" si="91"/>
        <v>43906</v>
      </c>
      <c r="AM325" s="287">
        <f>+IF($AL$310=Mars!$C$4,Mars!D19,Mars!D20)</f>
        <v>0</v>
      </c>
      <c r="AN325" s="596" t="str">
        <f t="shared" si="95"/>
        <v/>
      </c>
      <c r="AO325" s="288">
        <f>+IF($AL$310=Mars!$C$4,Mars!W19,Mars!W20)</f>
        <v>0</v>
      </c>
      <c r="AP325" s="287" t="str">
        <f>+IF($AL$310=Mars!$C$4,Mars!X19,Mars!X20)</f>
        <v/>
      </c>
      <c r="AQ325" s="287" t="str">
        <f>+IF($AL$310=Mars!$C$4,Mars!AF19,Mars!AF20)</f>
        <v/>
      </c>
      <c r="AR325" s="288" t="str">
        <f t="shared" si="96"/>
        <v/>
      </c>
      <c r="AS325" s="288" t="str">
        <f>+IF($AL$310=Mars!$C$4,Mars!AE19,Mars!AE20)</f>
        <v/>
      </c>
      <c r="AT325" s="287">
        <f>+IF($AL$310=Mars!$C$4,Mars!J19,Mars!J20)</f>
        <v>0</v>
      </c>
      <c r="AU325" s="279" t="str">
        <f t="shared" si="93"/>
        <v/>
      </c>
      <c r="AV325" s="178" t="str">
        <f t="shared" si="94"/>
        <v/>
      </c>
      <c r="AW325" s="179" t="str">
        <f>+IF(WEEKDAY(AL327)=1,SUM(AU$253:AU325),"")</f>
        <v/>
      </c>
      <c r="AX325" s="386"/>
    </row>
    <row r="326" spans="37:50" ht="15">
      <c r="AK326" s="797" t="str">
        <f t="shared" si="86"/>
        <v/>
      </c>
      <c r="AL326" s="286">
        <f t="shared" si="91"/>
        <v>43907</v>
      </c>
      <c r="AM326" s="287">
        <f>+IF($AL$310=Mars!$C$4,Mars!D20,Mars!D21)</f>
        <v>0</v>
      </c>
      <c r="AN326" s="596" t="str">
        <f t="shared" si="95"/>
        <v/>
      </c>
      <c r="AO326" s="288">
        <f>+IF($AL$310=Mars!$C$4,Mars!W20,Mars!W21)</f>
        <v>0</v>
      </c>
      <c r="AP326" s="287" t="str">
        <f>+IF($AL$310=Mars!$C$4,Mars!X20,Mars!X21)</f>
        <v/>
      </c>
      <c r="AQ326" s="287" t="str">
        <f>+IF($AL$310=Mars!$C$4,Mars!AF20,Mars!AF21)</f>
        <v/>
      </c>
      <c r="AR326" s="288" t="str">
        <f t="shared" si="96"/>
        <v/>
      </c>
      <c r="AS326" s="288" t="str">
        <f>+IF($AL$310=Mars!$C$4,Mars!AE20,Mars!AE21)</f>
        <v/>
      </c>
      <c r="AT326" s="287">
        <f>+IF($AL$310=Mars!$C$4,Mars!J20,Mars!J21)</f>
        <v>0</v>
      </c>
      <c r="AU326" s="279" t="str">
        <f t="shared" si="93"/>
        <v/>
      </c>
      <c r="AV326" s="178" t="str">
        <f t="shared" si="94"/>
        <v/>
      </c>
      <c r="AW326" s="179" t="str">
        <f>+IF(WEEKDAY(AL328)=1,SUM(AU$253:AU326),"")</f>
        <v/>
      </c>
      <c r="AX326" s="386"/>
    </row>
    <row r="327" spans="37:50" ht="15">
      <c r="AK327" s="797" t="str">
        <f t="shared" si="86"/>
        <v/>
      </c>
      <c r="AL327" s="286">
        <f t="shared" si="91"/>
        <v>43908</v>
      </c>
      <c r="AM327" s="287">
        <f>+IF($AL$310=Mars!$C$4,Mars!D21,Mars!D22)</f>
        <v>0</v>
      </c>
      <c r="AN327" s="596" t="str">
        <f t="shared" si="95"/>
        <v/>
      </c>
      <c r="AO327" s="288">
        <f>+IF($AL$310=Mars!$C$4,Mars!W21,Mars!W22)</f>
        <v>0</v>
      </c>
      <c r="AP327" s="287" t="str">
        <f>+IF($AL$310=Mars!$C$4,Mars!X21,Mars!X22)</f>
        <v/>
      </c>
      <c r="AQ327" s="287" t="str">
        <f>+IF($AL$310=Mars!$C$4,Mars!AF21,Mars!AF22)</f>
        <v/>
      </c>
      <c r="AR327" s="288" t="str">
        <f t="shared" si="96"/>
        <v/>
      </c>
      <c r="AS327" s="288" t="str">
        <f>+IF($AL$310=Mars!$C$4,Mars!AE21,Mars!AE22)</f>
        <v/>
      </c>
      <c r="AT327" s="287">
        <f>+IF($AL$310=Mars!$C$4,Mars!J21,Mars!J22)</f>
        <v>0</v>
      </c>
      <c r="AU327" s="279" t="str">
        <f t="shared" si="93"/>
        <v/>
      </c>
      <c r="AV327" s="178" t="str">
        <f t="shared" si="94"/>
        <v/>
      </c>
      <c r="AW327" s="179" t="str">
        <f>+IF(WEEKDAY(AL329)=1,SUM(AU$253:AU327),"")</f>
        <v/>
      </c>
      <c r="AX327" s="386"/>
    </row>
    <row r="328" spans="37:50" ht="15">
      <c r="AK328" s="797" t="str">
        <f t="shared" si="86"/>
        <v/>
      </c>
      <c r="AL328" s="286">
        <f t="shared" si="91"/>
        <v>43909</v>
      </c>
      <c r="AM328" s="287">
        <f>+IF($AL$310=Mars!$C$4,Mars!D22,Mars!D23)</f>
        <v>0</v>
      </c>
      <c r="AN328" s="596" t="str">
        <f t="shared" si="95"/>
        <v/>
      </c>
      <c r="AO328" s="288">
        <f>+IF($AL$310=Mars!$C$4,Mars!W22,Mars!W23)</f>
        <v>0</v>
      </c>
      <c r="AP328" s="287" t="str">
        <f>+IF($AL$310=Mars!$C$4,Mars!X22,Mars!X23)</f>
        <v/>
      </c>
      <c r="AQ328" s="287" t="str">
        <f>+IF($AL$310=Mars!$C$4,Mars!AF22,Mars!AF23)</f>
        <v/>
      </c>
      <c r="AR328" s="288" t="str">
        <f t="shared" si="96"/>
        <v/>
      </c>
      <c r="AS328" s="288" t="str">
        <f>+IF($AL$310=Mars!$C$4,Mars!AE22,Mars!AE23)</f>
        <v/>
      </c>
      <c r="AT328" s="287">
        <f>+IF($AL$310=Mars!$C$4,Mars!J22,Mars!J23)</f>
        <v>0</v>
      </c>
      <c r="AU328" s="279" t="str">
        <f t="shared" si="93"/>
        <v/>
      </c>
      <c r="AV328" s="178" t="str">
        <f t="shared" si="94"/>
        <v/>
      </c>
      <c r="AW328" s="179" t="str">
        <f>+IF(WEEKDAY(AL330)=1,SUM(AU$253:AU328),"")</f>
        <v/>
      </c>
      <c r="AX328" s="386"/>
    </row>
    <row r="329" spans="37:50" ht="15">
      <c r="AK329" s="797" t="str">
        <f t="shared" si="86"/>
        <v/>
      </c>
      <c r="AL329" s="286">
        <f t="shared" si="91"/>
        <v>43910</v>
      </c>
      <c r="AM329" s="287">
        <f>+IF($AL$310=Mars!$C$4,Mars!D23,Mars!D24)</f>
        <v>0</v>
      </c>
      <c r="AN329" s="596" t="str">
        <f t="shared" si="95"/>
        <v/>
      </c>
      <c r="AO329" s="288">
        <f>+IF($AL$310=Mars!$C$4,Mars!W23,Mars!W24)</f>
        <v>0</v>
      </c>
      <c r="AP329" s="287" t="str">
        <f>+IF($AL$310=Mars!$C$4,Mars!X23,Mars!X24)</f>
        <v/>
      </c>
      <c r="AQ329" s="287" t="str">
        <f>+IF($AL$310=Mars!$C$4,Mars!AF23,Mars!AF24)</f>
        <v/>
      </c>
      <c r="AR329" s="288" t="str">
        <f t="shared" si="96"/>
        <v/>
      </c>
      <c r="AS329" s="288" t="str">
        <f>+IF($AL$310=Mars!$C$4,Mars!AE23,Mars!AE24)</f>
        <v/>
      </c>
      <c r="AT329" s="287">
        <f>+IF($AL$310=Mars!$C$4,Mars!J23,Mars!J24)</f>
        <v>0</v>
      </c>
      <c r="AU329" s="279">
        <f t="shared" si="93"/>
        <v>0</v>
      </c>
      <c r="AV329" s="178">
        <f t="shared" si="94"/>
        <v>0</v>
      </c>
      <c r="AW329" s="179">
        <f>+IF(WEEKDAY(AL331)=1,SUM(AU$253:AU329),"")</f>
        <v>290.13333333333327</v>
      </c>
      <c r="AX329" s="386"/>
    </row>
    <row r="330" spans="37:50" ht="15">
      <c r="AK330" s="797" t="str">
        <f t="shared" si="86"/>
        <v/>
      </c>
      <c r="AL330" s="286">
        <f t="shared" si="91"/>
        <v>43911</v>
      </c>
      <c r="AM330" s="287">
        <f>+IF($AL$310=Mars!$C$4,Mars!D24,Mars!D25)</f>
        <v>0</v>
      </c>
      <c r="AN330" s="596" t="str">
        <f t="shared" si="95"/>
        <v/>
      </c>
      <c r="AO330" s="288" t="str">
        <f>+IF($AL$310=Mars!$C$4,Mars!W24,Mars!W25)</f>
        <v/>
      </c>
      <c r="AP330" s="287" t="str">
        <f>+IF($AL$310=Mars!$C$4,Mars!X24,Mars!X25)</f>
        <v/>
      </c>
      <c r="AQ330" s="287" t="str">
        <f>+IF($AL$310=Mars!$C$4,Mars!AF24,Mars!AF25)</f>
        <v/>
      </c>
      <c r="AR330" s="288" t="str">
        <f t="shared" si="96"/>
        <v/>
      </c>
      <c r="AS330" s="288" t="str">
        <f>+IF($AL$310=Mars!$C$4,Mars!AE24,Mars!AE25)</f>
        <v/>
      </c>
      <c r="AT330" s="287">
        <f>+IF($AL$310=Mars!$C$4,Mars!J24,Mars!J25)</f>
        <v>0</v>
      </c>
      <c r="AU330" s="279" t="str">
        <f t="shared" si="93"/>
        <v/>
      </c>
      <c r="AV330" s="178" t="str">
        <f t="shared" si="94"/>
        <v/>
      </c>
      <c r="AW330" s="179" t="str">
        <f>+IF(WEEKDAY(AL332)=1,SUM(AU$253:AU330),"")</f>
        <v/>
      </c>
      <c r="AX330" s="386"/>
    </row>
    <row r="331" spans="37:50" ht="15">
      <c r="AK331" s="797" t="str">
        <f t="shared" si="86"/>
        <v/>
      </c>
      <c r="AL331" s="286">
        <f t="shared" si="91"/>
        <v>43912</v>
      </c>
      <c r="AM331" s="287" t="str">
        <f>+IF($AL$310=Mars!$C$4,Mars!D25,Mars!D26)</f>
        <v>N</v>
      </c>
      <c r="AN331" s="596">
        <f t="shared" si="95"/>
        <v>1</v>
      </c>
      <c r="AO331" s="288">
        <f>+IF($AL$310=Mars!$C$4,Mars!W25,Mars!W26)</f>
        <v>7.666666666666667</v>
      </c>
      <c r="AP331" s="287" t="str">
        <f>+IF($AL$310=Mars!$C$4,Mars!X25,Mars!X26)</f>
        <v/>
      </c>
      <c r="AQ331" s="287" t="str">
        <f>+IF($AL$310=Mars!$C$4,Mars!AF25,Mars!AF26)</f>
        <v/>
      </c>
      <c r="AR331" s="288" t="str">
        <f t="shared" si="96"/>
        <v/>
      </c>
      <c r="AS331" s="288" t="str">
        <f>+IF($AL$310=Mars!$C$4,Mars!AE25,Mars!AE26)</f>
        <v/>
      </c>
      <c r="AT331" s="287">
        <f>+IF($AL$310=Mars!$C$4,Mars!J25,Mars!J26)</f>
        <v>0</v>
      </c>
      <c r="AU331" s="279" t="str">
        <f t="shared" si="93"/>
        <v/>
      </c>
      <c r="AV331" s="178" t="str">
        <f t="shared" si="94"/>
        <v/>
      </c>
      <c r="AW331" s="179" t="str">
        <f>+IF(WEEKDAY(AL333)=1,SUM(AU$253:AU331),"")</f>
        <v/>
      </c>
      <c r="AX331" s="386"/>
    </row>
    <row r="332" spans="37:50" ht="15">
      <c r="AK332" s="797">
        <f t="shared" si="86"/>
        <v>12</v>
      </c>
      <c r="AL332" s="286">
        <f t="shared" si="91"/>
        <v>43913</v>
      </c>
      <c r="AM332" s="287" t="str">
        <f>+IF($AL$310=Mars!$C$4,Mars!D26,Mars!D27)</f>
        <v>N</v>
      </c>
      <c r="AN332" s="596">
        <f t="shared" si="95"/>
        <v>1</v>
      </c>
      <c r="AO332" s="288">
        <f>+IF($AL$310=Mars!$C$4,Mars!W26,Mars!W27)</f>
        <v>7.7499999999999991</v>
      </c>
      <c r="AP332" s="287" t="str">
        <f>+IF($AL$310=Mars!$C$4,Mars!X26,Mars!X27)</f>
        <v/>
      </c>
      <c r="AQ332" s="287" t="str">
        <f>+IF($AL$310=Mars!$C$4,Mars!AF26,Mars!AF27)</f>
        <v/>
      </c>
      <c r="AR332" s="288" t="str">
        <f t="shared" si="96"/>
        <v/>
      </c>
      <c r="AS332" s="288" t="str">
        <f>+IF($AL$310=Mars!$C$4,Mars!AE26,Mars!AE27)</f>
        <v/>
      </c>
      <c r="AT332" s="287">
        <f>+IF($AL$310=Mars!$C$4,Mars!J26,Mars!J27)</f>
        <v>0</v>
      </c>
      <c r="AU332" s="279" t="str">
        <f t="shared" si="93"/>
        <v/>
      </c>
      <c r="AV332" s="178" t="str">
        <f t="shared" si="94"/>
        <v/>
      </c>
      <c r="AW332" s="179" t="str">
        <f>+IF(WEEKDAY(AL334)=1,SUM(AU$253:AU332),"")</f>
        <v/>
      </c>
      <c r="AX332" s="386"/>
    </row>
    <row r="333" spans="37:50" ht="15">
      <c r="AK333" s="797" t="str">
        <f t="shared" si="86"/>
        <v/>
      </c>
      <c r="AL333" s="286">
        <f t="shared" si="91"/>
        <v>43914</v>
      </c>
      <c r="AM333" s="287" t="str">
        <f>+IF($AL$310=Mars!$C$4,Mars!D27,Mars!D28)</f>
        <v>N</v>
      </c>
      <c r="AN333" s="596">
        <f t="shared" si="95"/>
        <v>1</v>
      </c>
      <c r="AO333" s="288">
        <f>+IF($AL$310=Mars!$C$4,Mars!W27,Mars!W28)</f>
        <v>7.7499999999999991</v>
      </c>
      <c r="AP333" s="287" t="str">
        <f>+IF($AL$310=Mars!$C$4,Mars!X27,Mars!X28)</f>
        <v/>
      </c>
      <c r="AQ333" s="287" t="str">
        <f>+IF($AL$310=Mars!$C$4,Mars!AF27,Mars!AF28)</f>
        <v/>
      </c>
      <c r="AR333" s="288" t="str">
        <f t="shared" si="96"/>
        <v/>
      </c>
      <c r="AS333" s="288" t="str">
        <f>+IF($AL$310=Mars!$C$4,Mars!AE27,Mars!AE28)</f>
        <v/>
      </c>
      <c r="AT333" s="287">
        <f>+IF($AL$310=Mars!$C$4,Mars!J27,Mars!J28)</f>
        <v>0</v>
      </c>
      <c r="AU333" s="279" t="str">
        <f t="shared" si="93"/>
        <v/>
      </c>
      <c r="AV333" s="178" t="str">
        <f t="shared" si="94"/>
        <v/>
      </c>
      <c r="AW333" s="179" t="str">
        <f>+IF(WEEKDAY(AL335)=1,SUM(AU$253:AU333),"")</f>
        <v/>
      </c>
      <c r="AX333" s="386"/>
    </row>
    <row r="334" spans="37:50" ht="15">
      <c r="AK334" s="797" t="str">
        <f t="shared" si="86"/>
        <v/>
      </c>
      <c r="AL334" s="286">
        <f t="shared" si="91"/>
        <v>43915</v>
      </c>
      <c r="AM334" s="287" t="str">
        <f>+IF($AL$310=Mars!$C$4,Mars!D28,Mars!D29)</f>
        <v>N</v>
      </c>
      <c r="AN334" s="596">
        <f t="shared" si="95"/>
        <v>1</v>
      </c>
      <c r="AO334" s="288">
        <f>+IF($AL$310=Mars!$C$4,Mars!W28,Mars!W29)</f>
        <v>7.7499999999999991</v>
      </c>
      <c r="AP334" s="287" t="str">
        <f>+IF($AL$310=Mars!$C$4,Mars!X28,Mars!X29)</f>
        <v/>
      </c>
      <c r="AQ334" s="287" t="str">
        <f>+IF($AL$310=Mars!$C$4,Mars!AF28,Mars!AF29)</f>
        <v/>
      </c>
      <c r="AR334" s="288" t="str">
        <f t="shared" si="96"/>
        <v/>
      </c>
      <c r="AS334" s="288" t="str">
        <f>+IF($AL$310=Mars!$C$4,Mars!AE28,Mars!AE29)</f>
        <v/>
      </c>
      <c r="AT334" s="287">
        <f>+IF($AL$310=Mars!$C$4,Mars!J28,Mars!J29)</f>
        <v>0</v>
      </c>
      <c r="AU334" s="279" t="str">
        <f t="shared" si="93"/>
        <v/>
      </c>
      <c r="AV334" s="178" t="str">
        <f t="shared" si="94"/>
        <v/>
      </c>
      <c r="AW334" s="179" t="str">
        <f>+IF(WEEKDAY(AL336)=1,SUM(AU$253:AU334),"")</f>
        <v/>
      </c>
      <c r="AX334" s="386"/>
    </row>
    <row r="335" spans="37:50" ht="15">
      <c r="AK335" s="797" t="str">
        <f t="shared" si="86"/>
        <v/>
      </c>
      <c r="AL335" s="286">
        <f t="shared" si="91"/>
        <v>43916</v>
      </c>
      <c r="AM335" s="287" t="str">
        <f>+IF($AL$310=Mars!$C$4,Mars!D29,Mars!D30)</f>
        <v>N</v>
      </c>
      <c r="AN335" s="596">
        <f t="shared" si="95"/>
        <v>1</v>
      </c>
      <c r="AO335" s="288">
        <f>+IF($AL$310=Mars!$C$4,Mars!W29,Mars!W30)</f>
        <v>7.7499999999999991</v>
      </c>
      <c r="AP335" s="287" t="str">
        <f>+IF($AL$310=Mars!$C$4,Mars!X29,Mars!X30)</f>
        <v/>
      </c>
      <c r="AQ335" s="287" t="str">
        <f>+IF($AL$310=Mars!$C$4,Mars!AF29,Mars!AF30)</f>
        <v/>
      </c>
      <c r="AR335" s="288" t="str">
        <f t="shared" si="96"/>
        <v/>
      </c>
      <c r="AS335" s="288" t="str">
        <f>+IF($AL$310=Mars!$C$4,Mars!AE29,Mars!AE30)</f>
        <v/>
      </c>
      <c r="AT335" s="287">
        <f>+IF($AL$310=Mars!$C$4,Mars!J29,Mars!J30)</f>
        <v>0</v>
      </c>
      <c r="AU335" s="279" t="str">
        <f t="shared" si="93"/>
        <v/>
      </c>
      <c r="AV335" s="178" t="str">
        <f t="shared" si="94"/>
        <v/>
      </c>
      <c r="AW335" s="179" t="str">
        <f>+IF(WEEKDAY(AL337)=1,SUM(AU$253:AU335),"")</f>
        <v/>
      </c>
      <c r="AX335" s="386"/>
    </row>
    <row r="336" spans="37:50" ht="15.75" thickBot="1">
      <c r="AK336" s="797" t="str">
        <f t="shared" si="86"/>
        <v/>
      </c>
      <c r="AL336" s="286">
        <f t="shared" si="91"/>
        <v>43917</v>
      </c>
      <c r="AM336" s="287">
        <f>+IF($AL$310=Mars!$C$4,Mars!D30,Mars!D31)</f>
        <v>0</v>
      </c>
      <c r="AN336" s="596" t="str">
        <f t="shared" si="95"/>
        <v/>
      </c>
      <c r="AO336" s="288" t="str">
        <f>+IF($AL$310=Mars!$C$4,Mars!W30,Mars!W31)</f>
        <v/>
      </c>
      <c r="AP336" s="287" t="str">
        <f>+IF($AL$310=Mars!$C$4,Mars!X30,Mars!X31)</f>
        <v/>
      </c>
      <c r="AQ336" s="287" t="str">
        <f>+IF($AL$310=Mars!$C$4,Mars!AF30,Mars!AF31)</f>
        <v/>
      </c>
      <c r="AR336" s="288" t="str">
        <f t="shared" si="96"/>
        <v/>
      </c>
      <c r="AS336" s="288" t="str">
        <f>+IF($AL$310=Mars!$C$4,Mars!AE30,Mars!AE31)</f>
        <v/>
      </c>
      <c r="AT336" s="287">
        <f>+IF($AL$310=Mars!$C$4,Mars!J30,Mars!J31)</f>
        <v>0</v>
      </c>
      <c r="AU336" s="279">
        <f t="shared" si="93"/>
        <v>38.666666666666664</v>
      </c>
      <c r="AV336" s="178">
        <f t="shared" si="94"/>
        <v>0</v>
      </c>
      <c r="AW336" s="179">
        <f>+IF(WEEKDAY(AL338)=1,SUM(AU$253:AU336),"")</f>
        <v>328.79999999999995</v>
      </c>
      <c r="AX336" s="386"/>
    </row>
    <row r="337" spans="37:56" ht="15.75" thickBot="1">
      <c r="AK337" s="797" t="str">
        <f t="shared" si="86"/>
        <v/>
      </c>
      <c r="AL337" s="286">
        <f t="shared" si="91"/>
        <v>43918</v>
      </c>
      <c r="AM337" s="287">
        <f>+IF($AL$310=Mars!$C$4,Mars!D31,Mars!D32)</f>
        <v>0</v>
      </c>
      <c r="AN337" s="596" t="str">
        <f t="shared" si="95"/>
        <v/>
      </c>
      <c r="AO337" s="288" t="str">
        <f>+IF($AL$310=Mars!$C$4,Mars!W31,Mars!W32)</f>
        <v/>
      </c>
      <c r="AP337" s="287" t="str">
        <f>+IF($AL$310=Mars!$C$4,Mars!X31,Mars!X32)</f>
        <v/>
      </c>
      <c r="AQ337" s="287" t="str">
        <f>+IF($AL$310=Mars!$C$4,Mars!AF31,Mars!AF32)</f>
        <v/>
      </c>
      <c r="AR337" s="288" t="str">
        <f t="shared" si="96"/>
        <v/>
      </c>
      <c r="AS337" s="288" t="str">
        <f>+IF($AL$310=Mars!$C$4,Mars!AE31,Mars!AE32)</f>
        <v/>
      </c>
      <c r="AT337" s="287">
        <f>+IF($AL$310=Mars!$C$4,Mars!J31,Mars!J32)</f>
        <v>0</v>
      </c>
      <c r="AU337" s="279" t="str">
        <f t="shared" si="93"/>
        <v/>
      </c>
      <c r="AV337" s="178" t="str">
        <f t="shared" si="94"/>
        <v/>
      </c>
      <c r="AW337" s="179" t="str">
        <f>+IF(WEEKDAY(AL339)=1,SUM(AU$253:AU337),"")</f>
        <v/>
      </c>
      <c r="AX337" s="223">
        <f>+IF(WEEKDAY($AL$24)=1,SUM(AN304:AN331),IF(WEEKDAY($AL$25)=1,SUM(AN305:AN332),IF(WEEKDAY($AL$26)=1,SUM(AN306:AN333),IF(WEEKDAY($AL$27)=1,SUM(AN307:AN334),IF(WEEKDAY($AL$28)=1,SUM(AN308:AN335),IF(WEEKDAY($AL$29)=1,SUM(AN309:AN336),IF(WEEKDAY($AL$30)=1,SUM(AN310:AN337),"")))))))</f>
        <v>9</v>
      </c>
      <c r="AY337" s="223">
        <f t="shared" ref="AY337:BD337" si="97">+IF(WEEKDAY($AL$24)=1,SUM(AO304:AO331),IF(WEEKDAY($AL$25)=1,SUM(AO305:AO332),IF(WEEKDAY($AL$26)=1,SUM(AO306:AO333),IF(WEEKDAY($AL$27)=1,SUM(AO307:AO334),IF(WEEKDAY($AL$28)=1,SUM(AO308:AO335),IF(WEEKDAY($AL$29)=1,SUM(AO309:AO336),IF(WEEKDAY($AL$30)=1,SUM(AO310:AO337),"")))))))</f>
        <v>69.666666666666657</v>
      </c>
      <c r="AZ337" s="223">
        <f t="shared" si="97"/>
        <v>0</v>
      </c>
      <c r="BA337" s="223">
        <f t="shared" si="97"/>
        <v>0</v>
      </c>
      <c r="BB337" s="223">
        <f t="shared" si="97"/>
        <v>0</v>
      </c>
      <c r="BC337" s="223">
        <f t="shared" si="97"/>
        <v>0</v>
      </c>
      <c r="BD337" s="223">
        <f t="shared" si="97"/>
        <v>0</v>
      </c>
    </row>
    <row r="338" spans="37:56" ht="15.75" thickBot="1">
      <c r="AK338" s="797" t="str">
        <f t="shared" si="86"/>
        <v/>
      </c>
      <c r="AL338" s="286">
        <f t="shared" si="91"/>
        <v>43919</v>
      </c>
      <c r="AM338" s="287">
        <f>+IF($AL$310=Mars!$C$4,Mars!D32,Mars!D33)</f>
        <v>0</v>
      </c>
      <c r="AN338" s="596" t="str">
        <f t="shared" si="95"/>
        <v/>
      </c>
      <c r="AO338" s="288" t="str">
        <f>+IF($AL$310=Mars!$C$4,Mars!W32,Mars!W33)</f>
        <v/>
      </c>
      <c r="AP338" s="287" t="str">
        <f>+IF($AL$310=Mars!$C$4,Mars!X32,Mars!X33)</f>
        <v/>
      </c>
      <c r="AQ338" s="287" t="str">
        <f>+IF($AL$310=Mars!$C$4,Mars!AF32,Mars!AF33)</f>
        <v/>
      </c>
      <c r="AR338" s="288" t="str">
        <f t="shared" si="96"/>
        <v/>
      </c>
      <c r="AS338" s="288" t="str">
        <f>+IF($AL$310=Mars!$C$4,Mars!AE32,Mars!AE33)</f>
        <v/>
      </c>
      <c r="AT338" s="287">
        <f>+IF($AL$310=Mars!$C$4,Mars!J32,Mars!J33)</f>
        <v>0</v>
      </c>
      <c r="AU338" s="279" t="str">
        <f t="shared" si="93"/>
        <v/>
      </c>
      <c r="AV338" s="178" t="str">
        <f t="shared" si="94"/>
        <v/>
      </c>
      <c r="AW338" s="179" t="str">
        <f>+IF(WEEKDAY(AL340)=1,SUM(AU$253:AU338),"")</f>
        <v/>
      </c>
      <c r="AX338" s="386"/>
    </row>
    <row r="339" spans="37:56" ht="16.5" thickTop="1" thickBot="1">
      <c r="AK339" s="797" t="str">
        <f t="shared" si="86"/>
        <v/>
      </c>
      <c r="AL339" s="290">
        <f t="shared" ref="AL339:AL356" si="98">+AL338+1</f>
        <v>43920</v>
      </c>
      <c r="AM339" s="287">
        <f>+IF($AL$310=Mars!$C$4,Mars!D33,Mars!D34)</f>
        <v>0</v>
      </c>
      <c r="AN339" s="596" t="str">
        <f t="shared" si="95"/>
        <v/>
      </c>
      <c r="AO339" s="288" t="str">
        <f>+IF($AL$310=Mars!$C$4,Mars!W33,Mars!W34)</f>
        <v/>
      </c>
      <c r="AP339" s="287" t="str">
        <f>+IF($AL$310=Mars!$C$4,Mars!X33,Mars!X34)</f>
        <v/>
      </c>
      <c r="AQ339" s="287" t="str">
        <f>+IF($AL$310=Mars!$C$4,Mars!AF33,Mars!AF34)</f>
        <v/>
      </c>
      <c r="AR339" s="288" t="str">
        <f t="shared" si="96"/>
        <v/>
      </c>
      <c r="AS339" s="288" t="str">
        <f>+IF($AL$310=Mars!$C$4,Mars!AE33,Mars!AE34)</f>
        <v/>
      </c>
      <c r="AT339" s="287">
        <f>+IF($AL$310=Mars!$C$4,Mars!J33,Mars!J34)</f>
        <v>0</v>
      </c>
      <c r="AU339" s="279" t="str">
        <f t="shared" si="93"/>
        <v/>
      </c>
      <c r="AV339" s="178" t="str">
        <f t="shared" si="94"/>
        <v/>
      </c>
      <c r="AW339" s="179" t="str">
        <f>+IF(WEEKDAY(AL341)=1,SUM(AU$253:AU339),"")</f>
        <v/>
      </c>
      <c r="AX339" s="386"/>
      <c r="AZ339" s="936" t="str">
        <f>+IF(WEEKDAY(AL$26)=1,"Fin cycle 11",IF(WEEKDAY(AL$27)=1,"Fin cycle 11",IF(WEEKDAY(AL$28)=1,"Fin cycle 11",IF(WEEKDAY(AL$29)=1,"Fin cycle 11",IF(WEEKDAY(AL$30)=1,"Fin cycle 11",IF(WEEKDAY(AL$31)=1,"Fin cycle 11",IF(WEEKDAY(AL$32)=1,"Fin cycle 11","")))))))</f>
        <v>Fin cycle 11</v>
      </c>
      <c r="BA339" s="937"/>
      <c r="BB339" s="275">
        <f>SUM(AY337:AZ337)</f>
        <v>69.666666666666657</v>
      </c>
      <c r="BC339" s="590"/>
    </row>
    <row r="340" spans="37:56" ht="15">
      <c r="AK340" s="797" t="str">
        <f t="shared" si="86"/>
        <v/>
      </c>
      <c r="AL340" s="286">
        <f t="shared" si="98"/>
        <v>43921</v>
      </c>
      <c r="AM340" s="287">
        <f>+IF($AL$310=Mars!$C$4,Avril!D5,Avril!D4)</f>
        <v>0</v>
      </c>
      <c r="AN340" s="287" t="str">
        <f t="shared" si="87"/>
        <v/>
      </c>
      <c r="AO340" s="288" t="str">
        <f>+IF($AL$310=Mars!$C$4,Avril!W5,Avril!W4)</f>
        <v/>
      </c>
      <c r="AP340" s="287" t="str">
        <f>+IF($AL$310=Mars!$C$4,Avril!X5,Avril!X4)</f>
        <v/>
      </c>
      <c r="AQ340" s="287" t="str">
        <f>+IF($AL$310=Mars!$C$4,Avril!AF5,Avril!AF4)</f>
        <v/>
      </c>
      <c r="AR340" s="288" t="str">
        <f t="shared" si="88"/>
        <v/>
      </c>
      <c r="AS340" s="288" t="str">
        <f>+IF($AL$310=Mars!$C$4,Avril!AE5,Avril!AE4)</f>
        <v/>
      </c>
      <c r="AT340" s="287">
        <f>+IF($AL$310=Mars!$C$4,Avril!J5,Avril!J4)</f>
        <v>0</v>
      </c>
      <c r="AU340" s="279" t="str">
        <f t="shared" ref="AU340:AU371" si="99">+IF(WEEKDAY(AL342)=1,SUM(AO334:AP340),"")</f>
        <v/>
      </c>
      <c r="AV340" s="178" t="str">
        <f t="shared" ref="AV340:AV371" si="100">+IF(WEEKDAY(AL342)=1,SUM(AP334:AP340),"")</f>
        <v/>
      </c>
      <c r="AW340" s="179" t="str">
        <f>+IF(WEEKDAY(AL342)=1,SUM(AU$253:AU340),"")</f>
        <v/>
      </c>
      <c r="AX340" s="386"/>
    </row>
    <row r="341" spans="37:56" ht="15">
      <c r="AK341" s="797" t="str">
        <f t="shared" si="86"/>
        <v/>
      </c>
      <c r="AL341" s="286">
        <f t="shared" si="98"/>
        <v>43922</v>
      </c>
      <c r="AM341" s="287">
        <f>+IF($AL$310=Mars!$C$4,Avril!D4,Avril!D5)</f>
        <v>0</v>
      </c>
      <c r="AN341" s="287" t="str">
        <f t="shared" si="87"/>
        <v/>
      </c>
      <c r="AO341" s="288" t="str">
        <f>+IF($AL$310=Mars!$C$4,Avril!W4,Avril!W5)</f>
        <v/>
      </c>
      <c r="AP341" s="287" t="str">
        <f>+IF($AL$310=Mars!$C$4,Avril!X4,Avril!X5)</f>
        <v/>
      </c>
      <c r="AQ341" s="287" t="str">
        <f>+IF($AL$310=Mars!$C$4,Avril!AF4,Avril!AF5)</f>
        <v/>
      </c>
      <c r="AR341" s="288" t="str">
        <f t="shared" si="88"/>
        <v/>
      </c>
      <c r="AS341" s="288" t="str">
        <f>+IF($AL$310=Mars!$C$4,Avril!AE4,Avril!AE5)</f>
        <v/>
      </c>
      <c r="AT341" s="287">
        <f>+IF($AL$310=Mars!$C$4,Avril!J4,Avril!J5)</f>
        <v>0</v>
      </c>
      <c r="AU341" s="279" t="str">
        <f t="shared" si="99"/>
        <v/>
      </c>
      <c r="AV341" s="178" t="str">
        <f t="shared" si="100"/>
        <v/>
      </c>
      <c r="AW341" s="179" t="str">
        <f>+IF(WEEKDAY(AL343)=1,SUM(AU$253:AU341),"")</f>
        <v/>
      </c>
      <c r="AX341" s="386"/>
    </row>
    <row r="342" spans="37:56" ht="15">
      <c r="AK342" s="797" t="str">
        <f t="shared" si="86"/>
        <v/>
      </c>
      <c r="AL342" s="286">
        <f t="shared" si="98"/>
        <v>43923</v>
      </c>
      <c r="AM342" s="287">
        <f>+IF($AL$310=Mars!$C$4,Avril!D5,Avril!D6)</f>
        <v>0</v>
      </c>
      <c r="AN342" s="287" t="str">
        <f t="shared" si="87"/>
        <v/>
      </c>
      <c r="AO342" s="288" t="str">
        <f>+IF($AL$310=Mars!$C$4,Avril!W5,Avril!W6)</f>
        <v/>
      </c>
      <c r="AP342" s="287" t="str">
        <f>+IF($AL$310=Mars!$C$4,Avril!X5,Avril!X6)</f>
        <v/>
      </c>
      <c r="AQ342" s="287" t="str">
        <f>+IF($AL$310=Mars!$C$4,Avril!AF5,Avril!AF6)</f>
        <v/>
      </c>
      <c r="AR342" s="288" t="str">
        <f t="shared" ref="AR342:AR369" si="101">+IF(AS342&lt;&gt;"","",AQ342)</f>
        <v/>
      </c>
      <c r="AS342" s="288" t="str">
        <f>+IF($AL$310=Mars!$C$4,Avril!AE5,Avril!AE6)</f>
        <v/>
      </c>
      <c r="AT342" s="287">
        <f>+IF($AL$310=Mars!$C$4,Avril!J5,Avril!J6)</f>
        <v>0</v>
      </c>
      <c r="AU342" s="279" t="str">
        <f t="shared" si="99"/>
        <v/>
      </c>
      <c r="AV342" s="178" t="str">
        <f t="shared" si="100"/>
        <v/>
      </c>
      <c r="AW342" s="179" t="str">
        <f>+IF(WEEKDAY(AL344)=1,SUM(AU$253:AU342),"")</f>
        <v/>
      </c>
      <c r="AX342" s="386"/>
    </row>
    <row r="343" spans="37:56" ht="15">
      <c r="AK343" s="797" t="str">
        <f t="shared" si="86"/>
        <v/>
      </c>
      <c r="AL343" s="286">
        <f t="shared" si="98"/>
        <v>43924</v>
      </c>
      <c r="AM343" s="287">
        <f>+IF($AL$310=Mars!$C$4,Avril!D6,Avril!D7)</f>
        <v>0</v>
      </c>
      <c r="AN343" s="287" t="str">
        <f t="shared" si="87"/>
        <v/>
      </c>
      <c r="AO343" s="288" t="str">
        <f>+IF($AL$310=Mars!$C$4,Avril!W6,Avril!W7)</f>
        <v/>
      </c>
      <c r="AP343" s="287" t="str">
        <f>+IF($AL$310=Mars!$C$4,Avril!X6,Avril!X7)</f>
        <v/>
      </c>
      <c r="AQ343" s="287" t="str">
        <f>+IF($AL$310=Mars!$C$4,Avril!AF6,Avril!AF7)</f>
        <v/>
      </c>
      <c r="AR343" s="288" t="str">
        <f t="shared" si="101"/>
        <v/>
      </c>
      <c r="AS343" s="288" t="str">
        <f>+IF($AL$310=Mars!$C$4,Avril!AE6,Avril!AE7)</f>
        <v/>
      </c>
      <c r="AT343" s="287">
        <f>+IF($AL$310=Mars!$C$4,Avril!J6,Avril!J7)</f>
        <v>0</v>
      </c>
      <c r="AU343" s="279">
        <f t="shared" si="99"/>
        <v>0</v>
      </c>
      <c r="AV343" s="178">
        <f t="shared" si="100"/>
        <v>0</v>
      </c>
      <c r="AW343" s="179">
        <f>+IF(WEEKDAY(AL345)=1,SUM(AU$253:AU343),"")</f>
        <v>328.79999999999995</v>
      </c>
      <c r="AX343" s="386"/>
    </row>
    <row r="344" spans="37:56" ht="15">
      <c r="AK344" s="797" t="str">
        <f t="shared" si="86"/>
        <v/>
      </c>
      <c r="AL344" s="286">
        <f t="shared" si="98"/>
        <v>43925</v>
      </c>
      <c r="AM344" s="287">
        <f>+IF($AL$310=Mars!$C$4,Avril!D7,Avril!D8)</f>
        <v>0</v>
      </c>
      <c r="AN344" s="287" t="str">
        <f t="shared" ref="AN344:AN371" si="102">+IF(AM344=0,"",IF(AM344="CP","",1))</f>
        <v/>
      </c>
      <c r="AO344" s="288" t="str">
        <f>+IF($AL$310=Mars!$C$4,Avril!W7,Avril!W8)</f>
        <v/>
      </c>
      <c r="AP344" s="287" t="str">
        <f>+IF($AL$310=Mars!$C$4,Avril!X7,Avril!X8)</f>
        <v/>
      </c>
      <c r="AQ344" s="287" t="str">
        <f>+IF($AL$310=Mars!$C$4,Avril!AF7,Avril!AF8)</f>
        <v/>
      </c>
      <c r="AR344" s="288" t="str">
        <f t="shared" si="101"/>
        <v/>
      </c>
      <c r="AS344" s="288" t="str">
        <f>+IF($AL$310=Mars!$C$4,Avril!AE7,Avril!AE8)</f>
        <v/>
      </c>
      <c r="AT344" s="287">
        <f>+IF($AL$310=Mars!$C$4,Avril!J7,Avril!J8)</f>
        <v>0</v>
      </c>
      <c r="AU344" s="279" t="str">
        <f t="shared" si="99"/>
        <v/>
      </c>
      <c r="AV344" s="178" t="str">
        <f t="shared" si="100"/>
        <v/>
      </c>
      <c r="AW344" s="179" t="str">
        <f>+IF(WEEKDAY(AL346)=1,SUM(AU$253:AU344),"")</f>
        <v/>
      </c>
      <c r="AX344" s="386"/>
    </row>
    <row r="345" spans="37:56" ht="15">
      <c r="AK345" s="797" t="str">
        <f t="shared" ref="AK345:AK402" si="103">IF(MOD((AL345-$AF$27)/28,1),"",MOD((AL345-$AF$27)/28,13)+1)</f>
        <v/>
      </c>
      <c r="AL345" s="286">
        <f t="shared" si="98"/>
        <v>43926</v>
      </c>
      <c r="AM345" s="287">
        <f>+IF($AL$310=Mars!$C$4,Avril!D8,Avril!D9)</f>
        <v>0</v>
      </c>
      <c r="AN345" s="287" t="str">
        <f t="shared" si="102"/>
        <v/>
      </c>
      <c r="AO345" s="288" t="str">
        <f>+IF($AL$310=Mars!$C$4,Avril!W8,Avril!W9)</f>
        <v/>
      </c>
      <c r="AP345" s="287" t="str">
        <f>+IF($AL$310=Mars!$C$4,Avril!X8,Avril!X9)</f>
        <v/>
      </c>
      <c r="AQ345" s="287" t="str">
        <f>+IF($AL$310=Mars!$C$4,Avril!AF8,Avril!AF9)</f>
        <v/>
      </c>
      <c r="AR345" s="288" t="str">
        <f t="shared" si="101"/>
        <v/>
      </c>
      <c r="AS345" s="288" t="str">
        <f>+IF($AL$310=Mars!$C$4,Avril!AE8,Avril!AE9)</f>
        <v/>
      </c>
      <c r="AT345" s="287">
        <f>+IF($AL$310=Mars!$C$4,Avril!J8,Avril!J9)</f>
        <v>0</v>
      </c>
      <c r="AU345" s="279" t="str">
        <f t="shared" si="99"/>
        <v/>
      </c>
      <c r="AV345" s="178" t="str">
        <f t="shared" si="100"/>
        <v/>
      </c>
      <c r="AW345" s="179" t="str">
        <f>+IF(WEEKDAY(AL347)=1,SUM(AU$253:AU345),"")</f>
        <v/>
      </c>
      <c r="AX345" s="386"/>
    </row>
    <row r="346" spans="37:56" ht="15">
      <c r="AK346" s="797" t="str">
        <f t="shared" si="103"/>
        <v/>
      </c>
      <c r="AL346" s="286">
        <f t="shared" si="98"/>
        <v>43927</v>
      </c>
      <c r="AM346" s="287">
        <f>+IF($AL$310=Mars!$C$4,Avril!D9,Avril!D10)</f>
        <v>0</v>
      </c>
      <c r="AN346" s="287" t="str">
        <f t="shared" si="102"/>
        <v/>
      </c>
      <c r="AO346" s="288" t="str">
        <f>+IF($AL$310=Mars!$C$4,Avril!W9,Avril!W10)</f>
        <v/>
      </c>
      <c r="AP346" s="287" t="str">
        <f>+IF($AL$310=Mars!$C$4,Avril!X9,Avril!X10)</f>
        <v/>
      </c>
      <c r="AQ346" s="287" t="str">
        <f>+IF($AL$310=Mars!$C$4,Avril!AF9,Avril!AF10)</f>
        <v/>
      </c>
      <c r="AR346" s="288" t="str">
        <f t="shared" si="101"/>
        <v/>
      </c>
      <c r="AS346" s="288" t="str">
        <f>+IF($AL$310=Mars!$C$4,Avril!AE9,Avril!AE10)</f>
        <v/>
      </c>
      <c r="AT346" s="287">
        <f>+IF($AL$310=Mars!$C$4,Avril!J9,Avril!J10)</f>
        <v>0</v>
      </c>
      <c r="AU346" s="279" t="str">
        <f t="shared" si="99"/>
        <v/>
      </c>
      <c r="AV346" s="178" t="str">
        <f t="shared" si="100"/>
        <v/>
      </c>
      <c r="AW346" s="179" t="str">
        <f>+IF(WEEKDAY(AL348)=1,SUM(AU$253:AU346),"")</f>
        <v/>
      </c>
      <c r="AX346" s="386"/>
    </row>
    <row r="347" spans="37:56" ht="15">
      <c r="AK347" s="797" t="str">
        <f t="shared" si="103"/>
        <v/>
      </c>
      <c r="AL347" s="286">
        <f t="shared" si="98"/>
        <v>43928</v>
      </c>
      <c r="AM347" s="287">
        <f>+IF($AL$310=Mars!$C$4,Avril!D10,Avril!D11)</f>
        <v>0</v>
      </c>
      <c r="AN347" s="287" t="str">
        <f t="shared" si="102"/>
        <v/>
      </c>
      <c r="AO347" s="288" t="str">
        <f>+IF($AL$310=Mars!$C$4,Avril!W10,Avril!W11)</f>
        <v/>
      </c>
      <c r="AP347" s="287" t="str">
        <f>+IF($AL$310=Mars!$C$4,Avril!X10,Avril!X11)</f>
        <v/>
      </c>
      <c r="AQ347" s="287" t="str">
        <f>+IF($AL$310=Mars!$C$4,Avril!AF10,Avril!AF11)</f>
        <v/>
      </c>
      <c r="AR347" s="288" t="str">
        <f t="shared" si="101"/>
        <v/>
      </c>
      <c r="AS347" s="288" t="str">
        <f>+IF($AL$310=Mars!$C$4,Avril!AE10,Avril!AE11)</f>
        <v/>
      </c>
      <c r="AT347" s="287">
        <f>+IF($AL$310=Mars!$C$4,Avril!J10,Avril!J11)</f>
        <v>0</v>
      </c>
      <c r="AU347" s="279" t="str">
        <f t="shared" si="99"/>
        <v/>
      </c>
      <c r="AV347" s="178" t="str">
        <f t="shared" si="100"/>
        <v/>
      </c>
      <c r="AW347" s="179" t="str">
        <f>+IF(WEEKDAY(AL349)=1,SUM(AU$253:AU347),"")</f>
        <v/>
      </c>
      <c r="AX347" s="386"/>
    </row>
    <row r="348" spans="37:56" ht="15">
      <c r="AK348" s="797" t="str">
        <f t="shared" si="103"/>
        <v/>
      </c>
      <c r="AL348" s="286">
        <f t="shared" si="98"/>
        <v>43929</v>
      </c>
      <c r="AM348" s="287">
        <f>+IF($AL$310=Mars!$C$4,Avril!D11,Avril!D12)</f>
        <v>0</v>
      </c>
      <c r="AN348" s="287" t="str">
        <f t="shared" si="102"/>
        <v/>
      </c>
      <c r="AO348" s="288" t="str">
        <f>+IF($AL$310=Mars!$C$4,Avril!W11,Avril!W12)</f>
        <v/>
      </c>
      <c r="AP348" s="287" t="str">
        <f>+IF($AL$310=Mars!$C$4,Avril!X11,Avril!X12)</f>
        <v/>
      </c>
      <c r="AQ348" s="287" t="str">
        <f>+IF($AL$310=Mars!$C$4,Avril!AF11,Avril!AF12)</f>
        <v/>
      </c>
      <c r="AR348" s="288" t="str">
        <f t="shared" si="101"/>
        <v/>
      </c>
      <c r="AS348" s="288" t="str">
        <f>+IF($AL$310=Mars!$C$4,Avril!AE11,Avril!AE12)</f>
        <v/>
      </c>
      <c r="AT348" s="287">
        <f>+IF($AL$310=Mars!$C$4,Avril!J11,Avril!J12)</f>
        <v>0</v>
      </c>
      <c r="AU348" s="279" t="str">
        <f t="shared" si="99"/>
        <v/>
      </c>
      <c r="AV348" s="178" t="str">
        <f t="shared" si="100"/>
        <v/>
      </c>
      <c r="AW348" s="179" t="str">
        <f>+IF(WEEKDAY(AL350)=1,SUM(AU$253:AU348),"")</f>
        <v/>
      </c>
      <c r="AX348" s="386"/>
    </row>
    <row r="349" spans="37:56" ht="15">
      <c r="AK349" s="797" t="str">
        <f t="shared" si="103"/>
        <v/>
      </c>
      <c r="AL349" s="286">
        <f t="shared" si="98"/>
        <v>43930</v>
      </c>
      <c r="AM349" s="287">
        <f>+IF($AL$310=Mars!$C$4,Avril!D12,Avril!D13)</f>
        <v>0</v>
      </c>
      <c r="AN349" s="287" t="str">
        <f t="shared" si="102"/>
        <v/>
      </c>
      <c r="AO349" s="288" t="str">
        <f>+IF($AL$310=Mars!$C$4,Avril!W12,Avril!W13)</f>
        <v/>
      </c>
      <c r="AP349" s="287" t="str">
        <f>+IF($AL$310=Mars!$C$4,Avril!X12,Avril!X13)</f>
        <v/>
      </c>
      <c r="AQ349" s="287" t="str">
        <f>+IF($AL$310=Mars!$C$4,Avril!AF12,Avril!AF13)</f>
        <v/>
      </c>
      <c r="AR349" s="288" t="str">
        <f t="shared" si="101"/>
        <v/>
      </c>
      <c r="AS349" s="288" t="str">
        <f>+IF($AL$310=Mars!$C$4,Avril!AE12,Avril!AE13)</f>
        <v/>
      </c>
      <c r="AT349" s="287">
        <f>+IF($AL$310=Mars!$C$4,Avril!J12,Avril!J13)</f>
        <v>0</v>
      </c>
      <c r="AU349" s="279" t="str">
        <f t="shared" si="99"/>
        <v/>
      </c>
      <c r="AV349" s="178" t="str">
        <f t="shared" si="100"/>
        <v/>
      </c>
      <c r="AW349" s="179" t="str">
        <f>+IF(WEEKDAY(AL351)=1,SUM(AU$253:AU349),"")</f>
        <v/>
      </c>
      <c r="AX349" s="386"/>
    </row>
    <row r="350" spans="37:56" ht="15">
      <c r="AK350" s="797" t="str">
        <f t="shared" si="103"/>
        <v/>
      </c>
      <c r="AL350" s="286">
        <f t="shared" si="98"/>
        <v>43931</v>
      </c>
      <c r="AM350" s="287">
        <f>+IF($AL$310=Mars!$C$4,Avril!D13,Avril!D14)</f>
        <v>0</v>
      </c>
      <c r="AN350" s="287" t="str">
        <f t="shared" si="102"/>
        <v/>
      </c>
      <c r="AO350" s="288" t="str">
        <f>+IF($AL$310=Mars!$C$4,Avril!W13,Avril!W14)</f>
        <v/>
      </c>
      <c r="AP350" s="287" t="str">
        <f>+IF($AL$310=Mars!$C$4,Avril!X13,Avril!X14)</f>
        <v/>
      </c>
      <c r="AQ350" s="287" t="str">
        <f>+IF($AL$310=Mars!$C$4,Avril!AF13,Avril!AF14)</f>
        <v/>
      </c>
      <c r="AR350" s="288" t="str">
        <f t="shared" si="101"/>
        <v/>
      </c>
      <c r="AS350" s="288" t="str">
        <f>+IF($AL$310=Mars!$C$4,Avril!AE13,Avril!AE14)</f>
        <v/>
      </c>
      <c r="AT350" s="287">
        <f>+IF($AL$310=Mars!$C$4,Avril!J13,Avril!J14)</f>
        <v>0</v>
      </c>
      <c r="AU350" s="279">
        <f t="shared" si="99"/>
        <v>0</v>
      </c>
      <c r="AV350" s="178">
        <f t="shared" si="100"/>
        <v>0</v>
      </c>
      <c r="AW350" s="179">
        <f>+IF(WEEKDAY(AL352)=1,SUM(AU$253:AU350),"")</f>
        <v>328.79999999999995</v>
      </c>
      <c r="AX350" s="386"/>
    </row>
    <row r="351" spans="37:56" ht="15">
      <c r="AK351" s="797" t="str">
        <f t="shared" si="103"/>
        <v/>
      </c>
      <c r="AL351" s="286">
        <f t="shared" si="98"/>
        <v>43932</v>
      </c>
      <c r="AM351" s="287">
        <f>+IF($AL$310=Mars!$C$4,Avril!D14,Avril!D15)</f>
        <v>0</v>
      </c>
      <c r="AN351" s="287" t="str">
        <f t="shared" si="102"/>
        <v/>
      </c>
      <c r="AO351" s="288" t="str">
        <f>+IF($AL$310=Mars!$C$4,Avril!W14,Avril!W15)</f>
        <v/>
      </c>
      <c r="AP351" s="287" t="str">
        <f>+IF($AL$310=Mars!$C$4,Avril!X14,Avril!X15)</f>
        <v/>
      </c>
      <c r="AQ351" s="287" t="str">
        <f>+IF($AL$310=Mars!$C$4,Avril!AF14,Avril!AF15)</f>
        <v/>
      </c>
      <c r="AR351" s="288" t="str">
        <f t="shared" si="101"/>
        <v/>
      </c>
      <c r="AS351" s="288" t="str">
        <f>+IF($AL$310=Mars!$C$4,Avril!AE14,Avril!AE15)</f>
        <v/>
      </c>
      <c r="AT351" s="287">
        <f>+IF($AL$310=Mars!$C$4,Avril!J14,Avril!J15)</f>
        <v>0</v>
      </c>
      <c r="AU351" s="279" t="str">
        <f t="shared" si="99"/>
        <v/>
      </c>
      <c r="AV351" s="178" t="str">
        <f t="shared" si="100"/>
        <v/>
      </c>
      <c r="AW351" s="179" t="str">
        <f>+IF(WEEKDAY(AL353)=1,SUM(AU$253:AU351),"")</f>
        <v/>
      </c>
      <c r="AX351" s="386"/>
    </row>
    <row r="352" spans="37:56" ht="15">
      <c r="AK352" s="797" t="str">
        <f t="shared" si="103"/>
        <v/>
      </c>
      <c r="AL352" s="286">
        <f t="shared" si="98"/>
        <v>43933</v>
      </c>
      <c r="AM352" s="287">
        <f>+IF($AL$310=Mars!$C$4,Avril!D15,Avril!D16)</f>
        <v>0</v>
      </c>
      <c r="AN352" s="287" t="str">
        <f t="shared" si="102"/>
        <v/>
      </c>
      <c r="AO352" s="288" t="str">
        <f>+IF($AL$310=Mars!$C$4,Avril!W15,Avril!W16)</f>
        <v/>
      </c>
      <c r="AP352" s="287" t="str">
        <f>+IF($AL$310=Mars!$C$4,Avril!X15,Avril!X16)</f>
        <v/>
      </c>
      <c r="AQ352" s="287" t="str">
        <f>+IF($AL$310=Mars!$C$4,Avril!AF15,Avril!AF16)</f>
        <v/>
      </c>
      <c r="AR352" s="288" t="str">
        <f t="shared" si="101"/>
        <v/>
      </c>
      <c r="AS352" s="288" t="str">
        <f>+IF($AL$310=Mars!$C$4,Avril!AE15,Avril!AE16)</f>
        <v/>
      </c>
      <c r="AT352" s="287">
        <f>+IF($AL$310=Mars!$C$4,Avril!J15,Avril!J16)</f>
        <v>0</v>
      </c>
      <c r="AU352" s="279" t="str">
        <f t="shared" si="99"/>
        <v/>
      </c>
      <c r="AV352" s="178" t="str">
        <f t="shared" si="100"/>
        <v/>
      </c>
      <c r="AW352" s="179" t="str">
        <f>+IF(WEEKDAY(AL354)=1,SUM(AU$253:AU352),"")</f>
        <v/>
      </c>
      <c r="AX352" s="386"/>
    </row>
    <row r="353" spans="37:56" ht="15">
      <c r="AK353" s="797" t="str">
        <f t="shared" si="103"/>
        <v/>
      </c>
      <c r="AL353" s="286">
        <f t="shared" si="98"/>
        <v>43934</v>
      </c>
      <c r="AM353" s="287">
        <f>+IF($AL$310=Mars!$C$4,Avril!D16,Avril!D17)</f>
        <v>0</v>
      </c>
      <c r="AN353" s="287" t="str">
        <f t="shared" si="102"/>
        <v/>
      </c>
      <c r="AO353" s="288" t="str">
        <f>+IF($AL$310=Mars!$C$4,Avril!W16,Avril!W17)</f>
        <v/>
      </c>
      <c r="AP353" s="287" t="str">
        <f>+IF($AL$310=Mars!$C$4,Avril!X16,Avril!X17)</f>
        <v/>
      </c>
      <c r="AQ353" s="287">
        <f>+IF($AL$310=Mars!$C$4,Avril!AF16,Avril!AF17)</f>
        <v>6.9</v>
      </c>
      <c r="AR353" s="288">
        <f t="shared" si="101"/>
        <v>6.9</v>
      </c>
      <c r="AS353" s="288" t="str">
        <f>+IF($AL$310=Mars!$C$4,Avril!AE16,Avril!AE17)</f>
        <v/>
      </c>
      <c r="AT353" s="287">
        <f>+IF($AL$310=Mars!$C$4,Avril!J16,Avril!J17)</f>
        <v>0</v>
      </c>
      <c r="AU353" s="279" t="str">
        <f t="shared" si="99"/>
        <v/>
      </c>
      <c r="AV353" s="178" t="str">
        <f t="shared" si="100"/>
        <v/>
      </c>
      <c r="AW353" s="179" t="str">
        <f>+IF(WEEKDAY(AL355)=1,SUM(AU$253:AU353),"")</f>
        <v/>
      </c>
      <c r="AX353" s="386"/>
    </row>
    <row r="354" spans="37:56" ht="15">
      <c r="AK354" s="797" t="str">
        <f t="shared" si="103"/>
        <v/>
      </c>
      <c r="AL354" s="286">
        <f t="shared" si="98"/>
        <v>43935</v>
      </c>
      <c r="AM354" s="287" t="str">
        <f>+IF($AL$310=Mars!$C$4,Avril!D17,Avril!D18)</f>
        <v>CP</v>
      </c>
      <c r="AN354" s="287" t="str">
        <f t="shared" si="102"/>
        <v/>
      </c>
      <c r="AO354" s="288" t="str">
        <f>+IF($AL$310=Mars!$C$4,Avril!W17,Avril!W18)</f>
        <v/>
      </c>
      <c r="AP354" s="287">
        <f>+IF($AL$310=Mars!$C$4,Avril!X17,Avril!X18)</f>
        <v>6.9</v>
      </c>
      <c r="AQ354" s="287" t="str">
        <f>+IF($AL$310=Mars!$C$4,Avril!AF17,Avril!AF18)</f>
        <v/>
      </c>
      <c r="AR354" s="288" t="str">
        <f t="shared" si="101"/>
        <v/>
      </c>
      <c r="AS354" s="288" t="str">
        <f>+IF($AL$310=Mars!$C$4,Avril!AE17,Avril!AE18)</f>
        <v/>
      </c>
      <c r="AT354" s="287">
        <f>+IF($AL$310=Mars!$C$4,Avril!J17,Avril!J18)</f>
        <v>0</v>
      </c>
      <c r="AU354" s="279" t="str">
        <f t="shared" si="99"/>
        <v/>
      </c>
      <c r="AV354" s="178" t="str">
        <f t="shared" si="100"/>
        <v/>
      </c>
      <c r="AW354" s="179" t="str">
        <f>+IF(WEEKDAY(AL356)=1,SUM(AU$253:AU354),"")</f>
        <v/>
      </c>
      <c r="AX354" s="386"/>
    </row>
    <row r="355" spans="37:56" ht="15">
      <c r="AK355" s="797" t="str">
        <f t="shared" si="103"/>
        <v/>
      </c>
      <c r="AL355" s="286">
        <f t="shared" si="98"/>
        <v>43936</v>
      </c>
      <c r="AM355" s="287" t="str">
        <f>+IF($AL$310=Mars!$C$4,Avril!D18,Avril!D19)</f>
        <v>CP</v>
      </c>
      <c r="AN355" s="287" t="str">
        <f t="shared" si="102"/>
        <v/>
      </c>
      <c r="AO355" s="288" t="str">
        <f>+IF($AL$310=Mars!$C$4,Avril!W18,Avril!W19)</f>
        <v/>
      </c>
      <c r="AP355" s="287">
        <f>+IF($AL$310=Mars!$C$4,Avril!X18,Avril!X19)</f>
        <v>6.9</v>
      </c>
      <c r="AQ355" s="287" t="str">
        <f>+IF($AL$310=Mars!$C$4,Avril!AF18,Avril!AF19)</f>
        <v/>
      </c>
      <c r="AR355" s="288" t="str">
        <f t="shared" si="101"/>
        <v/>
      </c>
      <c r="AS355" s="288" t="str">
        <f>+IF($AL$310=Mars!$C$4,Avril!AE18,Avril!AE19)</f>
        <v/>
      </c>
      <c r="AT355" s="287">
        <f>+IF($AL$310=Mars!$C$4,Avril!J18,Avril!J19)</f>
        <v>0</v>
      </c>
      <c r="AU355" s="279" t="str">
        <f t="shared" si="99"/>
        <v/>
      </c>
      <c r="AV355" s="178" t="str">
        <f t="shared" si="100"/>
        <v/>
      </c>
      <c r="AW355" s="179" t="str">
        <f>+IF(WEEKDAY(AL357)=1,SUM(AU$253:AU355),"")</f>
        <v/>
      </c>
      <c r="AX355" s="386"/>
    </row>
    <row r="356" spans="37:56" ht="15">
      <c r="AK356" s="797" t="str">
        <f t="shared" si="103"/>
        <v/>
      </c>
      <c r="AL356" s="286">
        <f t="shared" si="98"/>
        <v>43937</v>
      </c>
      <c r="AM356" s="287" t="str">
        <f>+IF($AL$310=Mars!$C$4,Avril!D19,Avril!D20)</f>
        <v>CP</v>
      </c>
      <c r="AN356" s="287" t="str">
        <f t="shared" si="102"/>
        <v/>
      </c>
      <c r="AO356" s="288" t="str">
        <f>+IF($AL$310=Mars!$C$4,Avril!W19,Avril!W20)</f>
        <v/>
      </c>
      <c r="AP356" s="287">
        <f>+IF($AL$310=Mars!$C$4,Avril!X19,Avril!X20)</f>
        <v>6.9</v>
      </c>
      <c r="AQ356" s="287" t="str">
        <f>+IF($AL$310=Mars!$C$4,Avril!AF19,Avril!AF20)</f>
        <v/>
      </c>
      <c r="AR356" s="288" t="str">
        <f t="shared" si="101"/>
        <v/>
      </c>
      <c r="AS356" s="288" t="str">
        <f>+IF($AL$310=Mars!$C$4,Avril!AE19,Avril!AE20)</f>
        <v/>
      </c>
      <c r="AT356" s="287">
        <f>+IF($AL$310=Mars!$C$4,Avril!J19,Avril!J20)</f>
        <v>0</v>
      </c>
      <c r="AU356" s="279" t="str">
        <f t="shared" si="99"/>
        <v/>
      </c>
      <c r="AV356" s="178" t="str">
        <f t="shared" si="100"/>
        <v/>
      </c>
      <c r="AW356" s="179" t="str">
        <f>+IF(WEEKDAY(AL358)=1,SUM(AU$253:AU356),"")</f>
        <v/>
      </c>
      <c r="AX356" s="386"/>
    </row>
    <row r="357" spans="37:56" ht="15">
      <c r="AK357" s="797" t="str">
        <f t="shared" si="103"/>
        <v/>
      </c>
      <c r="AL357" s="286">
        <f t="shared" ref="AL357:AL401" si="104">+AL356+1</f>
        <v>43938</v>
      </c>
      <c r="AM357" s="287" t="str">
        <f>+IF($AL$310=Mars!$C$4,Avril!D20,Avril!D21)</f>
        <v>CP</v>
      </c>
      <c r="AN357" s="287" t="str">
        <f t="shared" si="102"/>
        <v/>
      </c>
      <c r="AO357" s="288" t="str">
        <f>+IF($AL$310=Mars!$C$4,Avril!W20,Avril!W21)</f>
        <v/>
      </c>
      <c r="AP357" s="287">
        <f>+IF($AL$310=Mars!$C$4,Avril!X20,Avril!X21)</f>
        <v>6.9</v>
      </c>
      <c r="AQ357" s="287" t="str">
        <f>+IF($AL$310=Mars!$C$4,Avril!AF20,Avril!AF21)</f>
        <v/>
      </c>
      <c r="AR357" s="288" t="str">
        <f t="shared" si="101"/>
        <v/>
      </c>
      <c r="AS357" s="288" t="str">
        <f>+IF($AL$310=Mars!$C$4,Avril!AE20,Avril!AE21)</f>
        <v/>
      </c>
      <c r="AT357" s="287">
        <f>+IF($AL$310=Mars!$C$4,Avril!J20,Avril!J21)</f>
        <v>0</v>
      </c>
      <c r="AU357" s="279">
        <f t="shared" si="99"/>
        <v>27.6</v>
      </c>
      <c r="AV357" s="178">
        <f t="shared" si="100"/>
        <v>27.6</v>
      </c>
      <c r="AW357" s="179">
        <f>+IF(WEEKDAY(AL359)=1,SUM(AU$253:AU357),"")</f>
        <v>356.4</v>
      </c>
      <c r="AX357" s="386"/>
    </row>
    <row r="358" spans="37:56" ht="15">
      <c r="AK358" s="797" t="str">
        <f t="shared" si="103"/>
        <v/>
      </c>
      <c r="AL358" s="286">
        <f t="shared" si="104"/>
        <v>43939</v>
      </c>
      <c r="AM358" s="287">
        <f>+IF($AL$310=Mars!$C$4,Avril!D21,Avril!D22)</f>
        <v>0</v>
      </c>
      <c r="AN358" s="287" t="str">
        <f t="shared" si="102"/>
        <v/>
      </c>
      <c r="AO358" s="288" t="str">
        <f>+IF($AL$310=Mars!$C$4,Avril!W21,Avril!W22)</f>
        <v/>
      </c>
      <c r="AP358" s="287" t="str">
        <f>+IF($AL$310=Mars!$C$4,Avril!X21,Avril!X22)</f>
        <v/>
      </c>
      <c r="AQ358" s="287" t="str">
        <f>+IF($AL$310=Mars!$C$4,Avril!AF21,Avril!AF22)</f>
        <v/>
      </c>
      <c r="AR358" s="288" t="str">
        <f t="shared" si="101"/>
        <v/>
      </c>
      <c r="AS358" s="288" t="str">
        <f>+IF($AL$310=Mars!$C$4,Avril!AE21,Avril!AE22)</f>
        <v/>
      </c>
      <c r="AT358" s="287">
        <f>+IF($AL$310=Mars!$C$4,Avril!J21,Avril!J22)</f>
        <v>0</v>
      </c>
      <c r="AU358" s="279" t="str">
        <f t="shared" si="99"/>
        <v/>
      </c>
      <c r="AV358" s="178" t="str">
        <f t="shared" si="100"/>
        <v/>
      </c>
      <c r="AW358" s="179" t="str">
        <f>+IF(WEEKDAY(AL360)=1,SUM(AU$253:AU358),"")</f>
        <v/>
      </c>
      <c r="AX358" s="386"/>
    </row>
    <row r="359" spans="37:56" ht="15">
      <c r="AK359" s="797" t="str">
        <f t="shared" si="103"/>
        <v/>
      </c>
      <c r="AL359" s="286">
        <f t="shared" si="104"/>
        <v>43940</v>
      </c>
      <c r="AM359" s="287">
        <f>+IF($AL$310=Mars!$C$4,Avril!D22,Avril!D23)</f>
        <v>0</v>
      </c>
      <c r="AN359" s="287" t="str">
        <f t="shared" si="102"/>
        <v/>
      </c>
      <c r="AO359" s="288" t="str">
        <f>+IF($AL$310=Mars!$C$4,Avril!W22,Avril!W23)</f>
        <v/>
      </c>
      <c r="AP359" s="287" t="str">
        <f>+IF($AL$310=Mars!$C$4,Avril!X22,Avril!X23)</f>
        <v/>
      </c>
      <c r="AQ359" s="287" t="str">
        <f>+IF($AL$310=Mars!$C$4,Avril!AF22,Avril!AF23)</f>
        <v/>
      </c>
      <c r="AR359" s="288" t="str">
        <f t="shared" si="101"/>
        <v/>
      </c>
      <c r="AS359" s="288" t="str">
        <f>+IF($AL$310=Mars!$C$4,Avril!AE22,Avril!AE23)</f>
        <v/>
      </c>
      <c r="AT359" s="287">
        <f>+IF($AL$310=Mars!$C$4,Avril!J22,Avril!J23)</f>
        <v>0</v>
      </c>
      <c r="AU359" s="279" t="str">
        <f t="shared" si="99"/>
        <v/>
      </c>
      <c r="AV359" s="178" t="str">
        <f t="shared" si="100"/>
        <v/>
      </c>
      <c r="AW359" s="179" t="str">
        <f>+IF(WEEKDAY(AL361)=1,SUM(AU$253:AU359),"")</f>
        <v/>
      </c>
      <c r="AX359" s="386"/>
    </row>
    <row r="360" spans="37:56" ht="15">
      <c r="AK360" s="797">
        <f t="shared" si="103"/>
        <v>13</v>
      </c>
      <c r="AL360" s="286">
        <f t="shared" si="104"/>
        <v>43941</v>
      </c>
      <c r="AM360" s="287">
        <f>+IF($AL$310=Mars!$C$4,Avril!D23,Avril!D24)</f>
        <v>0</v>
      </c>
      <c r="AN360" s="287" t="str">
        <f t="shared" si="102"/>
        <v/>
      </c>
      <c r="AO360" s="288" t="str">
        <f>+IF($AL$310=Mars!$C$4,Avril!W23,Avril!W24)</f>
        <v/>
      </c>
      <c r="AP360" s="287" t="str">
        <f>+IF($AL$310=Mars!$C$4,Avril!X23,Avril!X24)</f>
        <v/>
      </c>
      <c r="AQ360" s="287" t="str">
        <f>+IF($AL$310=Mars!$C$4,Avril!AF23,Avril!AF24)</f>
        <v/>
      </c>
      <c r="AR360" s="288" t="str">
        <f t="shared" si="101"/>
        <v/>
      </c>
      <c r="AS360" s="288" t="str">
        <f>+IF($AL$310=Mars!$C$4,Avril!AE23,Avril!AE24)</f>
        <v/>
      </c>
      <c r="AT360" s="287">
        <f>+IF($AL$310=Mars!$C$4,Avril!J23,Avril!J24)</f>
        <v>0</v>
      </c>
      <c r="AU360" s="279" t="str">
        <f t="shared" si="99"/>
        <v/>
      </c>
      <c r="AV360" s="178" t="str">
        <f t="shared" si="100"/>
        <v/>
      </c>
      <c r="AW360" s="179" t="str">
        <f>+IF(WEEKDAY(AL362)=1,SUM(AU$253:AU360),"")</f>
        <v/>
      </c>
      <c r="AX360" s="386"/>
    </row>
    <row r="361" spans="37:56" ht="15">
      <c r="AK361" s="797" t="str">
        <f t="shared" si="103"/>
        <v/>
      </c>
      <c r="AL361" s="286">
        <f t="shared" si="104"/>
        <v>43942</v>
      </c>
      <c r="AM361" s="287">
        <f>+IF($AL$310=Mars!$C$4,Avril!D24,Avril!D25)</f>
        <v>0</v>
      </c>
      <c r="AN361" s="287" t="str">
        <f t="shared" si="102"/>
        <v/>
      </c>
      <c r="AO361" s="288" t="str">
        <f>+IF($AL$310=Mars!$C$4,Avril!W24,Avril!W25)</f>
        <v/>
      </c>
      <c r="AP361" s="287" t="str">
        <f>+IF($AL$310=Mars!$C$4,Avril!X24,Avril!X25)</f>
        <v/>
      </c>
      <c r="AQ361" s="287" t="str">
        <f>+IF($AL$310=Mars!$C$4,Avril!AF24,Avril!AF25)</f>
        <v/>
      </c>
      <c r="AR361" s="288" t="str">
        <f t="shared" si="101"/>
        <v/>
      </c>
      <c r="AS361" s="288" t="str">
        <f>+IF($AL$310=Mars!$C$4,Avril!AE24,Avril!AE25)</f>
        <v/>
      </c>
      <c r="AT361" s="287">
        <f>+IF($AL$310=Mars!$C$4,Avril!J24,Avril!J25)</f>
        <v>0</v>
      </c>
      <c r="AU361" s="279" t="str">
        <f t="shared" si="99"/>
        <v/>
      </c>
      <c r="AV361" s="178" t="str">
        <f t="shared" si="100"/>
        <v/>
      </c>
      <c r="AW361" s="179" t="str">
        <f>+IF(WEEKDAY(AL363)=1,SUM(AU$253:AU361),"")</f>
        <v/>
      </c>
      <c r="AX361" s="386"/>
    </row>
    <row r="362" spans="37:56" ht="15">
      <c r="AK362" s="797" t="str">
        <f t="shared" si="103"/>
        <v/>
      </c>
      <c r="AL362" s="286">
        <f t="shared" si="104"/>
        <v>43943</v>
      </c>
      <c r="AM362" s="287">
        <f>+IF($AL$310=Mars!$C$4,Avril!D25,Avril!D26)</f>
        <v>0</v>
      </c>
      <c r="AN362" s="287" t="str">
        <f t="shared" si="102"/>
        <v/>
      </c>
      <c r="AO362" s="288" t="str">
        <f>+IF($AL$310=Mars!$C$4,Avril!W25,Avril!W26)</f>
        <v/>
      </c>
      <c r="AP362" s="287" t="str">
        <f>+IF($AL$310=Mars!$C$4,Avril!X25,Avril!X26)</f>
        <v/>
      </c>
      <c r="AQ362" s="287" t="str">
        <f>+IF($AL$310=Mars!$C$4,Avril!AF25,Avril!AF26)</f>
        <v/>
      </c>
      <c r="AR362" s="288" t="str">
        <f t="shared" si="101"/>
        <v/>
      </c>
      <c r="AS362" s="288" t="str">
        <f>+IF($AL$310=Mars!$C$4,Avril!AE25,Avril!AE26)</f>
        <v/>
      </c>
      <c r="AT362" s="287">
        <f>+IF($AL$310=Mars!$C$4,Avril!J25,Avril!J26)</f>
        <v>0</v>
      </c>
      <c r="AU362" s="279" t="str">
        <f t="shared" si="99"/>
        <v/>
      </c>
      <c r="AV362" s="178" t="str">
        <f t="shared" si="100"/>
        <v/>
      </c>
      <c r="AW362" s="179" t="str">
        <f>+IF(WEEKDAY(AL364)=1,SUM(AU$253:AU362),"")</f>
        <v/>
      </c>
      <c r="AX362" s="386"/>
    </row>
    <row r="363" spans="37:56" ht="15">
      <c r="AK363" s="797" t="str">
        <f t="shared" si="103"/>
        <v/>
      </c>
      <c r="AL363" s="286">
        <f t="shared" si="104"/>
        <v>43944</v>
      </c>
      <c r="AM363" s="287">
        <f>+IF($AL$310=Mars!$C$4,Avril!D26,Avril!D27)</f>
        <v>0</v>
      </c>
      <c r="AN363" s="287" t="str">
        <f t="shared" si="102"/>
        <v/>
      </c>
      <c r="AO363" s="288" t="str">
        <f>+IF($AL$310=Mars!$C$4,Avril!W26,Avril!W27)</f>
        <v/>
      </c>
      <c r="AP363" s="287" t="str">
        <f>+IF($AL$310=Mars!$C$4,Avril!X26,Avril!X27)</f>
        <v/>
      </c>
      <c r="AQ363" s="287" t="str">
        <f>+IF($AL$310=Mars!$C$4,Avril!AF26,Avril!AF27)</f>
        <v/>
      </c>
      <c r="AR363" s="288" t="str">
        <f t="shared" si="101"/>
        <v/>
      </c>
      <c r="AS363" s="288" t="str">
        <f>+IF($AL$310=Mars!$C$4,Avril!AE26,Avril!AE27)</f>
        <v/>
      </c>
      <c r="AT363" s="287">
        <f>+IF($AL$310=Mars!$C$4,Avril!J26,Avril!J27)</f>
        <v>0</v>
      </c>
      <c r="AU363" s="279" t="str">
        <f t="shared" si="99"/>
        <v/>
      </c>
      <c r="AV363" s="178" t="str">
        <f t="shared" si="100"/>
        <v/>
      </c>
      <c r="AW363" s="179" t="str">
        <f>+IF(WEEKDAY(AL365)=1,SUM(AU$253:AU363),"")</f>
        <v/>
      </c>
      <c r="AX363" s="386"/>
    </row>
    <row r="364" spans="37:56" ht="15">
      <c r="AK364" s="797" t="str">
        <f t="shared" si="103"/>
        <v/>
      </c>
      <c r="AL364" s="286">
        <f t="shared" si="104"/>
        <v>43945</v>
      </c>
      <c r="AM364" s="287">
        <f>+IF($AL$310=Mars!$C$4,Avril!D27,Avril!D28)</f>
        <v>0</v>
      </c>
      <c r="AN364" s="287" t="str">
        <f t="shared" si="102"/>
        <v/>
      </c>
      <c r="AO364" s="288" t="str">
        <f>+IF($AL$310=Mars!$C$4,Avril!W27,Avril!W28)</f>
        <v/>
      </c>
      <c r="AP364" s="287" t="str">
        <f>+IF($AL$310=Mars!$C$4,Avril!X27,Avril!X28)</f>
        <v/>
      </c>
      <c r="AQ364" s="287" t="str">
        <f>+IF($AL$310=Mars!$C$4,Avril!AF27,Avril!AF28)</f>
        <v/>
      </c>
      <c r="AR364" s="288" t="str">
        <f t="shared" si="101"/>
        <v/>
      </c>
      <c r="AS364" s="288" t="str">
        <f>+IF($AL$310=Mars!$C$4,Avril!AE27,Avril!AE28)</f>
        <v/>
      </c>
      <c r="AT364" s="287">
        <f>+IF($AL$310=Mars!$C$4,Avril!J27,Avril!J28)</f>
        <v>0</v>
      </c>
      <c r="AU364" s="279">
        <f t="shared" si="99"/>
        <v>0</v>
      </c>
      <c r="AV364" s="178">
        <f t="shared" si="100"/>
        <v>0</v>
      </c>
      <c r="AW364" s="179">
        <f>+IF(WEEKDAY(AL366)=1,SUM(AU$253:AU364),"")</f>
        <v>356.4</v>
      </c>
      <c r="AX364" s="386"/>
    </row>
    <row r="365" spans="37:56" ht="15">
      <c r="AK365" s="797" t="str">
        <f t="shared" si="103"/>
        <v/>
      </c>
      <c r="AL365" s="286">
        <f t="shared" si="104"/>
        <v>43946</v>
      </c>
      <c r="AM365" s="287">
        <f>+IF($AL$310=Mars!$C$4,Avril!D28,Avril!D29)</f>
        <v>0</v>
      </c>
      <c r="AN365" s="287" t="str">
        <f t="shared" si="102"/>
        <v/>
      </c>
      <c r="AO365" s="288" t="str">
        <f>+IF($AL$310=Mars!$C$4,Avril!W28,Avril!W29)</f>
        <v/>
      </c>
      <c r="AP365" s="287" t="str">
        <f>+IF($AL$310=Mars!$C$4,Avril!X28,Avril!X29)</f>
        <v/>
      </c>
      <c r="AQ365" s="287" t="str">
        <f>+IF($AL$310=Mars!$C$4,Avril!AF28,Avril!AF29)</f>
        <v/>
      </c>
      <c r="AR365" s="288" t="str">
        <f t="shared" si="101"/>
        <v/>
      </c>
      <c r="AS365" s="288" t="str">
        <f>+IF($AL$310=Mars!$C$4,Avril!AE28,Avril!AE29)</f>
        <v/>
      </c>
      <c r="AT365" s="287">
        <f>+IF($AL$310=Mars!$C$4,Avril!J28,Avril!J29)</f>
        <v>0</v>
      </c>
      <c r="AU365" s="279" t="str">
        <f t="shared" si="99"/>
        <v/>
      </c>
      <c r="AV365" s="178" t="str">
        <f t="shared" si="100"/>
        <v/>
      </c>
      <c r="AW365" s="179" t="str">
        <f>+IF(WEEKDAY(AL367)=1,SUM(AU$253:AU365),"")</f>
        <v/>
      </c>
      <c r="AX365" s="386"/>
    </row>
    <row r="366" spans="37:56" ht="15.75" thickBot="1">
      <c r="AK366" s="797" t="str">
        <f t="shared" si="103"/>
        <v/>
      </c>
      <c r="AL366" s="286">
        <f t="shared" si="104"/>
        <v>43947</v>
      </c>
      <c r="AM366" s="287">
        <f>+IF($AL$310=Mars!$C$4,Avril!D29,Avril!D30)</f>
        <v>0</v>
      </c>
      <c r="AN366" s="287" t="str">
        <f t="shared" si="102"/>
        <v/>
      </c>
      <c r="AO366" s="288" t="str">
        <f>+IF($AL$310=Mars!$C$4,Avril!W29,Avril!W30)</f>
        <v/>
      </c>
      <c r="AP366" s="287" t="str">
        <f>+IF($AL$310=Mars!$C$4,Avril!X29,Avril!X30)</f>
        <v/>
      </c>
      <c r="AQ366" s="287" t="str">
        <f>+IF($AL$310=Mars!$C$4,Avril!AF29,Avril!AF30)</f>
        <v/>
      </c>
      <c r="AR366" s="288" t="str">
        <f t="shared" si="101"/>
        <v/>
      </c>
      <c r="AS366" s="288" t="str">
        <f>+IF($AL$310=Mars!$C$4,Avril!AE29,Avril!AE30)</f>
        <v/>
      </c>
      <c r="AT366" s="287">
        <f>+IF($AL$310=Mars!$C$4,Avril!J29,Avril!J30)</f>
        <v>0</v>
      </c>
      <c r="AU366" s="279" t="str">
        <f t="shared" si="99"/>
        <v/>
      </c>
      <c r="AV366" s="178" t="str">
        <f t="shared" si="100"/>
        <v/>
      </c>
      <c r="AW366" s="179" t="str">
        <f>+IF(WEEKDAY(AL368)=1,SUM(AU$253:AU366),"")</f>
        <v/>
      </c>
      <c r="AX366" s="386"/>
    </row>
    <row r="367" spans="37:56" ht="15.75" thickBot="1">
      <c r="AK367" s="797" t="str">
        <f t="shared" si="103"/>
        <v/>
      </c>
      <c r="AL367" s="286">
        <f t="shared" si="104"/>
        <v>43948</v>
      </c>
      <c r="AM367" s="287">
        <f>+IF($AL$310=Mars!$C$4,Avril!D30,Avril!D31)</f>
        <v>0</v>
      </c>
      <c r="AN367" s="287" t="str">
        <f t="shared" si="102"/>
        <v/>
      </c>
      <c r="AO367" s="288" t="str">
        <f>+IF($AL$310=Mars!$C$4,Avril!W30,Avril!W31)</f>
        <v/>
      </c>
      <c r="AP367" s="287" t="str">
        <f>+IF($AL$310=Mars!$C$4,Avril!X30,Avril!X31)</f>
        <v/>
      </c>
      <c r="AQ367" s="287" t="str">
        <f>+IF($AL$310=Mars!$C$4,Avril!AF30,Avril!AF31)</f>
        <v/>
      </c>
      <c r="AR367" s="288" t="str">
        <f t="shared" si="101"/>
        <v/>
      </c>
      <c r="AS367" s="288" t="str">
        <f>+IF($AL$310=Mars!$C$4,Avril!AE30,Avril!AE31)</f>
        <v/>
      </c>
      <c r="AT367" s="287">
        <f>+IF($AL$310=Mars!$C$4,Avril!J30,Avril!J31)</f>
        <v>0</v>
      </c>
      <c r="AU367" s="279" t="str">
        <f t="shared" si="99"/>
        <v/>
      </c>
      <c r="AV367" s="178" t="str">
        <f t="shared" si="100"/>
        <v/>
      </c>
      <c r="AW367" s="179" t="str">
        <f>+IF(WEEKDAY(AL369)=1,SUM(AU$253:AU367),"")</f>
        <v/>
      </c>
      <c r="AX367" s="223">
        <f>+IF(WEEKDAY($AL$24)=1,SUM(AN332:AN359),IF(WEEKDAY($AL$25)=1,SUM(AN333:AN360),IF(WEEKDAY($AL$26)=1,SUM(AN334:AN361),IF(WEEKDAY($AL$27)=1,SUM(AN335:AN362),IF(WEEKDAY($AL$28)=1,SUM(AN336:AN363),IF(WEEKDAY($AL$29)=1,SUM(AN337:AN364),IF(WEEKDAY($AL$30)=1,SUM(AN338:AN365),"")))))))</f>
        <v>0</v>
      </c>
      <c r="AY367" s="223">
        <f t="shared" ref="AY367:BD367" si="105">+IF(WEEKDAY($AL$24)=1,SUM(AO332:AO359),IF(WEEKDAY($AL$25)=1,SUM(AO333:AO360),IF(WEEKDAY($AL$26)=1,SUM(AO334:AO361),IF(WEEKDAY($AL$27)=1,SUM(AO335:AO362),IF(WEEKDAY($AL$28)=1,SUM(AO336:AO363),IF(WEEKDAY($AL$29)=1,SUM(AO337:AO364),IF(WEEKDAY($AL$30)=1,SUM(AO338:AO365),"")))))))</f>
        <v>0</v>
      </c>
      <c r="AZ367" s="223">
        <f t="shared" si="105"/>
        <v>27.6</v>
      </c>
      <c r="BA367" s="223">
        <f t="shared" si="105"/>
        <v>6.9</v>
      </c>
      <c r="BB367" s="223">
        <f t="shared" si="105"/>
        <v>6.9</v>
      </c>
      <c r="BC367" s="223">
        <f t="shared" si="105"/>
        <v>0</v>
      </c>
      <c r="BD367" s="223">
        <f t="shared" si="105"/>
        <v>0</v>
      </c>
    </row>
    <row r="368" spans="37:56" ht="15.75" thickBot="1">
      <c r="AK368" s="797" t="str">
        <f t="shared" si="103"/>
        <v/>
      </c>
      <c r="AL368" s="286">
        <f t="shared" si="104"/>
        <v>43949</v>
      </c>
      <c r="AM368" s="287">
        <f>+IF($AL$310=Mars!$C$4,Avril!D31,Avril!D32)</f>
        <v>0</v>
      </c>
      <c r="AN368" s="287" t="str">
        <f t="shared" ref="AN368" si="106">+IF(AM368=0,"",IF(AM368="CP","",1))</f>
        <v/>
      </c>
      <c r="AO368" s="288" t="str">
        <f>+IF($AL$310=Mars!$C$4,Avril!W31,Avril!W32)</f>
        <v/>
      </c>
      <c r="AP368" s="287" t="str">
        <f>+IF($AL$310=Mars!$C$4,Avril!X31,Avril!X32)</f>
        <v/>
      </c>
      <c r="AQ368" s="287" t="str">
        <f>+IF($AL$310=Mars!$C$4,Avril!AF31,Avril!AF32)</f>
        <v/>
      </c>
      <c r="AR368" s="288" t="str">
        <f t="shared" si="101"/>
        <v/>
      </c>
      <c r="AS368" s="288" t="str">
        <f>+IF($AL$310=Mars!$C$4,Avril!AE31,Avril!AE32)</f>
        <v/>
      </c>
      <c r="AT368" s="287">
        <f>+IF($AL$310=Mars!$C$4,Avril!J31,Avril!J32)</f>
        <v>0</v>
      </c>
      <c r="AU368" s="279" t="str">
        <f t="shared" si="99"/>
        <v/>
      </c>
      <c r="AV368" s="178" t="str">
        <f t="shared" si="100"/>
        <v/>
      </c>
      <c r="AW368" s="179" t="str">
        <f>+IF(WEEKDAY(AL370)=1,SUM(AU$253:AU368),"")</f>
        <v/>
      </c>
      <c r="AX368" s="386"/>
    </row>
    <row r="369" spans="37:55" ht="16.5" thickTop="1" thickBot="1">
      <c r="AK369" s="797" t="str">
        <f t="shared" si="103"/>
        <v/>
      </c>
      <c r="AL369" s="286">
        <f t="shared" si="104"/>
        <v>43950</v>
      </c>
      <c r="AM369" s="287">
        <f>+IF($AL$310=Mars!$C$4,Avril!D32,Avril!D33)</f>
        <v>0</v>
      </c>
      <c r="AN369" s="287" t="str">
        <f t="shared" si="102"/>
        <v/>
      </c>
      <c r="AO369" s="288" t="str">
        <f>+IF($AL$310=Mars!$C$4,Avril!W32,Avril!W33)</f>
        <v/>
      </c>
      <c r="AP369" s="287" t="str">
        <f>+IF($AL$310=Mars!$C$4,Avril!X32,Avril!X33)</f>
        <v/>
      </c>
      <c r="AQ369" s="287" t="str">
        <f>+IF($AL$310=Mars!$C$4,Avril!AF32,Avril!AF33)</f>
        <v/>
      </c>
      <c r="AR369" s="288" t="str">
        <f t="shared" si="101"/>
        <v/>
      </c>
      <c r="AS369" s="288" t="str">
        <f>+IF($AL$310=Mars!$C$4,Avril!AE32,Avril!AE33)</f>
        <v/>
      </c>
      <c r="AT369" s="287">
        <f>+IF($AL$310=Mars!$C$4,Avril!J32,Avril!J33)</f>
        <v>0</v>
      </c>
      <c r="AU369" s="279" t="str">
        <f t="shared" si="99"/>
        <v/>
      </c>
      <c r="AV369" s="178" t="str">
        <f t="shared" si="100"/>
        <v/>
      </c>
      <c r="AW369" s="179" t="str">
        <f>+IF(WEEKDAY(AL371)=1,SUM(AU$253:AU369),"")</f>
        <v/>
      </c>
      <c r="AX369" s="386"/>
      <c r="AZ369" s="936" t="str">
        <f>+IF(WEEKDAY(AL$26)=1,"Fin cycle 12",IF(WEEKDAY(AL$27)=1,"Fin cycle 12",IF(WEEKDAY(AL$28)=1,"Fin cycle 12",IF(WEEKDAY(AL$29)=1,"Fin cycle 12",IF(WEEKDAY(AL$30)=1,"Fin cycle 12",IF(WEEKDAY(AL$31)=1,"Fin cycle 12",IF(WEEKDAY(AL$32)=1,"Fin cycle 12","")))))))</f>
        <v>Fin cycle 12</v>
      </c>
      <c r="BA369" s="937"/>
      <c r="BB369" s="275">
        <f>SUM(AY367:AZ367)</f>
        <v>27.6</v>
      </c>
      <c r="BC369" s="590"/>
    </row>
    <row r="370" spans="37:55" ht="15">
      <c r="AK370" s="797" t="str">
        <f t="shared" si="103"/>
        <v/>
      </c>
      <c r="AL370" s="286">
        <f t="shared" si="104"/>
        <v>43951</v>
      </c>
      <c r="AM370" s="287">
        <f>+IF($AL$310=Mars!$C$4,Mai!D5,Mai!D4)</f>
        <v>0</v>
      </c>
      <c r="AN370" s="287" t="str">
        <f t="shared" si="102"/>
        <v/>
      </c>
      <c r="AO370" s="288" t="str">
        <f>+IF($AL$310=Mars!$C$4,Mai!W5,Mai!W4)</f>
        <v/>
      </c>
      <c r="AP370" s="287" t="str">
        <f>+IF($AL$310=Mars!$C$4,Mai!X5,Mai!X4)</f>
        <v/>
      </c>
      <c r="AQ370" s="287" t="str">
        <f>+IF($AL$310=Mars!$C$4,Mai!AF5,Mai!AF4)</f>
        <v/>
      </c>
      <c r="AR370" s="288" t="str">
        <f t="shared" ref="AR370:AR371" si="107">+IF(AS370&lt;&gt;"","",AQ370)</f>
        <v/>
      </c>
      <c r="AS370" s="288" t="str">
        <f>+IF($AL$310=Mars!$C$4,Mai!AE5,Mai!AE4)</f>
        <v/>
      </c>
      <c r="AT370" s="287">
        <f>+IF($AL$310=Mars!$C$4,Mai!J5,Mai!J4)</f>
        <v>0</v>
      </c>
      <c r="AU370" s="279" t="str">
        <f t="shared" si="99"/>
        <v/>
      </c>
      <c r="AV370" s="178" t="str">
        <f t="shared" si="100"/>
        <v/>
      </c>
      <c r="AW370" s="179" t="str">
        <f>+IF(WEEKDAY(AL372)=1,SUM(AU$253:AU370),"")</f>
        <v/>
      </c>
      <c r="AX370" s="386"/>
    </row>
    <row r="371" spans="37:55" ht="15">
      <c r="AK371" s="797" t="str">
        <f t="shared" si="103"/>
        <v/>
      </c>
      <c r="AL371" s="286">
        <f t="shared" si="104"/>
        <v>43952</v>
      </c>
      <c r="AM371" s="287">
        <f>+IF($AL$310=Mars!$C$4,Mai!D4,Mai!D5)</f>
        <v>0</v>
      </c>
      <c r="AN371" s="287" t="str">
        <f t="shared" si="102"/>
        <v/>
      </c>
      <c r="AO371" s="288" t="str">
        <f>+IF($AL$310=Mars!$C$4,Mai!W4,Mai!W7)</f>
        <v/>
      </c>
      <c r="AP371" s="287" t="str">
        <f>+IF($AL$310=Mars!$C$4,Mai!X4,Mai!X5)</f>
        <v/>
      </c>
      <c r="AQ371" s="287">
        <f>+IF($AL$310=Mars!$C$4,Mai!AF4,Mai!AF5)</f>
        <v>6.9</v>
      </c>
      <c r="AR371" s="288">
        <f t="shared" si="107"/>
        <v>6.9</v>
      </c>
      <c r="AS371" s="288" t="str">
        <f>+IF($AL$310=Mars!$C$4,Mai!AE4,Mai!AE5)</f>
        <v/>
      </c>
      <c r="AT371" s="287">
        <f>+IF($AL$310=Mars!$C$4,Mai!J4,Mai!J5)</f>
        <v>0</v>
      </c>
      <c r="AU371" s="279">
        <f t="shared" si="99"/>
        <v>0</v>
      </c>
      <c r="AV371" s="178">
        <f t="shared" si="100"/>
        <v>0</v>
      </c>
      <c r="AW371" s="179">
        <f>+IF(WEEKDAY(AL373)=1,SUM(AU$253:AU371),"")</f>
        <v>356.4</v>
      </c>
      <c r="AX371" s="386"/>
    </row>
    <row r="372" spans="37:55" ht="15">
      <c r="AK372" s="797" t="str">
        <f t="shared" si="103"/>
        <v/>
      </c>
      <c r="AL372" s="286">
        <f t="shared" si="104"/>
        <v>43953</v>
      </c>
      <c r="AM372" s="287">
        <f>+IF($AL$310=Mars!$C$4,Mai!D5,Mai!D6)</f>
        <v>0</v>
      </c>
      <c r="AN372" s="287" t="str">
        <f t="shared" ref="AN372:AN399" si="108">+IF(AM372=0,"",IF(AM372="CP","",1))</f>
        <v/>
      </c>
      <c r="AO372" s="288" t="str">
        <f>+IF($AL$310=Mars!$C$4,Mai!W5,Mai!W8)</f>
        <v/>
      </c>
      <c r="AP372" s="287" t="str">
        <f>+IF($AL$310=Mars!$C$4,Mai!X5,Mai!X6)</f>
        <v/>
      </c>
      <c r="AQ372" s="287" t="str">
        <f>+IF($AL$310=Mars!$C$4,Mai!AF5,Mai!AF6)</f>
        <v/>
      </c>
      <c r="AR372" s="288" t="str">
        <f t="shared" ref="AR372:AR399" si="109">+IF(AS372&lt;&gt;"","",AQ372)</f>
        <v/>
      </c>
      <c r="AS372" s="288" t="str">
        <f>+IF($AL$310=Mars!$C$4,Mai!AE5,Mai!AE6)</f>
        <v/>
      </c>
      <c r="AT372" s="287">
        <f>+IF($AL$310=Mars!$C$4,Mai!J5,Mai!J6)</f>
        <v>0</v>
      </c>
      <c r="AU372" s="279" t="str">
        <f t="shared" ref="AU372:AU399" si="110">+IF(WEEKDAY(AL374)=1,SUM(AO366:AP372),"")</f>
        <v/>
      </c>
      <c r="AV372" s="178" t="str">
        <f t="shared" ref="AV372:AV399" si="111">+IF(WEEKDAY(AL374)=1,SUM(AP366:AP372),"")</f>
        <v/>
      </c>
      <c r="AW372" s="179" t="str">
        <f>+IF(WEEKDAY(AL374)=1,SUM(AU$253:AU372),"")</f>
        <v/>
      </c>
      <c r="AX372" s="386"/>
    </row>
    <row r="373" spans="37:55" ht="15">
      <c r="AK373" s="797" t="str">
        <f t="shared" si="103"/>
        <v/>
      </c>
      <c r="AL373" s="286">
        <f t="shared" si="104"/>
        <v>43954</v>
      </c>
      <c r="AM373" s="287">
        <f>+IF($AL$310=Mars!$C$4,Mai!D6,Mai!D7)</f>
        <v>0</v>
      </c>
      <c r="AN373" s="287" t="str">
        <f t="shared" si="108"/>
        <v/>
      </c>
      <c r="AO373" s="288" t="str">
        <f>+IF($AL$310=Mars!$C$4,Mai!W6,Mai!W9)</f>
        <v/>
      </c>
      <c r="AP373" s="287" t="str">
        <f>+IF($AL$310=Mars!$C$4,Mai!X6,Mai!X7)</f>
        <v/>
      </c>
      <c r="AQ373" s="287" t="str">
        <f>+IF($AL$310=Mars!$C$4,Mai!AF6,Mai!AF7)</f>
        <v/>
      </c>
      <c r="AR373" s="288" t="str">
        <f t="shared" si="109"/>
        <v/>
      </c>
      <c r="AS373" s="288" t="str">
        <f>+IF($AL$310=Mars!$C$4,Mai!AE6,Mai!AE7)</f>
        <v/>
      </c>
      <c r="AT373" s="287">
        <f>+IF($AL$310=Mars!$C$4,Mai!J6,Mai!J7)</f>
        <v>0</v>
      </c>
      <c r="AU373" s="279" t="str">
        <f t="shared" si="110"/>
        <v/>
      </c>
      <c r="AV373" s="178" t="str">
        <f t="shared" si="111"/>
        <v/>
      </c>
      <c r="AW373" s="179" t="str">
        <f>+IF(WEEKDAY(AL375)=1,SUM(AU$253:AU373),"")</f>
        <v/>
      </c>
      <c r="AX373" s="386"/>
    </row>
    <row r="374" spans="37:55" ht="15">
      <c r="AK374" s="797" t="str">
        <f t="shared" si="103"/>
        <v/>
      </c>
      <c r="AL374" s="286">
        <f t="shared" si="104"/>
        <v>43955</v>
      </c>
      <c r="AM374" s="287" t="str">
        <f>+IF($AL$310=Mars!$C$4,Mai!D7,Mai!D8)</f>
        <v>CP</v>
      </c>
      <c r="AN374" s="287" t="str">
        <f t="shared" si="108"/>
        <v/>
      </c>
      <c r="AO374" s="288" t="str">
        <f>+IF($AL$310=Mars!$C$4,Mai!W7,Mai!W10)</f>
        <v/>
      </c>
      <c r="AP374" s="287">
        <f>+IF($AL$310=Mars!$C$4,Mai!X7,Mai!X8)</f>
        <v>6.9</v>
      </c>
      <c r="AQ374" s="287" t="str">
        <f>+IF($AL$310=Mars!$C$4,Mai!AF7,Mai!AF8)</f>
        <v/>
      </c>
      <c r="AR374" s="288" t="str">
        <f t="shared" si="109"/>
        <v/>
      </c>
      <c r="AS374" s="288" t="str">
        <f>+IF($AL$310=Mars!$C$4,Mai!AE7,Mai!AE8)</f>
        <v/>
      </c>
      <c r="AT374" s="287">
        <f>+IF($AL$310=Mars!$C$4,Mai!J7,Mai!J8)</f>
        <v>0</v>
      </c>
      <c r="AU374" s="279" t="str">
        <f t="shared" si="110"/>
        <v/>
      </c>
      <c r="AV374" s="178" t="str">
        <f t="shared" si="111"/>
        <v/>
      </c>
      <c r="AW374" s="179" t="str">
        <f>+IF(WEEKDAY(AL376)=1,SUM(AU$253:AU374),"")</f>
        <v/>
      </c>
      <c r="AX374" s="386"/>
    </row>
    <row r="375" spans="37:55" ht="15">
      <c r="AK375" s="797" t="str">
        <f t="shared" si="103"/>
        <v/>
      </c>
      <c r="AL375" s="286">
        <f t="shared" si="104"/>
        <v>43956</v>
      </c>
      <c r="AM375" s="287" t="str">
        <f>+IF($AL$310=Mars!$C$4,Mai!D8,Mai!D9)</f>
        <v>CP</v>
      </c>
      <c r="AN375" s="287" t="str">
        <f t="shared" si="108"/>
        <v/>
      </c>
      <c r="AO375" s="288" t="str">
        <f>+IF($AL$310=Mars!$C$4,Mai!W8,Mai!W11)</f>
        <v/>
      </c>
      <c r="AP375" s="287">
        <f>+IF($AL$310=Mars!$C$4,Mai!X8,Mai!X9)</f>
        <v>6.9</v>
      </c>
      <c r="AQ375" s="287" t="str">
        <f>+IF($AL$310=Mars!$C$4,Mai!AF8,Mai!AF9)</f>
        <v/>
      </c>
      <c r="AR375" s="288" t="str">
        <f t="shared" si="109"/>
        <v/>
      </c>
      <c r="AS375" s="288" t="str">
        <f>+IF($AL$310=Mars!$C$4,Mai!AE8,Mai!AE9)</f>
        <v/>
      </c>
      <c r="AT375" s="287">
        <f>+IF($AL$310=Mars!$C$4,Mai!J8,Mai!J9)</f>
        <v>0</v>
      </c>
      <c r="AU375" s="279" t="str">
        <f t="shared" si="110"/>
        <v/>
      </c>
      <c r="AV375" s="178" t="str">
        <f t="shared" si="111"/>
        <v/>
      </c>
      <c r="AW375" s="179" t="str">
        <f>+IF(WEEKDAY(AL377)=1,SUM(AU$253:AU375),"")</f>
        <v/>
      </c>
      <c r="AX375" s="386"/>
    </row>
    <row r="376" spans="37:55" ht="15">
      <c r="AK376" s="797" t="str">
        <f t="shared" si="103"/>
        <v/>
      </c>
      <c r="AL376" s="286">
        <f t="shared" si="104"/>
        <v>43957</v>
      </c>
      <c r="AM376" s="287" t="str">
        <f>+IF($AL$310=Mars!$C$4,Mai!D9,Mai!D10)</f>
        <v>CP</v>
      </c>
      <c r="AN376" s="287" t="str">
        <f t="shared" si="108"/>
        <v/>
      </c>
      <c r="AO376" s="288" t="str">
        <f>+IF($AL$310=Mars!$C$4,Mai!W9,Mai!W12)</f>
        <v/>
      </c>
      <c r="AP376" s="287">
        <f>+IF($AL$310=Mars!$C$4,Mai!X9,Mai!X10)</f>
        <v>6.9</v>
      </c>
      <c r="AQ376" s="287" t="str">
        <f>+IF($AL$310=Mars!$C$4,Mai!AF9,Mai!AF10)</f>
        <v/>
      </c>
      <c r="AR376" s="288" t="str">
        <f t="shared" si="109"/>
        <v/>
      </c>
      <c r="AS376" s="288" t="str">
        <f>+IF($AL$310=Mars!$C$4,Mai!AE9,Mai!AE10)</f>
        <v/>
      </c>
      <c r="AT376" s="287">
        <f>+IF($AL$310=Mars!$C$4,Mai!J9,Mai!J10)</f>
        <v>0</v>
      </c>
      <c r="AU376" s="279" t="str">
        <f t="shared" si="110"/>
        <v/>
      </c>
      <c r="AV376" s="178" t="str">
        <f t="shared" si="111"/>
        <v/>
      </c>
      <c r="AW376" s="179" t="str">
        <f>+IF(WEEKDAY(AL378)=1,SUM(AU$253:AU376),"")</f>
        <v/>
      </c>
      <c r="AX376" s="386"/>
    </row>
    <row r="377" spans="37:55" ht="15">
      <c r="AK377" s="797" t="str">
        <f t="shared" si="103"/>
        <v/>
      </c>
      <c r="AL377" s="286">
        <f t="shared" si="104"/>
        <v>43958</v>
      </c>
      <c r="AM377" s="287" t="str">
        <f>+IF($AL$310=Mars!$C$4,Mai!D10,Mai!D11)</f>
        <v>CP</v>
      </c>
      <c r="AN377" s="287" t="str">
        <f t="shared" si="108"/>
        <v/>
      </c>
      <c r="AO377" s="288" t="str">
        <f>+IF($AL$310=Mars!$C$4,Mai!W10,Mai!W13)</f>
        <v/>
      </c>
      <c r="AP377" s="287">
        <f>+IF($AL$310=Mars!$C$4,Mai!X10,Mai!X11)</f>
        <v>6.9</v>
      </c>
      <c r="AQ377" s="287" t="str">
        <f>+IF($AL$310=Mars!$C$4,Mai!AF10,Mai!AF11)</f>
        <v/>
      </c>
      <c r="AR377" s="288" t="str">
        <f t="shared" si="109"/>
        <v/>
      </c>
      <c r="AS377" s="288" t="str">
        <f>+IF($AL$310=Mars!$C$4,Mai!AE10,Mai!AE11)</f>
        <v/>
      </c>
      <c r="AT377" s="287">
        <f>+IF($AL$310=Mars!$C$4,Mai!J10,Mai!J11)</f>
        <v>0</v>
      </c>
      <c r="AU377" s="279" t="str">
        <f t="shared" si="110"/>
        <v/>
      </c>
      <c r="AV377" s="178" t="str">
        <f t="shared" si="111"/>
        <v/>
      </c>
      <c r="AW377" s="179" t="str">
        <f>+IF(WEEKDAY(AL379)=1,SUM(AU$253:AU377),"")</f>
        <v/>
      </c>
      <c r="AX377" s="386"/>
    </row>
    <row r="378" spans="37:55" ht="15">
      <c r="AK378" s="797" t="str">
        <f t="shared" si="103"/>
        <v/>
      </c>
      <c r="AL378" s="286">
        <f t="shared" si="104"/>
        <v>43959</v>
      </c>
      <c r="AM378" s="287">
        <f>+IF($AL$310=Mars!$C$4,Mai!D11,Mai!D12)</f>
        <v>0</v>
      </c>
      <c r="AN378" s="287" t="str">
        <f t="shared" si="108"/>
        <v/>
      </c>
      <c r="AO378" s="288" t="str">
        <f>+IF($AL$310=Mars!$C$4,Mai!W11,Mai!W14)</f>
        <v/>
      </c>
      <c r="AP378" s="287" t="str">
        <f>+IF($AL$310=Mars!$C$4,Mai!X11,Mai!X12)</f>
        <v/>
      </c>
      <c r="AQ378" s="287">
        <f>+IF($AL$310=Mars!$C$4,Mai!AF11,Mai!AF12)</f>
        <v>6.9</v>
      </c>
      <c r="AR378" s="288">
        <f t="shared" si="109"/>
        <v>6.9</v>
      </c>
      <c r="AS378" s="288" t="str">
        <f>+IF($AL$310=Mars!$C$4,Mai!AE11,Mai!AE12)</f>
        <v/>
      </c>
      <c r="AT378" s="287">
        <f>+IF($AL$310=Mars!$C$4,Mai!J11,Mai!J12)</f>
        <v>0</v>
      </c>
      <c r="AU378" s="279">
        <f t="shared" si="110"/>
        <v>27.6</v>
      </c>
      <c r="AV378" s="178">
        <f t="shared" si="111"/>
        <v>27.6</v>
      </c>
      <c r="AW378" s="179">
        <f>+IF(WEEKDAY(AL380)=1,SUM(AU$253:AU378),"")</f>
        <v>384</v>
      </c>
      <c r="AX378" s="386"/>
    </row>
    <row r="379" spans="37:55" ht="15">
      <c r="AK379" s="797" t="str">
        <f t="shared" si="103"/>
        <v/>
      </c>
      <c r="AL379" s="286">
        <f t="shared" si="104"/>
        <v>43960</v>
      </c>
      <c r="AM379" s="287">
        <f>+IF($AL$310=Mars!$C$4,Mai!D12,Mai!D13)</f>
        <v>0</v>
      </c>
      <c r="AN379" s="287" t="str">
        <f t="shared" si="108"/>
        <v/>
      </c>
      <c r="AO379" s="288" t="str">
        <f>+IF($AL$310=Mars!$C$4,Mai!W12,Mai!W15)</f>
        <v/>
      </c>
      <c r="AP379" s="287" t="str">
        <f>+IF($AL$310=Mars!$C$4,Mai!X12,Mai!X13)</f>
        <v/>
      </c>
      <c r="AQ379" s="287" t="str">
        <f>+IF($AL$310=Mars!$C$4,Mai!AF12,Mai!AF13)</f>
        <v/>
      </c>
      <c r="AR379" s="288" t="str">
        <f t="shared" si="109"/>
        <v/>
      </c>
      <c r="AS379" s="288" t="str">
        <f>+IF($AL$310=Mars!$C$4,Mai!AE12,Mai!AE13)</f>
        <v/>
      </c>
      <c r="AT379" s="287">
        <f>+IF($AL$310=Mars!$C$4,Mai!J12,Mai!J13)</f>
        <v>0</v>
      </c>
      <c r="AU379" s="279" t="str">
        <f t="shared" si="110"/>
        <v/>
      </c>
      <c r="AV379" s="178" t="str">
        <f t="shared" si="111"/>
        <v/>
      </c>
      <c r="AW379" s="179" t="str">
        <f>+IF(WEEKDAY(AL381)=1,SUM(AU$253:AU379),"")</f>
        <v/>
      </c>
      <c r="AX379" s="386"/>
    </row>
    <row r="380" spans="37:55" ht="15">
      <c r="AK380" s="797" t="str">
        <f t="shared" si="103"/>
        <v/>
      </c>
      <c r="AL380" s="286">
        <f t="shared" si="104"/>
        <v>43961</v>
      </c>
      <c r="AM380" s="287">
        <f>+IF($AL$310=Mars!$C$4,Mai!D13,Mai!D14)</f>
        <v>0</v>
      </c>
      <c r="AN380" s="287" t="str">
        <f t="shared" si="108"/>
        <v/>
      </c>
      <c r="AO380" s="288" t="str">
        <f>+IF($AL$310=Mars!$C$4,Mai!W13,Mai!W16)</f>
        <v/>
      </c>
      <c r="AP380" s="287" t="str">
        <f>+IF($AL$310=Mars!$C$4,Mai!X13,Mai!X14)</f>
        <v/>
      </c>
      <c r="AQ380" s="287" t="str">
        <f>+IF($AL$310=Mars!$C$4,Mai!AF13,Mai!AF14)</f>
        <v/>
      </c>
      <c r="AR380" s="288" t="str">
        <f t="shared" si="109"/>
        <v/>
      </c>
      <c r="AS380" s="288" t="str">
        <f>+IF($AL$310=Mars!$C$4,Mai!AE13,Mai!AE14)</f>
        <v/>
      </c>
      <c r="AT380" s="287">
        <f>+IF($AL$310=Mars!$C$4,Mai!J13,Mai!J14)</f>
        <v>0</v>
      </c>
      <c r="AU380" s="279" t="str">
        <f t="shared" si="110"/>
        <v/>
      </c>
      <c r="AV380" s="178" t="str">
        <f t="shared" si="111"/>
        <v/>
      </c>
      <c r="AW380" s="179" t="str">
        <f>+IF(WEEKDAY(AL382)=1,SUM(AU$253:AU380),"")</f>
        <v/>
      </c>
      <c r="AX380" s="386"/>
    </row>
    <row r="381" spans="37:55" ht="15">
      <c r="AK381" s="797" t="str">
        <f t="shared" si="103"/>
        <v/>
      </c>
      <c r="AL381" s="286">
        <f t="shared" si="104"/>
        <v>43962</v>
      </c>
      <c r="AM381" s="287">
        <f>+IF($AL$310=Mars!$C$4,Mai!D14,Mai!D15)</f>
        <v>0</v>
      </c>
      <c r="AN381" s="287" t="str">
        <f t="shared" si="108"/>
        <v/>
      </c>
      <c r="AO381" s="288" t="str">
        <f>+IF($AL$310=Mars!$C$4,Mai!W14,Mai!W17)</f>
        <v/>
      </c>
      <c r="AP381" s="287" t="str">
        <f>+IF($AL$310=Mars!$C$4,Mai!X14,Mai!X15)</f>
        <v/>
      </c>
      <c r="AQ381" s="287" t="str">
        <f>+IF($AL$310=Mars!$C$4,Mai!AF14,Mai!AF15)</f>
        <v/>
      </c>
      <c r="AR381" s="288" t="str">
        <f t="shared" si="109"/>
        <v/>
      </c>
      <c r="AS381" s="288" t="str">
        <f>+IF($AL$310=Mars!$C$4,Mai!AE14,Mai!AE15)</f>
        <v/>
      </c>
      <c r="AT381" s="287">
        <f>+IF($AL$310=Mars!$C$4,Mai!J14,Mai!J15)</f>
        <v>0</v>
      </c>
      <c r="AU381" s="279" t="str">
        <f t="shared" si="110"/>
        <v/>
      </c>
      <c r="AV381" s="178" t="str">
        <f t="shared" si="111"/>
        <v/>
      </c>
      <c r="AW381" s="179" t="str">
        <f>+IF(WEEKDAY(AL383)=1,SUM(AU$253:AU381),"")</f>
        <v/>
      </c>
      <c r="AX381" s="386"/>
    </row>
    <row r="382" spans="37:55" ht="15">
      <c r="AK382" s="797" t="str">
        <f t="shared" si="103"/>
        <v/>
      </c>
      <c r="AL382" s="286">
        <f t="shared" si="104"/>
        <v>43963</v>
      </c>
      <c r="AM382" s="287">
        <f>+IF($AL$310=Mars!$C$4,Mai!D15,Mai!D16)</f>
        <v>0</v>
      </c>
      <c r="AN382" s="287" t="str">
        <f t="shared" si="108"/>
        <v/>
      </c>
      <c r="AO382" s="288" t="str">
        <f>+IF($AL$310=Mars!$C$4,Mai!W15,Mai!W18)</f>
        <v/>
      </c>
      <c r="AP382" s="287" t="str">
        <f>+IF($AL$310=Mars!$C$4,Mai!X15,Mai!X16)</f>
        <v/>
      </c>
      <c r="AQ382" s="287" t="str">
        <f>+IF($AL$310=Mars!$C$4,Mai!AF15,Mai!AF16)</f>
        <v/>
      </c>
      <c r="AR382" s="288" t="str">
        <f t="shared" si="109"/>
        <v/>
      </c>
      <c r="AS382" s="288" t="str">
        <f>+IF($AL$310=Mars!$C$4,Mai!AE15,Mai!AE16)</f>
        <v/>
      </c>
      <c r="AT382" s="287">
        <f>+IF($AL$310=Mars!$C$4,Mai!J15,Mai!J16)</f>
        <v>0</v>
      </c>
      <c r="AU382" s="279" t="str">
        <f t="shared" si="110"/>
        <v/>
      </c>
      <c r="AV382" s="178" t="str">
        <f t="shared" si="111"/>
        <v/>
      </c>
      <c r="AW382" s="179" t="str">
        <f>+IF(WEEKDAY(AL384)=1,SUM(AU$253:AU382),"")</f>
        <v/>
      </c>
      <c r="AX382" s="386"/>
    </row>
    <row r="383" spans="37:55" ht="15">
      <c r="AK383" s="797" t="str">
        <f t="shared" si="103"/>
        <v/>
      </c>
      <c r="AL383" s="286">
        <f t="shared" si="104"/>
        <v>43964</v>
      </c>
      <c r="AM383" s="287">
        <f>+IF($AL$310=Mars!$C$4,Mai!D16,Mai!D17)</f>
        <v>0</v>
      </c>
      <c r="AN383" s="287" t="str">
        <f t="shared" si="108"/>
        <v/>
      </c>
      <c r="AO383" s="288" t="str">
        <f>+IF($AL$310=Mars!$C$4,Mai!W16,Mai!W19)</f>
        <v/>
      </c>
      <c r="AP383" s="287" t="str">
        <f>+IF($AL$310=Mars!$C$4,Mai!X16,Mai!X17)</f>
        <v/>
      </c>
      <c r="AQ383" s="287" t="str">
        <f>+IF($AL$310=Mars!$C$4,Mai!AF16,Mai!AF17)</f>
        <v/>
      </c>
      <c r="AR383" s="288" t="str">
        <f t="shared" si="109"/>
        <v/>
      </c>
      <c r="AS383" s="288" t="str">
        <f>+IF($AL$310=Mars!$C$4,Mai!AE16,Mai!AE17)</f>
        <v/>
      </c>
      <c r="AT383" s="287">
        <f>+IF($AL$310=Mars!$C$4,Mai!J16,Mai!J17)</f>
        <v>0</v>
      </c>
      <c r="AU383" s="279" t="str">
        <f t="shared" si="110"/>
        <v/>
      </c>
      <c r="AV383" s="178" t="str">
        <f t="shared" si="111"/>
        <v/>
      </c>
      <c r="AW383" s="179" t="str">
        <f>+IF(WEEKDAY(AL385)=1,SUM(AU$253:AU383),"")</f>
        <v/>
      </c>
      <c r="AX383" s="386"/>
    </row>
    <row r="384" spans="37:55" ht="15">
      <c r="AK384" s="797" t="str">
        <f t="shared" si="103"/>
        <v/>
      </c>
      <c r="AL384" s="286">
        <f t="shared" si="104"/>
        <v>43965</v>
      </c>
      <c r="AM384" s="287">
        <f>+IF($AL$310=Mars!$C$4,Mai!D17,Mai!D18)</f>
        <v>0</v>
      </c>
      <c r="AN384" s="287" t="str">
        <f t="shared" si="108"/>
        <v/>
      </c>
      <c r="AO384" s="288" t="str">
        <f>+IF($AL$310=Mars!$C$4,Mai!W17,Mai!W20)</f>
        <v/>
      </c>
      <c r="AP384" s="287" t="str">
        <f>+IF($AL$310=Mars!$C$4,Mai!X17,Mai!X18)</f>
        <v/>
      </c>
      <c r="AQ384" s="287" t="str">
        <f>+IF($AL$310=Mars!$C$4,Mai!AF17,Mai!AF18)</f>
        <v/>
      </c>
      <c r="AR384" s="288" t="str">
        <f t="shared" si="109"/>
        <v/>
      </c>
      <c r="AS384" s="288" t="str">
        <f>+IF($AL$310=Mars!$C$4,Mai!AE17,Mai!AE18)</f>
        <v/>
      </c>
      <c r="AT384" s="287">
        <f>+IF($AL$310=Mars!$C$4,Mai!J17,Mai!J18)</f>
        <v>0</v>
      </c>
      <c r="AU384" s="279" t="str">
        <f t="shared" si="110"/>
        <v/>
      </c>
      <c r="AV384" s="178" t="str">
        <f t="shared" si="111"/>
        <v/>
      </c>
      <c r="AW384" s="179" t="str">
        <f>+IF(WEEKDAY(AL386)=1,SUM(AU$253:AU384),"")</f>
        <v/>
      </c>
      <c r="AX384" s="386"/>
    </row>
    <row r="385" spans="37:56" ht="15">
      <c r="AK385" s="797" t="str">
        <f t="shared" si="103"/>
        <v/>
      </c>
      <c r="AL385" s="286">
        <f t="shared" si="104"/>
        <v>43966</v>
      </c>
      <c r="AM385" s="287">
        <f>+IF($AL$310=Mars!$C$4,Mai!D18,Mai!D19)</f>
        <v>0</v>
      </c>
      <c r="AN385" s="287" t="str">
        <f t="shared" si="108"/>
        <v/>
      </c>
      <c r="AO385" s="288" t="str">
        <f>+IF($AL$310=Mars!$C$4,Mai!W18,Mai!W21)</f>
        <v/>
      </c>
      <c r="AP385" s="287" t="str">
        <f>+IF($AL$310=Mars!$C$4,Mai!X18,Mai!X19)</f>
        <v/>
      </c>
      <c r="AQ385" s="287" t="str">
        <f>+IF($AL$310=Mars!$C$4,Mai!AF18,Mai!AF19)</f>
        <v/>
      </c>
      <c r="AR385" s="288" t="str">
        <f t="shared" si="109"/>
        <v/>
      </c>
      <c r="AS385" s="288" t="str">
        <f>+IF($AL$310=Mars!$C$4,Mai!AE18,Mai!AE19)</f>
        <v/>
      </c>
      <c r="AT385" s="287">
        <f>+IF($AL$310=Mars!$C$4,Mai!J18,Mai!J19)</f>
        <v>0</v>
      </c>
      <c r="AU385" s="279">
        <f t="shared" si="110"/>
        <v>0</v>
      </c>
      <c r="AV385" s="178">
        <f t="shared" si="111"/>
        <v>0</v>
      </c>
      <c r="AW385" s="179">
        <f>+IF(WEEKDAY(AL387)=1,SUM(AU$253:AU385),"")</f>
        <v>384</v>
      </c>
      <c r="AX385" s="386"/>
    </row>
    <row r="386" spans="37:56" ht="15">
      <c r="AK386" s="797" t="str">
        <f t="shared" si="103"/>
        <v/>
      </c>
      <c r="AL386" s="286">
        <f t="shared" si="104"/>
        <v>43967</v>
      </c>
      <c r="AM386" s="287">
        <f>+IF($AL$310=Mars!$C$4,Mai!D19,Mai!D20)</f>
        <v>0</v>
      </c>
      <c r="AN386" s="287" t="str">
        <f t="shared" si="108"/>
        <v/>
      </c>
      <c r="AO386" s="288" t="str">
        <f>+IF($AL$310=Mars!$C$4,Mai!W19,Mai!W22)</f>
        <v/>
      </c>
      <c r="AP386" s="287" t="str">
        <f>+IF($AL$310=Mars!$C$4,Mai!X19,Mai!X20)</f>
        <v/>
      </c>
      <c r="AQ386" s="287" t="str">
        <f>+IF($AL$310=Mars!$C$4,Mai!AF19,Mai!AF20)</f>
        <v/>
      </c>
      <c r="AR386" s="288" t="str">
        <f t="shared" si="109"/>
        <v/>
      </c>
      <c r="AS386" s="288" t="str">
        <f>+IF($AL$310=Mars!$C$4,Mai!AE19,Mai!AE20)</f>
        <v/>
      </c>
      <c r="AT386" s="287">
        <f>+IF($AL$310=Mars!$C$4,Mai!J19,Mai!J20)</f>
        <v>0</v>
      </c>
      <c r="AU386" s="279" t="str">
        <f t="shared" si="110"/>
        <v/>
      </c>
      <c r="AV386" s="178" t="str">
        <f t="shared" si="111"/>
        <v/>
      </c>
      <c r="AW386" s="179" t="str">
        <f>+IF(WEEKDAY(AL388)=1,SUM(AU$253:AU386),"")</f>
        <v/>
      </c>
      <c r="AX386" s="386"/>
    </row>
    <row r="387" spans="37:56" ht="15">
      <c r="AK387" s="797" t="str">
        <f t="shared" si="103"/>
        <v/>
      </c>
      <c r="AL387" s="286">
        <f t="shared" si="104"/>
        <v>43968</v>
      </c>
      <c r="AM387" s="287">
        <f>+IF($AL$310=Mars!$C$4,Mai!D20,Mai!D21)</f>
        <v>0</v>
      </c>
      <c r="AN387" s="287" t="str">
        <f t="shared" si="108"/>
        <v/>
      </c>
      <c r="AO387" s="288" t="str">
        <f>+IF($AL$310=Mars!$C$4,Mai!W20,Mai!W23)</f>
        <v/>
      </c>
      <c r="AP387" s="287" t="str">
        <f>+IF($AL$310=Mars!$C$4,Mai!X20,Mai!X21)</f>
        <v/>
      </c>
      <c r="AQ387" s="287" t="str">
        <f>+IF($AL$310=Mars!$C$4,Mai!AF20,Mai!AF21)</f>
        <v/>
      </c>
      <c r="AR387" s="288" t="str">
        <f t="shared" si="109"/>
        <v/>
      </c>
      <c r="AS387" s="288" t="str">
        <f>+IF($AL$310=Mars!$C$4,Mai!AE20,Mai!AE21)</f>
        <v/>
      </c>
      <c r="AT387" s="287">
        <f>+IF($AL$310=Mars!$C$4,Mai!J20,Mai!J21)</f>
        <v>0</v>
      </c>
      <c r="AU387" s="279" t="str">
        <f t="shared" si="110"/>
        <v/>
      </c>
      <c r="AV387" s="178" t="str">
        <f t="shared" si="111"/>
        <v/>
      </c>
      <c r="AW387" s="179" t="str">
        <f>+IF(WEEKDAY(AL389)=1,SUM(AU$253:AU387),"")</f>
        <v/>
      </c>
      <c r="AX387" s="386"/>
    </row>
    <row r="388" spans="37:56" ht="15">
      <c r="AK388" s="797">
        <f t="shared" si="103"/>
        <v>1</v>
      </c>
      <c r="AL388" s="286">
        <f t="shared" si="104"/>
        <v>43969</v>
      </c>
      <c r="AM388" s="287">
        <f>+IF($AL$310=Mars!$C$4,Mai!D21,Mai!D22)</f>
        <v>0</v>
      </c>
      <c r="AN388" s="287" t="str">
        <f t="shared" si="108"/>
        <v/>
      </c>
      <c r="AO388" s="288" t="str">
        <f>+IF($AL$310=Mars!$C$4,Mai!W21,Mai!W24)</f>
        <v/>
      </c>
      <c r="AP388" s="287" t="str">
        <f>+IF($AL$310=Mars!$C$4,Mai!X21,Mai!X22)</f>
        <v/>
      </c>
      <c r="AQ388" s="287" t="str">
        <f>+IF($AL$310=Mars!$C$4,Mai!AF21,Mai!AF22)</f>
        <v/>
      </c>
      <c r="AR388" s="288" t="str">
        <f t="shared" si="109"/>
        <v/>
      </c>
      <c r="AS388" s="288" t="str">
        <f>+IF($AL$310=Mars!$C$4,Mai!AE21,Mai!AE22)</f>
        <v/>
      </c>
      <c r="AT388" s="287">
        <f>+IF($AL$310=Mars!$C$4,Mai!J21,Mai!J22)</f>
        <v>0</v>
      </c>
      <c r="AU388" s="279" t="str">
        <f t="shared" si="110"/>
        <v/>
      </c>
      <c r="AV388" s="178" t="str">
        <f t="shared" si="111"/>
        <v/>
      </c>
      <c r="AW388" s="179" t="str">
        <f>+IF(WEEKDAY(AL390)=1,SUM(AU$253:AU388),"")</f>
        <v/>
      </c>
      <c r="AX388" s="386"/>
    </row>
    <row r="389" spans="37:56" ht="15">
      <c r="AK389" s="797" t="str">
        <f t="shared" si="103"/>
        <v/>
      </c>
      <c r="AL389" s="286">
        <f t="shared" si="104"/>
        <v>43970</v>
      </c>
      <c r="AM389" s="287">
        <f>+IF($AL$310=Mars!$C$4,Mai!D22,Mai!D23)</f>
        <v>0</v>
      </c>
      <c r="AN389" s="287" t="str">
        <f t="shared" si="108"/>
        <v/>
      </c>
      <c r="AO389" s="288" t="str">
        <f>+IF($AL$310=Mars!$C$4,Mai!W22,Mai!W25)</f>
        <v/>
      </c>
      <c r="AP389" s="287" t="str">
        <f>+IF($AL$310=Mars!$C$4,Mai!X22,Mai!X23)</f>
        <v/>
      </c>
      <c r="AQ389" s="287" t="str">
        <f>+IF($AL$310=Mars!$C$4,Mai!AF22,Mai!AF23)</f>
        <v/>
      </c>
      <c r="AR389" s="288" t="str">
        <f t="shared" si="109"/>
        <v/>
      </c>
      <c r="AS389" s="288" t="str">
        <f>+IF($AL$310=Mars!$C$4,Mai!AE22,Mai!AE23)</f>
        <v/>
      </c>
      <c r="AT389" s="287">
        <f>+IF($AL$310=Mars!$C$4,Mai!J22,Mai!J23)</f>
        <v>0</v>
      </c>
      <c r="AU389" s="279" t="str">
        <f t="shared" si="110"/>
        <v/>
      </c>
      <c r="AV389" s="178" t="str">
        <f t="shared" si="111"/>
        <v/>
      </c>
      <c r="AW389" s="179" t="str">
        <f>+IF(WEEKDAY(AL391)=1,SUM(AU$253:AU389),"")</f>
        <v/>
      </c>
      <c r="AX389" s="386"/>
    </row>
    <row r="390" spans="37:56" ht="15">
      <c r="AK390" s="797" t="str">
        <f t="shared" si="103"/>
        <v/>
      </c>
      <c r="AL390" s="286">
        <f t="shared" si="104"/>
        <v>43971</v>
      </c>
      <c r="AM390" s="287">
        <f>+IF($AL$310=Mars!$C$4,Mai!D23,Mai!D24)</f>
        <v>0</v>
      </c>
      <c r="AN390" s="287" t="str">
        <f t="shared" si="108"/>
        <v/>
      </c>
      <c r="AO390" s="288" t="str">
        <f>+IF($AL$310=Mars!$C$4,Mai!W23,Mai!W26)</f>
        <v/>
      </c>
      <c r="AP390" s="287" t="str">
        <f>+IF($AL$310=Mars!$C$4,Mai!X23,Mai!X24)</f>
        <v/>
      </c>
      <c r="AQ390" s="287" t="str">
        <f>+IF($AL$310=Mars!$C$4,Mai!AF23,Mai!AF24)</f>
        <v/>
      </c>
      <c r="AR390" s="288" t="str">
        <f t="shared" si="109"/>
        <v/>
      </c>
      <c r="AS390" s="288" t="str">
        <f>+IF($AL$310=Mars!$C$4,Mai!AE23,Mai!AE24)</f>
        <v/>
      </c>
      <c r="AT390" s="287">
        <f>+IF($AL$310=Mars!$C$4,Mai!J23,Mai!J24)</f>
        <v>0</v>
      </c>
      <c r="AU390" s="279" t="str">
        <f t="shared" si="110"/>
        <v/>
      </c>
      <c r="AV390" s="178" t="str">
        <f t="shared" si="111"/>
        <v/>
      </c>
      <c r="AW390" s="179" t="str">
        <f>+IF(WEEKDAY(AL392)=1,SUM(AU$253:AU390),"")</f>
        <v/>
      </c>
      <c r="AX390" s="386"/>
    </row>
    <row r="391" spans="37:56" ht="15">
      <c r="AK391" s="797" t="str">
        <f t="shared" si="103"/>
        <v/>
      </c>
      <c r="AL391" s="286">
        <f t="shared" si="104"/>
        <v>43972</v>
      </c>
      <c r="AM391" s="287">
        <f>+IF($AL$310=Mars!$C$4,Mai!D24,Mai!D25)</f>
        <v>0</v>
      </c>
      <c r="AN391" s="287" t="str">
        <f t="shared" si="108"/>
        <v/>
      </c>
      <c r="AO391" s="288" t="str">
        <f>+IF($AL$310=Mars!$C$4,Mai!W24,Mai!W27)</f>
        <v/>
      </c>
      <c r="AP391" s="287" t="str">
        <f>+IF($AL$310=Mars!$C$4,Mai!X24,Mai!X25)</f>
        <v/>
      </c>
      <c r="AQ391" s="287">
        <f>+IF($AL$310=Mars!$C$4,Mai!AF24,Mai!AF25)</f>
        <v>6.9</v>
      </c>
      <c r="AR391" s="288">
        <f t="shared" si="109"/>
        <v>6.9</v>
      </c>
      <c r="AS391" s="288" t="str">
        <f>+IF($AL$310=Mars!$C$4,Mai!AE24,Mai!AE25)</f>
        <v/>
      </c>
      <c r="AT391" s="287">
        <f>+IF($AL$310=Mars!$C$4,Mai!J24,Mai!J25)</f>
        <v>0</v>
      </c>
      <c r="AU391" s="279" t="str">
        <f t="shared" si="110"/>
        <v/>
      </c>
      <c r="AV391" s="178" t="str">
        <f t="shared" si="111"/>
        <v/>
      </c>
      <c r="AW391" s="179" t="str">
        <f>+IF(WEEKDAY(AL393)=1,SUM(AU$253:AU391),"")</f>
        <v/>
      </c>
      <c r="AX391" s="386"/>
    </row>
    <row r="392" spans="37:56" ht="15">
      <c r="AK392" s="797" t="str">
        <f t="shared" si="103"/>
        <v/>
      </c>
      <c r="AL392" s="286">
        <f t="shared" si="104"/>
        <v>43973</v>
      </c>
      <c r="AM392" s="287">
        <f>+IF($AL$310=Mars!$C$4,Mai!D25,Mai!D26)</f>
        <v>0</v>
      </c>
      <c r="AN392" s="287" t="str">
        <f t="shared" si="108"/>
        <v/>
      </c>
      <c r="AO392" s="288" t="str">
        <f>+IF($AL$310=Mars!$C$4,Mai!W25,Mai!W28)</f>
        <v/>
      </c>
      <c r="AP392" s="287" t="str">
        <f>+IF($AL$310=Mars!$C$4,Mai!X25,Mai!X26)</f>
        <v/>
      </c>
      <c r="AQ392" s="287" t="str">
        <f>+IF($AL$310=Mars!$C$4,Mai!AF25,Mai!AF26)</f>
        <v/>
      </c>
      <c r="AR392" s="288" t="str">
        <f t="shared" si="109"/>
        <v/>
      </c>
      <c r="AS392" s="288" t="str">
        <f>+IF($AL$310=Mars!$C$4,Mai!AE25,Mai!AE26)</f>
        <v/>
      </c>
      <c r="AT392" s="287">
        <f>+IF($AL$310=Mars!$C$4,Mai!J25,Mai!J26)</f>
        <v>0</v>
      </c>
      <c r="AU392" s="279">
        <f t="shared" si="110"/>
        <v>0</v>
      </c>
      <c r="AV392" s="178">
        <f t="shared" si="111"/>
        <v>0</v>
      </c>
      <c r="AW392" s="179">
        <f>+IF(WEEKDAY(AL394)=1,SUM(AU$253:AU392),"")</f>
        <v>384</v>
      </c>
      <c r="AX392" s="386"/>
    </row>
    <row r="393" spans="37:56" ht="15">
      <c r="AK393" s="797" t="str">
        <f t="shared" si="103"/>
        <v/>
      </c>
      <c r="AL393" s="286">
        <f t="shared" si="104"/>
        <v>43974</v>
      </c>
      <c r="AM393" s="287">
        <f>+IF($AL$310=Mars!$C$4,Mai!D26,Mai!D27)</f>
        <v>0</v>
      </c>
      <c r="AN393" s="287" t="str">
        <f t="shared" si="108"/>
        <v/>
      </c>
      <c r="AO393" s="288" t="str">
        <f>+IF($AL$310=Mars!$C$4,Mai!W26,Mai!W29)</f>
        <v/>
      </c>
      <c r="AP393" s="287" t="str">
        <f>+IF($AL$310=Mars!$C$4,Mai!X26,Mai!X27)</f>
        <v/>
      </c>
      <c r="AQ393" s="287" t="str">
        <f>+IF($AL$310=Mars!$C$4,Mai!AF26,Mai!AF27)</f>
        <v/>
      </c>
      <c r="AR393" s="288" t="str">
        <f t="shared" si="109"/>
        <v/>
      </c>
      <c r="AS393" s="288" t="str">
        <f>+IF($AL$310=Mars!$C$4,Mai!AE26,Mai!AE27)</f>
        <v/>
      </c>
      <c r="AT393" s="287">
        <f>+IF($AL$310=Mars!$C$4,Mai!J26,Mai!J27)</f>
        <v>0</v>
      </c>
      <c r="AU393" s="279" t="str">
        <f t="shared" si="110"/>
        <v/>
      </c>
      <c r="AV393" s="178" t="str">
        <f t="shared" si="111"/>
        <v/>
      </c>
      <c r="AW393" s="179" t="str">
        <f>+IF(WEEKDAY(AL395)=1,SUM(AU$253:AU393),"")</f>
        <v/>
      </c>
      <c r="AX393" s="386"/>
    </row>
    <row r="394" spans="37:56" ht="15">
      <c r="AK394" s="797" t="str">
        <f t="shared" si="103"/>
        <v/>
      </c>
      <c r="AL394" s="286">
        <f t="shared" si="104"/>
        <v>43975</v>
      </c>
      <c r="AM394" s="287">
        <f>+IF($AL$310=Mars!$C$4,Mai!D27,Mai!D28)</f>
        <v>0</v>
      </c>
      <c r="AN394" s="287" t="str">
        <f t="shared" si="108"/>
        <v/>
      </c>
      <c r="AO394" s="288" t="str">
        <f>+IF($AL$310=Mars!$C$4,Mai!W27,Mai!W30)</f>
        <v/>
      </c>
      <c r="AP394" s="287" t="str">
        <f>+IF($AL$310=Mars!$C$4,Mai!X27,Mai!X28)</f>
        <v/>
      </c>
      <c r="AQ394" s="287" t="str">
        <f>+IF($AL$310=Mars!$C$4,Mai!AF27,Mai!AF28)</f>
        <v/>
      </c>
      <c r="AR394" s="288" t="str">
        <f t="shared" si="109"/>
        <v/>
      </c>
      <c r="AS394" s="288" t="str">
        <f>+IF($AL$310=Mars!$C$4,Mai!AE27,Mai!AE28)</f>
        <v/>
      </c>
      <c r="AT394" s="287">
        <f>+IF($AL$310=Mars!$C$4,Mai!J27,Mai!J28)</f>
        <v>0</v>
      </c>
      <c r="AU394" s="279" t="str">
        <f t="shared" si="110"/>
        <v/>
      </c>
      <c r="AV394" s="178" t="str">
        <f t="shared" si="111"/>
        <v/>
      </c>
      <c r="AW394" s="179" t="str">
        <f>+IF(WEEKDAY(AL396)=1,SUM(AU$253:AU394),"")</f>
        <v/>
      </c>
      <c r="AX394" s="386"/>
    </row>
    <row r="395" spans="37:56" ht="15">
      <c r="AK395" s="797" t="str">
        <f t="shared" si="103"/>
        <v/>
      </c>
      <c r="AL395" s="286">
        <f t="shared" si="104"/>
        <v>43976</v>
      </c>
      <c r="AM395" s="287">
        <f>+IF($AL$310=Mars!$C$4,Mai!D28,Mai!D29)</f>
        <v>0</v>
      </c>
      <c r="AN395" s="287" t="str">
        <f t="shared" si="108"/>
        <v/>
      </c>
      <c r="AO395" s="288" t="str">
        <f>+IF($AL$310=Mars!$C$4,Mai!W28,Mai!W31)</f>
        <v/>
      </c>
      <c r="AP395" s="287" t="str">
        <f>+IF($AL$310=Mars!$C$4,Mai!X28,Mai!X29)</f>
        <v/>
      </c>
      <c r="AQ395" s="287" t="str">
        <f>+IF($AL$310=Mars!$C$4,Mai!AF28,Mai!AF29)</f>
        <v/>
      </c>
      <c r="AR395" s="288" t="str">
        <f t="shared" si="109"/>
        <v/>
      </c>
      <c r="AS395" s="288" t="str">
        <f>+IF($AL$310=Mars!$C$4,Mai!AE28,Mai!AE29)</f>
        <v/>
      </c>
      <c r="AT395" s="287">
        <f>+IF($AL$310=Mars!$C$4,Mai!J28,Mai!J29)</f>
        <v>0</v>
      </c>
      <c r="AU395" s="279" t="str">
        <f t="shared" si="110"/>
        <v/>
      </c>
      <c r="AV395" s="178" t="str">
        <f t="shared" si="111"/>
        <v/>
      </c>
      <c r="AW395" s="179" t="str">
        <f>+IF(WEEKDAY(AL397)=1,SUM(AU$253:AU395),"")</f>
        <v/>
      </c>
      <c r="AX395" s="386"/>
    </row>
    <row r="396" spans="37:56" ht="15">
      <c r="AK396" s="797" t="str">
        <f t="shared" si="103"/>
        <v/>
      </c>
      <c r="AL396" s="286">
        <f t="shared" si="104"/>
        <v>43977</v>
      </c>
      <c r="AM396" s="287">
        <f>+IF($AL$310=Mars!$C$4,Mai!D29,Mai!D30)</f>
        <v>0</v>
      </c>
      <c r="AN396" s="287" t="str">
        <f t="shared" si="108"/>
        <v/>
      </c>
      <c r="AO396" s="288" t="str">
        <f>+IF($AL$310=Mars!$C$4,Mai!W29,Mai!W32)</f>
        <v/>
      </c>
      <c r="AP396" s="287" t="str">
        <f>+IF($AL$310=Mars!$C$4,Mai!X29,Mai!X30)</f>
        <v/>
      </c>
      <c r="AQ396" s="287" t="str">
        <f>+IF($AL$310=Mars!$C$4,Mai!AF29,Mai!AF30)</f>
        <v/>
      </c>
      <c r="AR396" s="288" t="str">
        <f t="shared" si="109"/>
        <v/>
      </c>
      <c r="AS396" s="288" t="str">
        <f>+IF($AL$310=Mars!$C$4,Mai!AE29,Mai!AE30)</f>
        <v/>
      </c>
      <c r="AT396" s="287">
        <f>+IF($AL$310=Mars!$C$4,Mai!J29,Mai!J30)</f>
        <v>0</v>
      </c>
      <c r="AU396" s="279" t="str">
        <f t="shared" si="110"/>
        <v/>
      </c>
      <c r="AV396" s="178" t="str">
        <f t="shared" si="111"/>
        <v/>
      </c>
      <c r="AW396" s="179" t="str">
        <f>+IF(WEEKDAY(AL398)=1,SUM(AU$253:AU396),"")</f>
        <v/>
      </c>
      <c r="AX396" s="386"/>
    </row>
    <row r="397" spans="37:56" ht="15.75" thickBot="1">
      <c r="AK397" s="797" t="str">
        <f t="shared" si="103"/>
        <v/>
      </c>
      <c r="AL397" s="286">
        <f t="shared" si="104"/>
        <v>43978</v>
      </c>
      <c r="AM397" s="287">
        <f>+IF($AL$310=Mars!$C$4,Mai!D30,Mai!D31)</f>
        <v>0</v>
      </c>
      <c r="AN397" s="287" t="str">
        <f t="shared" si="108"/>
        <v/>
      </c>
      <c r="AO397" s="288" t="str">
        <f>+IF($AL$310=Mars!$C$4,Mai!W30,Mai!W33)</f>
        <v/>
      </c>
      <c r="AP397" s="287" t="str">
        <f>+IF($AL$310=Mars!$C$4,Mai!X30,Mai!X31)</f>
        <v/>
      </c>
      <c r="AQ397" s="287" t="str">
        <f>+IF($AL$310=Mars!$C$4,Mai!AF30,Mai!AF31)</f>
        <v/>
      </c>
      <c r="AR397" s="288" t="str">
        <f t="shared" si="109"/>
        <v/>
      </c>
      <c r="AS397" s="288" t="str">
        <f>+IF($AL$310=Mars!$C$4,Mai!AE30,Mai!AE31)</f>
        <v/>
      </c>
      <c r="AT397" s="287">
        <f>+IF($AL$310=Mars!$C$4,Mai!J30,Mai!J31)</f>
        <v>0</v>
      </c>
      <c r="AU397" s="279" t="str">
        <f t="shared" si="110"/>
        <v/>
      </c>
      <c r="AV397" s="178" t="str">
        <f t="shared" si="111"/>
        <v/>
      </c>
      <c r="AW397" s="179" t="str">
        <f>+IF(WEEKDAY(AL399)=1,SUM(AU$253:AU397),"")</f>
        <v/>
      </c>
      <c r="AX397" s="386"/>
    </row>
    <row r="398" spans="37:56" ht="15.75" thickBot="1">
      <c r="AK398" s="797" t="str">
        <f t="shared" si="103"/>
        <v/>
      </c>
      <c r="AL398" s="286">
        <f t="shared" si="104"/>
        <v>43979</v>
      </c>
      <c r="AM398" s="287">
        <f>+IF($AL$310=Mars!$C$4,Mai!D31,Mai!D32)</f>
        <v>0</v>
      </c>
      <c r="AN398" s="287" t="str">
        <f t="shared" si="108"/>
        <v/>
      </c>
      <c r="AO398" s="288" t="str">
        <f>+IF($AL$310=Mars!$C$4,Mai!W31,Mai!W34)</f>
        <v/>
      </c>
      <c r="AP398" s="287" t="str">
        <f>+IF($AL$310=Mars!$C$4,Mai!X31,Mai!X32)</f>
        <v/>
      </c>
      <c r="AQ398" s="287" t="str">
        <f>+IF($AL$310=Mars!$C$4,Mai!AF31,Mai!AF32)</f>
        <v/>
      </c>
      <c r="AR398" s="288" t="str">
        <f t="shared" si="109"/>
        <v/>
      </c>
      <c r="AS398" s="288" t="str">
        <f>+IF($AL$310=Mars!$C$4,Mai!AE31,Mai!AE32)</f>
        <v/>
      </c>
      <c r="AT398" s="287">
        <f>+IF($AL$310=Mars!$C$4,Mai!J31,Mai!J32)</f>
        <v>0</v>
      </c>
      <c r="AU398" s="279" t="str">
        <f t="shared" si="110"/>
        <v/>
      </c>
      <c r="AV398" s="178" t="str">
        <f t="shared" si="111"/>
        <v/>
      </c>
      <c r="AW398" s="179" t="str">
        <f>+IF(WEEKDAY(AL400)=1,SUM(AU$253:AU398),"")</f>
        <v/>
      </c>
      <c r="AX398" s="223">
        <f>+IF(WEEKDAY($AL$24)=1,SUM(AN360:AN387),IF(WEEKDAY($AL$25)=1,SUM(AN361:AN388),IF(WEEKDAY($AL$26)=1,SUM(AN362:AN389),IF(WEEKDAY($AL$27)=1,SUM(AN363:AN390),IF(WEEKDAY($AL$28)=1,SUM(AN364:AN391),IF(WEEKDAY($AL$29)=1,SUM(AN365:AN392),IF(WEEKDAY($AL$30)=1,SUM(AN366:AN393),"")))))))</f>
        <v>0</v>
      </c>
      <c r="AY398" s="223">
        <f>+IF(WEEKDAY($AL$24)=1,SUM(AO360:AO387),IF(WEEKDAY($AL$25)=1,SUM(AO361:AO388),IF(WEEKDAY($AL$26)=1,SUM(AO362:AO389),IF(WEEKDAY($AL$27)=1,SUM(AO363:AO390),IF(WEEKDAY($AL$28)=1,SUM(AO364:AO391),IF(WEEKDAY($AL$29)=1,SUM(AO365:AO392),IF(WEEKDAY($AL$30)=1,SUM(AO366:AO393),"")))))))</f>
        <v>0</v>
      </c>
      <c r="AZ398" s="223">
        <f t="shared" ref="AZ398:BD398" si="112">+IF(WEEKDAY($AL$24)=1,SUM(AP360:AP387),IF(WEEKDAY($AL$25)=1,SUM(AP361:AP388),IF(WEEKDAY($AL$26)=1,SUM(AP362:AP389),IF(WEEKDAY($AL$27)=1,SUM(AP363:AP390),IF(WEEKDAY($AL$28)=1,SUM(AP364:AP391),IF(WEEKDAY($AL$29)=1,SUM(AP365:AP392),IF(WEEKDAY($AL$30)=1,SUM(AP366:AP393),"")))))))</f>
        <v>27.6</v>
      </c>
      <c r="BA398" s="223">
        <f t="shared" si="112"/>
        <v>20.700000000000003</v>
      </c>
      <c r="BB398" s="223">
        <f t="shared" si="112"/>
        <v>20.700000000000003</v>
      </c>
      <c r="BC398" s="223">
        <f t="shared" si="112"/>
        <v>0</v>
      </c>
      <c r="BD398" s="223">
        <f t="shared" si="112"/>
        <v>0</v>
      </c>
    </row>
    <row r="399" spans="37:56" ht="15.75" thickBot="1">
      <c r="AK399" s="797" t="str">
        <f t="shared" si="103"/>
        <v/>
      </c>
      <c r="AL399" s="286">
        <f t="shared" si="104"/>
        <v>43980</v>
      </c>
      <c r="AM399" s="287">
        <f>+IF($AL$310=Mars!$C$4,Mai!D32,Mai!D33)</f>
        <v>0</v>
      </c>
      <c r="AN399" s="287" t="str">
        <f t="shared" si="108"/>
        <v/>
      </c>
      <c r="AO399" s="288" t="str">
        <f>+IF($AL$310=Mars!$C$4,Mai!W32,Mai!W35)</f>
        <v/>
      </c>
      <c r="AP399" s="287" t="str">
        <f>+IF($AL$310=Mars!$C$4,Mai!X32,Mai!X33)</f>
        <v/>
      </c>
      <c r="AQ399" s="287" t="str">
        <f>+IF($AL$310=Mars!$C$4,Mai!AF32,Mai!AF33)</f>
        <v/>
      </c>
      <c r="AR399" s="288" t="str">
        <f t="shared" si="109"/>
        <v/>
      </c>
      <c r="AS399" s="288" t="str">
        <f>+IF($AL$310=Mars!$C$4,Mai!AE32,Mai!AE33)</f>
        <v/>
      </c>
      <c r="AT399" s="287">
        <f>+IF($AL$310=Mars!$C$4,Mai!J32,Mai!J33)</f>
        <v>0</v>
      </c>
      <c r="AU399" s="279">
        <f t="shared" si="110"/>
        <v>0</v>
      </c>
      <c r="AV399" s="178">
        <f t="shared" si="111"/>
        <v>0</v>
      </c>
      <c r="AW399" s="179">
        <f>+IF(WEEKDAY(AL401)=1,SUM(AU$253:AU399),"")</f>
        <v>384</v>
      </c>
    </row>
    <row r="400" spans="37:56" ht="16.5" thickTop="1" thickBot="1">
      <c r="AK400" s="797" t="str">
        <f t="shared" si="103"/>
        <v/>
      </c>
      <c r="AL400" s="286">
        <f t="shared" si="104"/>
        <v>43981</v>
      </c>
      <c r="AM400" s="287">
        <f>+IF($AL$310=Mars!$C$4,Mai!D33,Mai!D34)</f>
        <v>0</v>
      </c>
      <c r="AN400" s="287" t="str">
        <f t="shared" ref="AN400" si="113">+IF(AM400=0,"",IF(AM400="CP","",1))</f>
        <v/>
      </c>
      <c r="AO400" s="288" t="str">
        <f>+IF($AL$310=Mars!$C$4,Mai!W33,Mai!W36)</f>
        <v/>
      </c>
      <c r="AP400" s="287" t="str">
        <f>+IF($AL$310=Mars!$C$4,Mai!X33,Mai!X34)</f>
        <v/>
      </c>
      <c r="AQ400" s="287" t="str">
        <f>+IF($AL$310=Mars!$C$4,Mai!AF33,Mai!AF34)</f>
        <v/>
      </c>
      <c r="AR400" s="288" t="str">
        <f t="shared" ref="AR400" si="114">+IF(AS400&lt;&gt;"","",AQ400)</f>
        <v/>
      </c>
      <c r="AS400" s="288" t="str">
        <f>+IF($AL$310=Mars!$C$4,Mai!AE33,Mai!AE34)</f>
        <v/>
      </c>
      <c r="AT400" s="287">
        <f>+IF($AL$310=Mars!$C$4,Mai!J33,Mai!J34)</f>
        <v>0</v>
      </c>
      <c r="AZ400" s="936" t="str">
        <f>+IF(WEEKDAY(AL$26)=1,"Fin cycle 13",IF(WEEKDAY(AL$27)=1,"Fin cycle 13",IF(WEEKDAY(AL$28)=1,"Fin cycle 13",IF(WEEKDAY(AL$29)=1,"Fin cycle 13",IF(WEEKDAY(AL$30)=1,"Fin cycle 13",IF(WEEKDAY(AL$31)=1,"Fin cycle 13",IF(WEEKDAY(AL$32)=1,"Fin cycle 13","")))))))</f>
        <v>Fin cycle 13</v>
      </c>
      <c r="BA400" s="937"/>
      <c r="BB400" s="275">
        <f>SUM(AY398:AZ398)</f>
        <v>27.6</v>
      </c>
      <c r="BC400" s="590"/>
    </row>
    <row r="401" spans="2:38" ht="15">
      <c r="AK401" s="797" t="str">
        <f t="shared" si="103"/>
        <v/>
      </c>
      <c r="AL401" s="542">
        <f t="shared" si="104"/>
        <v>43982</v>
      </c>
    </row>
    <row r="402" spans="2:38" ht="15">
      <c r="AK402" s="797" t="str">
        <f t="shared" si="103"/>
        <v/>
      </c>
      <c r="AL402" s="286">
        <f>+AL401+1</f>
        <v>43983</v>
      </c>
    </row>
    <row r="412" spans="2:38">
      <c r="B412" s="111"/>
    </row>
    <row r="413" spans="2:38">
      <c r="B413" s="111"/>
    </row>
    <row r="414" spans="2:38">
      <c r="B414" s="111"/>
    </row>
    <row r="415" spans="2:38">
      <c r="B415" s="111"/>
    </row>
    <row r="416" spans="2:38">
      <c r="B416" s="111"/>
    </row>
    <row r="417" spans="2:2">
      <c r="B417" s="111"/>
    </row>
    <row r="418" spans="2:2">
      <c r="B418" s="111"/>
    </row>
    <row r="419" spans="2:2">
      <c r="B419" s="111"/>
    </row>
    <row r="420" spans="2:2">
      <c r="B420" s="111"/>
    </row>
    <row r="421" spans="2:2">
      <c r="B421" s="111"/>
    </row>
    <row r="422" spans="2:2">
      <c r="B422" s="111"/>
    </row>
    <row r="423" spans="2:2">
      <c r="B423" s="111"/>
    </row>
    <row r="424" spans="2:2">
      <c r="B424" s="111"/>
    </row>
    <row r="425" spans="2:2">
      <c r="B425" s="111"/>
    </row>
    <row r="426" spans="2:2">
      <c r="B426" s="111"/>
    </row>
    <row r="427" spans="2:2">
      <c r="B427" s="111"/>
    </row>
    <row r="428" spans="2:2">
      <c r="B428" s="111"/>
    </row>
    <row r="429" spans="2:2">
      <c r="B429" s="111"/>
    </row>
    <row r="430" spans="2:2">
      <c r="B430" s="111"/>
    </row>
    <row r="431" spans="2:2">
      <c r="B431" s="111"/>
    </row>
    <row r="432" spans="2:2">
      <c r="B432" s="111"/>
    </row>
    <row r="433" spans="2:2">
      <c r="B433" s="111"/>
    </row>
    <row r="434" spans="2:2">
      <c r="B434" s="111"/>
    </row>
    <row r="435" spans="2:2">
      <c r="B435" s="111"/>
    </row>
    <row r="436" spans="2:2">
      <c r="B436" s="111"/>
    </row>
    <row r="437" spans="2:2">
      <c r="B437" s="111"/>
    </row>
    <row r="438" spans="2:2">
      <c r="B438" s="111"/>
    </row>
    <row r="439" spans="2:2">
      <c r="B439" s="111"/>
    </row>
    <row r="440" spans="2:2">
      <c r="B440" s="111"/>
    </row>
    <row r="441" spans="2:2">
      <c r="B441" s="111"/>
    </row>
    <row r="442" spans="2:2">
      <c r="B442" s="111"/>
    </row>
    <row r="443" spans="2:2">
      <c r="B443" s="111"/>
    </row>
    <row r="444" spans="2:2">
      <c r="B444" s="111"/>
    </row>
    <row r="445" spans="2:2">
      <c r="B445" s="111"/>
    </row>
    <row r="446" spans="2:2">
      <c r="B446" s="111"/>
    </row>
    <row r="447" spans="2:2">
      <c r="B447" s="111"/>
    </row>
    <row r="448" spans="2:2">
      <c r="B448" s="111"/>
    </row>
    <row r="449" spans="2:2">
      <c r="B449" s="111"/>
    </row>
    <row r="450" spans="2:2">
      <c r="B450" s="111"/>
    </row>
    <row r="451" spans="2:2">
      <c r="B451" s="111"/>
    </row>
    <row r="452" spans="2:2">
      <c r="B452" s="111"/>
    </row>
    <row r="453" spans="2:2">
      <c r="B453" s="111"/>
    </row>
    <row r="454" spans="2:2">
      <c r="B454" s="111"/>
    </row>
    <row r="455" spans="2:2">
      <c r="B455" s="111"/>
    </row>
    <row r="456" spans="2:2">
      <c r="B456" s="111"/>
    </row>
    <row r="457" spans="2:2">
      <c r="B457" s="111"/>
    </row>
    <row r="458" spans="2:2">
      <c r="B458" s="111"/>
    </row>
    <row r="459" spans="2:2">
      <c r="B459" s="111"/>
    </row>
    <row r="460" spans="2:2">
      <c r="B460" s="111"/>
    </row>
    <row r="461" spans="2:2">
      <c r="B461" s="111"/>
    </row>
    <row r="462" spans="2:2">
      <c r="B462" s="111"/>
    </row>
    <row r="463" spans="2:2">
      <c r="B463" s="111"/>
    </row>
    <row r="464" spans="2:2">
      <c r="B464" s="111"/>
    </row>
    <row r="465" spans="2:2">
      <c r="B465" s="111"/>
    </row>
    <row r="466" spans="2:2">
      <c r="B466" s="111"/>
    </row>
    <row r="467" spans="2:2">
      <c r="B467" s="111"/>
    </row>
    <row r="468" spans="2:2">
      <c r="B468" s="111"/>
    </row>
    <row r="469" spans="2:2">
      <c r="B469" s="111"/>
    </row>
    <row r="470" spans="2:2">
      <c r="B470" s="111"/>
    </row>
    <row r="471" spans="2:2">
      <c r="B471" s="111"/>
    </row>
    <row r="472" spans="2:2">
      <c r="B472" s="111"/>
    </row>
    <row r="473" spans="2:2">
      <c r="B473" s="111"/>
    </row>
    <row r="474" spans="2:2">
      <c r="B474" s="111"/>
    </row>
    <row r="475" spans="2:2">
      <c r="B475" s="111"/>
    </row>
    <row r="476" spans="2:2">
      <c r="B476" s="111"/>
    </row>
    <row r="477" spans="2:2">
      <c r="B477" s="111"/>
    </row>
    <row r="478" spans="2:2">
      <c r="B478" s="111"/>
    </row>
    <row r="479" spans="2:2">
      <c r="B479" s="111"/>
    </row>
    <row r="480" spans="2:2">
      <c r="B480" s="111"/>
    </row>
    <row r="481" spans="2:2">
      <c r="B481" s="111"/>
    </row>
    <row r="482" spans="2:2">
      <c r="B482" s="111"/>
    </row>
    <row r="483" spans="2:2">
      <c r="B483" s="111"/>
    </row>
    <row r="484" spans="2:2">
      <c r="B484" s="111"/>
    </row>
    <row r="485" spans="2:2">
      <c r="B485" s="111"/>
    </row>
    <row r="486" spans="2:2">
      <c r="B486" s="111"/>
    </row>
    <row r="487" spans="2:2">
      <c r="B487" s="111"/>
    </row>
    <row r="488" spans="2:2">
      <c r="B488" s="111"/>
    </row>
    <row r="489" spans="2:2">
      <c r="B489" s="111"/>
    </row>
    <row r="490" spans="2:2">
      <c r="B490" s="111"/>
    </row>
    <row r="491" spans="2:2">
      <c r="B491" s="111"/>
    </row>
    <row r="492" spans="2:2">
      <c r="B492" s="111"/>
    </row>
    <row r="493" spans="2:2">
      <c r="B493" s="111"/>
    </row>
    <row r="494" spans="2:2">
      <c r="B494" s="111"/>
    </row>
    <row r="495" spans="2:2">
      <c r="B495" s="111"/>
    </row>
    <row r="496" spans="2:2">
      <c r="B496" s="111"/>
    </row>
    <row r="497" spans="2:2">
      <c r="B497" s="111"/>
    </row>
    <row r="498" spans="2:2">
      <c r="B498" s="111"/>
    </row>
    <row r="499" spans="2:2">
      <c r="B499" s="111"/>
    </row>
    <row r="500" spans="2:2">
      <c r="B500" s="111"/>
    </row>
    <row r="501" spans="2:2">
      <c r="B501" s="111"/>
    </row>
    <row r="502" spans="2:2">
      <c r="B502" s="111"/>
    </row>
    <row r="503" spans="2:2">
      <c r="B503" s="111"/>
    </row>
    <row r="504" spans="2:2">
      <c r="B504" s="111"/>
    </row>
    <row r="505" spans="2:2">
      <c r="B505" s="111"/>
    </row>
    <row r="506" spans="2:2">
      <c r="B506" s="111"/>
    </row>
    <row r="507" spans="2:2">
      <c r="B507" s="111"/>
    </row>
    <row r="508" spans="2:2">
      <c r="B508" s="111"/>
    </row>
    <row r="509" spans="2:2">
      <c r="B509" s="111"/>
    </row>
    <row r="510" spans="2:2">
      <c r="B510" s="111"/>
    </row>
    <row r="511" spans="2:2">
      <c r="B511" s="111"/>
    </row>
    <row r="512" spans="2:2">
      <c r="B512" s="111"/>
    </row>
    <row r="513" spans="2:2">
      <c r="B513" s="111"/>
    </row>
    <row r="514" spans="2:2">
      <c r="B514" s="111"/>
    </row>
    <row r="515" spans="2:2">
      <c r="B515" s="111"/>
    </row>
    <row r="516" spans="2:2">
      <c r="B516" s="111"/>
    </row>
    <row r="517" spans="2:2">
      <c r="B517" s="111"/>
    </row>
    <row r="518" spans="2:2">
      <c r="B518" s="111"/>
    </row>
    <row r="519" spans="2:2">
      <c r="B519" s="111"/>
    </row>
    <row r="520" spans="2:2">
      <c r="B520" s="111"/>
    </row>
    <row r="521" spans="2:2">
      <c r="B521" s="111"/>
    </row>
    <row r="522" spans="2:2">
      <c r="B522" s="111"/>
    </row>
    <row r="523" spans="2:2">
      <c r="B523" s="111"/>
    </row>
    <row r="524" spans="2:2">
      <c r="B524" s="111"/>
    </row>
    <row r="525" spans="2:2">
      <c r="B525" s="111"/>
    </row>
    <row r="526" spans="2:2">
      <c r="B526" s="111"/>
    </row>
    <row r="527" spans="2:2">
      <c r="B527" s="111"/>
    </row>
    <row r="528" spans="2:2">
      <c r="B528" s="111"/>
    </row>
    <row r="529" spans="2:2">
      <c r="B529" s="111"/>
    </row>
    <row r="530" spans="2:2">
      <c r="B530" s="111"/>
    </row>
    <row r="531" spans="2:2">
      <c r="B531" s="111"/>
    </row>
    <row r="532" spans="2:2">
      <c r="B532" s="111"/>
    </row>
    <row r="533" spans="2:2">
      <c r="B533" s="111"/>
    </row>
    <row r="534" spans="2:2">
      <c r="B534" s="111"/>
    </row>
    <row r="535" spans="2:2">
      <c r="B535" s="111"/>
    </row>
    <row r="536" spans="2:2">
      <c r="B536" s="111"/>
    </row>
    <row r="537" spans="2:2">
      <c r="B537" s="111"/>
    </row>
    <row r="538" spans="2:2">
      <c r="B538" s="111"/>
    </row>
    <row r="539" spans="2:2">
      <c r="B539" s="111"/>
    </row>
    <row r="540" spans="2:2">
      <c r="B540" s="111"/>
    </row>
    <row r="541" spans="2:2">
      <c r="B541" s="111"/>
    </row>
    <row r="542" spans="2:2">
      <c r="B542" s="111"/>
    </row>
    <row r="543" spans="2:2">
      <c r="B543" s="111"/>
    </row>
    <row r="544" spans="2:2">
      <c r="B544" s="111"/>
    </row>
    <row r="545" spans="2:2">
      <c r="B545" s="111"/>
    </row>
    <row r="546" spans="2:2">
      <c r="B546" s="111"/>
    </row>
    <row r="547" spans="2:2">
      <c r="B547" s="111"/>
    </row>
    <row r="548" spans="2:2">
      <c r="B548" s="111"/>
    </row>
    <row r="549" spans="2:2">
      <c r="B549" s="111"/>
    </row>
    <row r="550" spans="2:2">
      <c r="B550" s="111"/>
    </row>
    <row r="551" spans="2:2">
      <c r="B551" s="111"/>
    </row>
    <row r="552" spans="2:2">
      <c r="B552" s="111"/>
    </row>
    <row r="553" spans="2:2">
      <c r="B553" s="111"/>
    </row>
    <row r="554" spans="2:2">
      <c r="B554" s="111"/>
    </row>
    <row r="555" spans="2:2">
      <c r="B555" s="111"/>
    </row>
    <row r="556" spans="2:2">
      <c r="B556" s="111"/>
    </row>
    <row r="557" spans="2:2">
      <c r="B557" s="111"/>
    </row>
    <row r="558" spans="2:2">
      <c r="B558" s="111"/>
    </row>
    <row r="559" spans="2:2">
      <c r="B559" s="111"/>
    </row>
    <row r="560" spans="2:2">
      <c r="B560" s="111"/>
    </row>
    <row r="561" spans="2:2">
      <c r="B561" s="111"/>
    </row>
    <row r="562" spans="2:2">
      <c r="B562" s="111"/>
    </row>
    <row r="563" spans="2:2">
      <c r="B563" s="111"/>
    </row>
    <row r="564" spans="2:2">
      <c r="B564" s="111"/>
    </row>
    <row r="565" spans="2:2">
      <c r="B565" s="111"/>
    </row>
    <row r="566" spans="2:2">
      <c r="B566" s="111"/>
    </row>
    <row r="567" spans="2:2">
      <c r="B567" s="111"/>
    </row>
    <row r="568" spans="2:2">
      <c r="B568" s="111"/>
    </row>
    <row r="569" spans="2:2">
      <c r="B569" s="111"/>
    </row>
    <row r="570" spans="2:2">
      <c r="B570" s="111"/>
    </row>
    <row r="571" spans="2:2">
      <c r="B571" s="111"/>
    </row>
    <row r="572" spans="2:2">
      <c r="B572" s="111"/>
    </row>
    <row r="573" spans="2:2">
      <c r="B573" s="111"/>
    </row>
    <row r="574" spans="2:2">
      <c r="B574" s="111"/>
    </row>
    <row r="575" spans="2:2">
      <c r="B575" s="111"/>
    </row>
    <row r="576" spans="2:2">
      <c r="B576" s="111"/>
    </row>
    <row r="577" spans="2:2">
      <c r="B577" s="111"/>
    </row>
    <row r="578" spans="2:2">
      <c r="B578" s="111"/>
    </row>
    <row r="579" spans="2:2">
      <c r="B579" s="111"/>
    </row>
    <row r="580" spans="2:2">
      <c r="B580" s="111"/>
    </row>
    <row r="581" spans="2:2">
      <c r="B581" s="111"/>
    </row>
    <row r="582" spans="2:2">
      <c r="B582" s="111"/>
    </row>
    <row r="583" spans="2:2">
      <c r="B583" s="111"/>
    </row>
    <row r="584" spans="2:2">
      <c r="B584" s="111"/>
    </row>
    <row r="585" spans="2:2">
      <c r="B585" s="111"/>
    </row>
    <row r="586" spans="2:2">
      <c r="B586" s="111"/>
    </row>
    <row r="587" spans="2:2">
      <c r="B587" s="111"/>
    </row>
    <row r="588" spans="2:2">
      <c r="B588" s="111"/>
    </row>
    <row r="589" spans="2:2">
      <c r="B589" s="111"/>
    </row>
    <row r="590" spans="2:2">
      <c r="B590" s="111"/>
    </row>
    <row r="591" spans="2:2">
      <c r="B591" s="111"/>
    </row>
    <row r="592" spans="2:2">
      <c r="B592" s="111"/>
    </row>
    <row r="593" spans="2:2">
      <c r="B593" s="111"/>
    </row>
    <row r="594" spans="2:2">
      <c r="B594" s="111"/>
    </row>
    <row r="595" spans="2:2">
      <c r="B595" s="111"/>
    </row>
    <row r="596" spans="2:2">
      <c r="B596" s="111"/>
    </row>
    <row r="597" spans="2:2">
      <c r="B597" s="111"/>
    </row>
    <row r="598" spans="2:2">
      <c r="B598" s="111"/>
    </row>
    <row r="599" spans="2:2">
      <c r="B599" s="111"/>
    </row>
    <row r="600" spans="2:2">
      <c r="B600" s="111"/>
    </row>
    <row r="601" spans="2:2">
      <c r="B601" s="111"/>
    </row>
    <row r="602" spans="2:2">
      <c r="B602" s="111"/>
    </row>
    <row r="603" spans="2:2">
      <c r="B603" s="111"/>
    </row>
    <row r="604" spans="2:2">
      <c r="B604" s="111"/>
    </row>
    <row r="605" spans="2:2">
      <c r="B605" s="111"/>
    </row>
    <row r="606" spans="2:2">
      <c r="B606" s="111"/>
    </row>
    <row r="607" spans="2:2">
      <c r="B607" s="111"/>
    </row>
    <row r="608" spans="2:2">
      <c r="B608" s="111"/>
    </row>
    <row r="609" spans="2:2">
      <c r="B609" s="111"/>
    </row>
    <row r="610" spans="2:2">
      <c r="B610" s="111"/>
    </row>
    <row r="611" spans="2:2">
      <c r="B611" s="111"/>
    </row>
    <row r="612" spans="2:2">
      <c r="B612" s="111"/>
    </row>
    <row r="613" spans="2:2">
      <c r="B613" s="111"/>
    </row>
    <row r="614" spans="2:2">
      <c r="B614" s="111"/>
    </row>
    <row r="615" spans="2:2">
      <c r="B615" s="111"/>
    </row>
    <row r="616" spans="2:2">
      <c r="B616" s="111"/>
    </row>
    <row r="617" spans="2:2">
      <c r="B617" s="111"/>
    </row>
    <row r="618" spans="2:2">
      <c r="B618" s="111"/>
    </row>
    <row r="619" spans="2:2">
      <c r="B619" s="111"/>
    </row>
    <row r="620" spans="2:2">
      <c r="B620" s="111"/>
    </row>
    <row r="621" spans="2:2">
      <c r="B621" s="111"/>
    </row>
    <row r="622" spans="2:2">
      <c r="B622" s="111"/>
    </row>
    <row r="623" spans="2:2">
      <c r="B623" s="111"/>
    </row>
    <row r="624" spans="2:2">
      <c r="B624" s="111"/>
    </row>
    <row r="625" spans="2:2">
      <c r="B625" s="111"/>
    </row>
    <row r="626" spans="2:2">
      <c r="B626" s="111"/>
    </row>
    <row r="627" spans="2:2">
      <c r="B627" s="111"/>
    </row>
    <row r="628" spans="2:2">
      <c r="B628" s="111"/>
    </row>
    <row r="629" spans="2:2">
      <c r="B629" s="111"/>
    </row>
    <row r="630" spans="2:2">
      <c r="B630" s="111"/>
    </row>
    <row r="631" spans="2:2">
      <c r="B631" s="111"/>
    </row>
    <row r="632" spans="2:2">
      <c r="B632" s="111"/>
    </row>
    <row r="633" spans="2:2">
      <c r="B633" s="111"/>
    </row>
    <row r="634" spans="2:2">
      <c r="B634" s="111"/>
    </row>
    <row r="635" spans="2:2">
      <c r="B635" s="111"/>
    </row>
    <row r="636" spans="2:2">
      <c r="B636" s="111"/>
    </row>
    <row r="637" spans="2:2">
      <c r="B637" s="111"/>
    </row>
    <row r="638" spans="2:2">
      <c r="B638" s="111"/>
    </row>
    <row r="639" spans="2:2">
      <c r="B639" s="111"/>
    </row>
    <row r="640" spans="2:2">
      <c r="B640" s="111"/>
    </row>
    <row r="641" spans="2:2">
      <c r="B641" s="111"/>
    </row>
    <row r="642" spans="2:2">
      <c r="B642" s="111"/>
    </row>
    <row r="643" spans="2:2">
      <c r="B643" s="111"/>
    </row>
    <row r="644" spans="2:2">
      <c r="B644" s="111"/>
    </row>
    <row r="645" spans="2:2">
      <c r="B645" s="111"/>
    </row>
    <row r="646" spans="2:2">
      <c r="B646" s="111"/>
    </row>
    <row r="647" spans="2:2">
      <c r="B647" s="111"/>
    </row>
    <row r="648" spans="2:2">
      <c r="B648" s="111"/>
    </row>
    <row r="649" spans="2:2">
      <c r="B649" s="111"/>
    </row>
    <row r="650" spans="2:2">
      <c r="B650" s="111"/>
    </row>
    <row r="651" spans="2:2">
      <c r="B651" s="111"/>
    </row>
    <row r="652" spans="2:2">
      <c r="B652" s="111"/>
    </row>
    <row r="653" spans="2:2">
      <c r="B653" s="111"/>
    </row>
    <row r="654" spans="2:2">
      <c r="B654" s="111"/>
    </row>
    <row r="655" spans="2:2">
      <c r="B655" s="111"/>
    </row>
    <row r="656" spans="2:2">
      <c r="B656" s="111"/>
    </row>
    <row r="657" spans="2:2">
      <c r="B657" s="111"/>
    </row>
    <row r="658" spans="2:2">
      <c r="B658" s="111"/>
    </row>
    <row r="659" spans="2:2">
      <c r="B659" s="111"/>
    </row>
    <row r="660" spans="2:2">
      <c r="B660" s="111"/>
    </row>
    <row r="661" spans="2:2">
      <c r="B661" s="111"/>
    </row>
    <row r="662" spans="2:2">
      <c r="B662" s="111"/>
    </row>
    <row r="663" spans="2:2">
      <c r="B663" s="111"/>
    </row>
    <row r="664" spans="2:2">
      <c r="B664" s="111"/>
    </row>
    <row r="665" spans="2:2">
      <c r="B665" s="111"/>
    </row>
    <row r="666" spans="2:2">
      <c r="B666" s="111"/>
    </row>
    <row r="667" spans="2:2">
      <c r="B667" s="111"/>
    </row>
    <row r="668" spans="2:2">
      <c r="B668" s="111"/>
    </row>
    <row r="669" spans="2:2">
      <c r="B669" s="111"/>
    </row>
    <row r="670" spans="2:2">
      <c r="B670" s="111"/>
    </row>
    <row r="671" spans="2:2">
      <c r="B671" s="111"/>
    </row>
    <row r="672" spans="2:2">
      <c r="B672" s="111"/>
    </row>
    <row r="673" spans="2:2">
      <c r="B673" s="111"/>
    </row>
    <row r="674" spans="2:2">
      <c r="B674" s="111"/>
    </row>
    <row r="675" spans="2:2">
      <c r="B675" s="111"/>
    </row>
    <row r="676" spans="2:2">
      <c r="B676" s="111"/>
    </row>
    <row r="677" spans="2:2">
      <c r="B677" s="111"/>
    </row>
    <row r="678" spans="2:2">
      <c r="B678" s="111"/>
    </row>
    <row r="679" spans="2:2">
      <c r="B679" s="111"/>
    </row>
    <row r="680" spans="2:2">
      <c r="B680" s="111"/>
    </row>
    <row r="681" spans="2:2">
      <c r="B681" s="111"/>
    </row>
    <row r="682" spans="2:2">
      <c r="B682" s="111"/>
    </row>
    <row r="683" spans="2:2">
      <c r="B683" s="111"/>
    </row>
    <row r="684" spans="2:2">
      <c r="B684" s="111"/>
    </row>
    <row r="685" spans="2:2">
      <c r="B685" s="111"/>
    </row>
    <row r="686" spans="2:2">
      <c r="B686" s="111"/>
    </row>
    <row r="687" spans="2:2">
      <c r="B687" s="111"/>
    </row>
    <row r="688" spans="2:2">
      <c r="B688" s="111"/>
    </row>
    <row r="689" spans="2:2">
      <c r="B689" s="111"/>
    </row>
    <row r="690" spans="2:2">
      <c r="B690" s="111"/>
    </row>
    <row r="691" spans="2:2">
      <c r="B691" s="111"/>
    </row>
    <row r="692" spans="2:2">
      <c r="B692" s="111"/>
    </row>
    <row r="693" spans="2:2">
      <c r="B693" s="111"/>
    </row>
    <row r="694" spans="2:2">
      <c r="B694" s="111"/>
    </row>
    <row r="695" spans="2:2">
      <c r="B695" s="111"/>
    </row>
    <row r="696" spans="2:2">
      <c r="B696" s="111"/>
    </row>
    <row r="697" spans="2:2">
      <c r="B697" s="111"/>
    </row>
    <row r="698" spans="2:2">
      <c r="B698" s="111"/>
    </row>
    <row r="699" spans="2:2">
      <c r="B699" s="111"/>
    </row>
    <row r="700" spans="2:2">
      <c r="B700" s="111"/>
    </row>
    <row r="701" spans="2:2">
      <c r="B701" s="111"/>
    </row>
    <row r="702" spans="2:2">
      <c r="B702" s="111"/>
    </row>
    <row r="703" spans="2:2">
      <c r="B703" s="111"/>
    </row>
    <row r="704" spans="2:2">
      <c r="B704" s="111"/>
    </row>
    <row r="705" spans="2:2">
      <c r="B705" s="111"/>
    </row>
    <row r="706" spans="2:2">
      <c r="B706" s="111"/>
    </row>
    <row r="707" spans="2:2">
      <c r="B707" s="111"/>
    </row>
    <row r="708" spans="2:2">
      <c r="B708" s="111"/>
    </row>
    <row r="709" spans="2:2">
      <c r="B709" s="111"/>
    </row>
    <row r="710" spans="2:2">
      <c r="B710" s="111"/>
    </row>
    <row r="711" spans="2:2">
      <c r="B711" s="111"/>
    </row>
    <row r="712" spans="2:2">
      <c r="B712" s="111"/>
    </row>
    <row r="713" spans="2:2">
      <c r="B713" s="111"/>
    </row>
    <row r="714" spans="2:2">
      <c r="B714" s="111"/>
    </row>
    <row r="715" spans="2:2">
      <c r="B715" s="111"/>
    </row>
    <row r="716" spans="2:2">
      <c r="B716" s="111"/>
    </row>
    <row r="717" spans="2:2">
      <c r="B717" s="111"/>
    </row>
    <row r="718" spans="2:2">
      <c r="B718" s="111"/>
    </row>
    <row r="719" spans="2:2">
      <c r="B719" s="111"/>
    </row>
    <row r="720" spans="2:2">
      <c r="B720" s="111"/>
    </row>
    <row r="721" spans="2:2">
      <c r="B721" s="111"/>
    </row>
    <row r="722" spans="2:2">
      <c r="B722" s="111"/>
    </row>
    <row r="723" spans="2:2">
      <c r="B723" s="111"/>
    </row>
    <row r="724" spans="2:2">
      <c r="B724" s="111"/>
    </row>
    <row r="725" spans="2:2">
      <c r="B725" s="111"/>
    </row>
    <row r="726" spans="2:2">
      <c r="B726" s="111"/>
    </row>
    <row r="727" spans="2:2">
      <c r="B727" s="111"/>
    </row>
    <row r="728" spans="2:2">
      <c r="B728" s="111"/>
    </row>
    <row r="729" spans="2:2">
      <c r="B729" s="111"/>
    </row>
    <row r="730" spans="2:2">
      <c r="B730" s="111"/>
    </row>
    <row r="731" spans="2:2">
      <c r="B731" s="111"/>
    </row>
    <row r="732" spans="2:2">
      <c r="B732" s="111"/>
    </row>
    <row r="733" spans="2:2">
      <c r="B733" s="111"/>
    </row>
    <row r="734" spans="2:2">
      <c r="B734" s="111"/>
    </row>
    <row r="735" spans="2:2">
      <c r="B735" s="111"/>
    </row>
    <row r="736" spans="2:2">
      <c r="B736" s="111"/>
    </row>
    <row r="737" spans="2:2">
      <c r="B737" s="111"/>
    </row>
    <row r="738" spans="2:2">
      <c r="B738" s="111"/>
    </row>
    <row r="739" spans="2:2">
      <c r="B739" s="111"/>
    </row>
    <row r="740" spans="2:2">
      <c r="B740" s="111"/>
    </row>
    <row r="741" spans="2:2">
      <c r="B741" s="111"/>
    </row>
    <row r="742" spans="2:2">
      <c r="B742" s="111"/>
    </row>
    <row r="743" spans="2:2">
      <c r="B743" s="111"/>
    </row>
    <row r="744" spans="2:2">
      <c r="B744" s="111"/>
    </row>
    <row r="745" spans="2:2">
      <c r="B745" s="111"/>
    </row>
    <row r="746" spans="2:2">
      <c r="B746" s="111"/>
    </row>
    <row r="747" spans="2:2">
      <c r="B747" s="111"/>
    </row>
    <row r="748" spans="2:2">
      <c r="B748" s="111"/>
    </row>
    <row r="749" spans="2:2">
      <c r="B749" s="111"/>
    </row>
    <row r="750" spans="2:2">
      <c r="B750" s="111"/>
    </row>
    <row r="751" spans="2:2">
      <c r="B751" s="111"/>
    </row>
    <row r="752" spans="2:2">
      <c r="B752" s="111"/>
    </row>
    <row r="753" spans="2:2">
      <c r="B753" s="111"/>
    </row>
    <row r="754" spans="2:2">
      <c r="B754" s="111"/>
    </row>
    <row r="755" spans="2:2">
      <c r="B755" s="111"/>
    </row>
    <row r="756" spans="2:2">
      <c r="B756" s="111"/>
    </row>
    <row r="757" spans="2:2">
      <c r="B757" s="111"/>
    </row>
    <row r="758" spans="2:2">
      <c r="B758" s="111"/>
    </row>
    <row r="759" spans="2:2">
      <c r="B759" s="111"/>
    </row>
    <row r="760" spans="2:2">
      <c r="B760" s="111"/>
    </row>
    <row r="761" spans="2:2">
      <c r="B761" s="111"/>
    </row>
    <row r="762" spans="2:2">
      <c r="B762" s="111"/>
    </row>
    <row r="763" spans="2:2">
      <c r="B763" s="111"/>
    </row>
    <row r="764" spans="2:2">
      <c r="B764" s="111"/>
    </row>
    <row r="765" spans="2:2">
      <c r="B765" s="111"/>
    </row>
    <row r="766" spans="2:2">
      <c r="B766" s="111"/>
    </row>
    <row r="767" spans="2:2">
      <c r="B767" s="111"/>
    </row>
    <row r="768" spans="2:2">
      <c r="B768" s="111"/>
    </row>
    <row r="769" spans="2:2">
      <c r="B769" s="111"/>
    </row>
    <row r="770" spans="2:2">
      <c r="B770" s="111"/>
    </row>
    <row r="771" spans="2:2">
      <c r="B771" s="111"/>
    </row>
    <row r="772" spans="2:2">
      <c r="B772" s="111"/>
    </row>
    <row r="773" spans="2:2">
      <c r="B773" s="111"/>
    </row>
    <row r="774" spans="2:2">
      <c r="B774" s="111"/>
    </row>
    <row r="775" spans="2:2">
      <c r="B775" s="111"/>
    </row>
    <row r="776" spans="2:2">
      <c r="B776" s="111"/>
    </row>
    <row r="777" spans="2:2">
      <c r="B777" s="111"/>
    </row>
    <row r="778" spans="2:2">
      <c r="B778" s="111"/>
    </row>
    <row r="779" spans="2:2">
      <c r="B779" s="111"/>
    </row>
    <row r="780" spans="2:2">
      <c r="B780" s="111"/>
    </row>
    <row r="781" spans="2:2">
      <c r="B781" s="111"/>
    </row>
    <row r="782" spans="2:2">
      <c r="B782" s="111"/>
    </row>
    <row r="783" spans="2:2">
      <c r="B783" s="111"/>
    </row>
    <row r="784" spans="2:2">
      <c r="B784" s="111"/>
    </row>
    <row r="785" spans="2:2">
      <c r="B785" s="111"/>
    </row>
    <row r="786" spans="2:2">
      <c r="B786" s="111"/>
    </row>
    <row r="787" spans="2:2">
      <c r="B787" s="111"/>
    </row>
    <row r="788" spans="2:2">
      <c r="B788" s="111"/>
    </row>
    <row r="789" spans="2:2">
      <c r="B789" s="111"/>
    </row>
    <row r="790" spans="2:2">
      <c r="B790" s="111"/>
    </row>
    <row r="791" spans="2:2">
      <c r="B791" s="111"/>
    </row>
    <row r="792" spans="2:2">
      <c r="B792" s="111"/>
    </row>
    <row r="793" spans="2:2">
      <c r="B793" s="111"/>
    </row>
    <row r="794" spans="2:2">
      <c r="B794" s="111"/>
    </row>
    <row r="795" spans="2:2">
      <c r="B795" s="111"/>
    </row>
    <row r="796" spans="2:2">
      <c r="B796" s="111"/>
    </row>
    <row r="797" spans="2:2">
      <c r="B797" s="111"/>
    </row>
    <row r="798" spans="2:2">
      <c r="B798" s="111"/>
    </row>
    <row r="799" spans="2:2">
      <c r="B799" s="111"/>
    </row>
    <row r="800" spans="2:2">
      <c r="B800" s="111"/>
    </row>
    <row r="801" spans="2:2">
      <c r="B801" s="111"/>
    </row>
    <row r="802" spans="2:2">
      <c r="B802" s="111"/>
    </row>
    <row r="803" spans="2:2">
      <c r="B803" s="111"/>
    </row>
    <row r="804" spans="2:2">
      <c r="B804" s="111"/>
    </row>
    <row r="805" spans="2:2">
      <c r="B805" s="111"/>
    </row>
    <row r="806" spans="2:2">
      <c r="B806" s="111"/>
    </row>
    <row r="807" spans="2:2">
      <c r="B807" s="111"/>
    </row>
    <row r="808" spans="2:2">
      <c r="B808" s="111"/>
    </row>
    <row r="809" spans="2:2">
      <c r="B809" s="111"/>
    </row>
    <row r="810" spans="2:2">
      <c r="B810" s="111"/>
    </row>
    <row r="811" spans="2:2">
      <c r="B811" s="111"/>
    </row>
    <row r="812" spans="2:2">
      <c r="B812" s="111"/>
    </row>
    <row r="813" spans="2:2">
      <c r="B813" s="111"/>
    </row>
    <row r="814" spans="2:2">
      <c r="B814" s="111"/>
    </row>
    <row r="815" spans="2:2">
      <c r="B815" s="111"/>
    </row>
    <row r="816" spans="2:2">
      <c r="B816" s="111"/>
    </row>
    <row r="817" spans="2:2">
      <c r="B817" s="111"/>
    </row>
    <row r="818" spans="2:2">
      <c r="B818" s="111"/>
    </row>
    <row r="819" spans="2:2">
      <c r="B819" s="111"/>
    </row>
    <row r="820" spans="2:2">
      <c r="B820" s="111"/>
    </row>
    <row r="821" spans="2:2">
      <c r="B821" s="111"/>
    </row>
    <row r="822" spans="2:2">
      <c r="B822" s="111"/>
    </row>
    <row r="823" spans="2:2">
      <c r="B823" s="111"/>
    </row>
    <row r="824" spans="2:2">
      <c r="B824" s="111"/>
    </row>
    <row r="825" spans="2:2">
      <c r="B825" s="111"/>
    </row>
    <row r="826" spans="2:2">
      <c r="B826" s="111"/>
    </row>
    <row r="827" spans="2:2">
      <c r="B827" s="111"/>
    </row>
    <row r="828" spans="2:2">
      <c r="B828" s="111"/>
    </row>
    <row r="829" spans="2:2">
      <c r="B829" s="111"/>
    </row>
    <row r="830" spans="2:2">
      <c r="B830" s="111"/>
    </row>
    <row r="831" spans="2:2">
      <c r="B831" s="111"/>
    </row>
    <row r="832" spans="2:2">
      <c r="B832" s="111"/>
    </row>
    <row r="833" spans="2:2">
      <c r="B833" s="111"/>
    </row>
    <row r="834" spans="2:2">
      <c r="B834" s="111"/>
    </row>
    <row r="835" spans="2:2">
      <c r="B835" s="111"/>
    </row>
    <row r="836" spans="2:2">
      <c r="B836" s="111"/>
    </row>
    <row r="837" spans="2:2">
      <c r="B837" s="111"/>
    </row>
    <row r="838" spans="2:2">
      <c r="B838" s="111"/>
    </row>
    <row r="839" spans="2:2">
      <c r="B839" s="111"/>
    </row>
    <row r="840" spans="2:2">
      <c r="B840" s="111"/>
    </row>
    <row r="841" spans="2:2">
      <c r="B841" s="111"/>
    </row>
    <row r="842" spans="2:2">
      <c r="B842" s="111"/>
    </row>
    <row r="843" spans="2:2">
      <c r="B843" s="111"/>
    </row>
    <row r="844" spans="2:2">
      <c r="B844" s="111"/>
    </row>
    <row r="845" spans="2:2">
      <c r="B845" s="111"/>
    </row>
    <row r="846" spans="2:2">
      <c r="B846" s="111"/>
    </row>
    <row r="847" spans="2:2">
      <c r="B847" s="111"/>
    </row>
    <row r="848" spans="2:2">
      <c r="B848" s="111"/>
    </row>
    <row r="849" spans="2:2">
      <c r="B849" s="111"/>
    </row>
    <row r="850" spans="2:2">
      <c r="B850" s="111"/>
    </row>
    <row r="851" spans="2:2">
      <c r="B851" s="111"/>
    </row>
    <row r="852" spans="2:2">
      <c r="B852" s="111"/>
    </row>
    <row r="853" spans="2:2">
      <c r="B853" s="111"/>
    </row>
    <row r="854" spans="2:2">
      <c r="B854" s="111"/>
    </row>
    <row r="855" spans="2:2">
      <c r="B855" s="111"/>
    </row>
    <row r="856" spans="2:2">
      <c r="B856" s="111"/>
    </row>
    <row r="857" spans="2:2">
      <c r="B857" s="111"/>
    </row>
    <row r="858" spans="2:2">
      <c r="B858" s="111"/>
    </row>
    <row r="859" spans="2:2">
      <c r="B859" s="111"/>
    </row>
    <row r="860" spans="2:2">
      <c r="B860" s="111"/>
    </row>
    <row r="861" spans="2:2">
      <c r="B861" s="111"/>
    </row>
    <row r="862" spans="2:2">
      <c r="B862" s="111"/>
    </row>
    <row r="863" spans="2:2">
      <c r="B863" s="111"/>
    </row>
    <row r="864" spans="2:2">
      <c r="B864" s="111"/>
    </row>
    <row r="865" spans="2:2">
      <c r="B865" s="111"/>
    </row>
    <row r="866" spans="2:2">
      <c r="B866" s="111"/>
    </row>
    <row r="867" spans="2:2">
      <c r="B867" s="111"/>
    </row>
    <row r="868" spans="2:2">
      <c r="B868" s="111"/>
    </row>
    <row r="869" spans="2:2">
      <c r="B869" s="111"/>
    </row>
    <row r="870" spans="2:2">
      <c r="B870" s="111"/>
    </row>
    <row r="871" spans="2:2">
      <c r="B871" s="111"/>
    </row>
    <row r="872" spans="2:2">
      <c r="B872" s="111"/>
    </row>
    <row r="873" spans="2:2">
      <c r="B873" s="111"/>
    </row>
    <row r="874" spans="2:2">
      <c r="B874" s="111"/>
    </row>
    <row r="875" spans="2:2">
      <c r="B875" s="111"/>
    </row>
    <row r="876" spans="2:2">
      <c r="B876" s="111"/>
    </row>
    <row r="877" spans="2:2">
      <c r="B877" s="111"/>
    </row>
    <row r="878" spans="2:2">
      <c r="B878" s="111"/>
    </row>
    <row r="879" spans="2:2">
      <c r="B879" s="111"/>
    </row>
    <row r="880" spans="2:2">
      <c r="B880" s="111"/>
    </row>
    <row r="881" spans="2:2">
      <c r="B881" s="111"/>
    </row>
    <row r="882" spans="2:2">
      <c r="B882" s="111"/>
    </row>
    <row r="883" spans="2:2">
      <c r="B883" s="111"/>
    </row>
    <row r="884" spans="2:2">
      <c r="B884" s="111"/>
    </row>
    <row r="885" spans="2:2">
      <c r="B885" s="111"/>
    </row>
    <row r="886" spans="2:2">
      <c r="B886" s="111"/>
    </row>
    <row r="887" spans="2:2">
      <c r="B887" s="111"/>
    </row>
    <row r="888" spans="2:2">
      <c r="B888" s="111"/>
    </row>
    <row r="889" spans="2:2">
      <c r="B889" s="111"/>
    </row>
    <row r="890" spans="2:2">
      <c r="B890" s="111"/>
    </row>
    <row r="891" spans="2:2">
      <c r="B891" s="111"/>
    </row>
    <row r="892" spans="2:2">
      <c r="B892" s="111"/>
    </row>
    <row r="893" spans="2:2">
      <c r="B893" s="111"/>
    </row>
    <row r="894" spans="2:2">
      <c r="B894" s="111"/>
    </row>
    <row r="895" spans="2:2">
      <c r="B895" s="111"/>
    </row>
    <row r="896" spans="2:2">
      <c r="B896" s="111"/>
    </row>
    <row r="897" spans="2:2">
      <c r="B897" s="111"/>
    </row>
    <row r="898" spans="2:2">
      <c r="B898" s="111"/>
    </row>
    <row r="899" spans="2:2">
      <c r="B899" s="111"/>
    </row>
    <row r="900" spans="2:2">
      <c r="B900" s="111"/>
    </row>
    <row r="901" spans="2:2">
      <c r="B901" s="111"/>
    </row>
    <row r="902" spans="2:2">
      <c r="B902" s="111"/>
    </row>
    <row r="903" spans="2:2">
      <c r="B903" s="111"/>
    </row>
    <row r="904" spans="2:2">
      <c r="B904" s="111"/>
    </row>
    <row r="905" spans="2:2">
      <c r="B905" s="111"/>
    </row>
    <row r="906" spans="2:2">
      <c r="B906" s="111"/>
    </row>
    <row r="907" spans="2:2">
      <c r="B907" s="111"/>
    </row>
    <row r="908" spans="2:2">
      <c r="B908" s="111"/>
    </row>
    <row r="909" spans="2:2">
      <c r="B909" s="111"/>
    </row>
    <row r="910" spans="2:2">
      <c r="B910" s="111"/>
    </row>
    <row r="911" spans="2:2">
      <c r="B911" s="111"/>
    </row>
    <row r="912" spans="2:2">
      <c r="B912" s="111"/>
    </row>
    <row r="913" spans="2:2">
      <c r="B913" s="111"/>
    </row>
    <row r="914" spans="2:2">
      <c r="B914" s="111"/>
    </row>
    <row r="915" spans="2:2">
      <c r="B915" s="111"/>
    </row>
    <row r="916" spans="2:2">
      <c r="B916" s="111"/>
    </row>
    <row r="917" spans="2:2">
      <c r="B917" s="111"/>
    </row>
    <row r="918" spans="2:2">
      <c r="B918" s="111"/>
    </row>
    <row r="919" spans="2:2">
      <c r="B919" s="111"/>
    </row>
    <row r="920" spans="2:2">
      <c r="B920" s="111"/>
    </row>
    <row r="921" spans="2:2">
      <c r="B921" s="111"/>
    </row>
    <row r="922" spans="2:2">
      <c r="B922" s="111"/>
    </row>
    <row r="923" spans="2:2">
      <c r="B923" s="111"/>
    </row>
    <row r="924" spans="2:2">
      <c r="B924" s="111"/>
    </row>
    <row r="925" spans="2:2">
      <c r="B925" s="111"/>
    </row>
    <row r="926" spans="2:2">
      <c r="B926" s="111"/>
    </row>
    <row r="927" spans="2:2">
      <c r="B927" s="111"/>
    </row>
    <row r="928" spans="2:2">
      <c r="B928" s="111"/>
    </row>
    <row r="929" spans="2:2">
      <c r="B929" s="111"/>
    </row>
    <row r="930" spans="2:2">
      <c r="B930" s="111"/>
    </row>
    <row r="931" spans="2:2">
      <c r="B931" s="111"/>
    </row>
    <row r="932" spans="2:2">
      <c r="B932" s="111"/>
    </row>
    <row r="933" spans="2:2">
      <c r="B933" s="111"/>
    </row>
    <row r="934" spans="2:2">
      <c r="B934" s="111"/>
    </row>
    <row r="935" spans="2:2">
      <c r="B935" s="111"/>
    </row>
    <row r="936" spans="2:2">
      <c r="B936" s="111"/>
    </row>
    <row r="937" spans="2:2">
      <c r="B937" s="111"/>
    </row>
    <row r="938" spans="2:2">
      <c r="B938" s="111"/>
    </row>
    <row r="939" spans="2:2">
      <c r="B939" s="111"/>
    </row>
    <row r="940" spans="2:2">
      <c r="B940" s="111"/>
    </row>
    <row r="941" spans="2:2">
      <c r="B941" s="111"/>
    </row>
    <row r="942" spans="2:2">
      <c r="B942" s="111"/>
    </row>
    <row r="943" spans="2:2">
      <c r="B943" s="111"/>
    </row>
    <row r="944" spans="2:2">
      <c r="B944" s="111"/>
    </row>
    <row r="945" spans="2:2">
      <c r="B945" s="111"/>
    </row>
    <row r="946" spans="2:2">
      <c r="B946" s="111"/>
    </row>
    <row r="947" spans="2:2">
      <c r="B947" s="111"/>
    </row>
    <row r="948" spans="2:2">
      <c r="B948" s="111"/>
    </row>
    <row r="949" spans="2:2">
      <c r="B949" s="111"/>
    </row>
    <row r="950" spans="2:2">
      <c r="B950" s="111"/>
    </row>
    <row r="951" spans="2:2">
      <c r="B951" s="111"/>
    </row>
    <row r="952" spans="2:2">
      <c r="B952" s="111"/>
    </row>
    <row r="953" spans="2:2">
      <c r="B953" s="111"/>
    </row>
    <row r="954" spans="2:2">
      <c r="B954" s="111"/>
    </row>
    <row r="955" spans="2:2">
      <c r="B955" s="111"/>
    </row>
    <row r="956" spans="2:2">
      <c r="B956" s="111"/>
    </row>
    <row r="957" spans="2:2">
      <c r="B957" s="111"/>
    </row>
    <row r="958" spans="2:2">
      <c r="B958" s="111"/>
    </row>
    <row r="959" spans="2:2">
      <c r="B959" s="111"/>
    </row>
    <row r="960" spans="2:2">
      <c r="B960" s="111"/>
    </row>
    <row r="961" spans="2:2">
      <c r="B961" s="111"/>
    </row>
    <row r="962" spans="2:2">
      <c r="B962" s="111"/>
    </row>
    <row r="963" spans="2:2">
      <c r="B963" s="111"/>
    </row>
    <row r="964" spans="2:2">
      <c r="B964" s="111"/>
    </row>
    <row r="965" spans="2:2">
      <c r="B965" s="111"/>
    </row>
    <row r="966" spans="2:2">
      <c r="B966" s="111"/>
    </row>
    <row r="967" spans="2:2">
      <c r="B967" s="111"/>
    </row>
    <row r="968" spans="2:2">
      <c r="B968" s="111"/>
    </row>
    <row r="969" spans="2:2">
      <c r="B969" s="111"/>
    </row>
    <row r="970" spans="2:2">
      <c r="B970" s="111"/>
    </row>
    <row r="971" spans="2:2">
      <c r="B971" s="111"/>
    </row>
    <row r="972" spans="2:2">
      <c r="B972" s="111"/>
    </row>
    <row r="973" spans="2:2">
      <c r="B973" s="111"/>
    </row>
    <row r="974" spans="2:2">
      <c r="B974" s="111"/>
    </row>
    <row r="975" spans="2:2">
      <c r="B975" s="111"/>
    </row>
    <row r="976" spans="2:2">
      <c r="B976" s="111"/>
    </row>
    <row r="977" spans="2:2">
      <c r="B977" s="111"/>
    </row>
    <row r="978" spans="2:2">
      <c r="B978" s="111"/>
    </row>
    <row r="979" spans="2:2">
      <c r="B979" s="111"/>
    </row>
    <row r="980" spans="2:2">
      <c r="B980" s="111"/>
    </row>
    <row r="981" spans="2:2">
      <c r="B981" s="111"/>
    </row>
    <row r="982" spans="2:2">
      <c r="B982" s="111"/>
    </row>
    <row r="983" spans="2:2">
      <c r="B983" s="111"/>
    </row>
    <row r="984" spans="2:2">
      <c r="B984" s="111"/>
    </row>
    <row r="985" spans="2:2">
      <c r="B985" s="111"/>
    </row>
    <row r="986" spans="2:2">
      <c r="B986" s="111"/>
    </row>
    <row r="987" spans="2:2">
      <c r="B987" s="111"/>
    </row>
    <row r="988" spans="2:2">
      <c r="B988" s="111"/>
    </row>
    <row r="989" spans="2:2">
      <c r="B989" s="111"/>
    </row>
    <row r="990" spans="2:2">
      <c r="B990" s="111"/>
    </row>
    <row r="991" spans="2:2">
      <c r="B991" s="111"/>
    </row>
    <row r="992" spans="2:2">
      <c r="B992" s="111"/>
    </row>
    <row r="993" spans="2:2">
      <c r="B993" s="111"/>
    </row>
    <row r="994" spans="2:2">
      <c r="B994" s="111"/>
    </row>
    <row r="995" spans="2:2">
      <c r="B995" s="111"/>
    </row>
    <row r="996" spans="2:2">
      <c r="B996" s="111"/>
    </row>
    <row r="997" spans="2:2">
      <c r="B997" s="111"/>
    </row>
    <row r="998" spans="2:2">
      <c r="B998" s="111"/>
    </row>
    <row r="999" spans="2:2">
      <c r="B999" s="111"/>
    </row>
    <row r="1000" spans="2:2">
      <c r="B1000" s="111"/>
    </row>
    <row r="1001" spans="2:2">
      <c r="B1001" s="111"/>
    </row>
    <row r="1002" spans="2:2">
      <c r="B1002" s="111"/>
    </row>
    <row r="1003" spans="2:2">
      <c r="B1003" s="111"/>
    </row>
    <row r="1004" spans="2:2">
      <c r="B1004" s="111"/>
    </row>
    <row r="1005" spans="2:2">
      <c r="B1005" s="111"/>
    </row>
    <row r="1006" spans="2:2">
      <c r="B1006" s="111"/>
    </row>
    <row r="1007" spans="2:2">
      <c r="B1007" s="111"/>
    </row>
    <row r="1008" spans="2:2">
      <c r="B1008" s="111"/>
    </row>
    <row r="1009" spans="2:2">
      <c r="B1009" s="111"/>
    </row>
    <row r="1010" spans="2:2">
      <c r="B1010" s="111"/>
    </row>
    <row r="1011" spans="2:2">
      <c r="B1011" s="111"/>
    </row>
    <row r="1012" spans="2:2">
      <c r="B1012" s="111"/>
    </row>
    <row r="1013" spans="2:2">
      <c r="B1013" s="111"/>
    </row>
    <row r="1014" spans="2:2">
      <c r="B1014" s="111"/>
    </row>
    <row r="1015" spans="2:2">
      <c r="B1015" s="111"/>
    </row>
    <row r="1016" spans="2:2">
      <c r="B1016" s="111"/>
    </row>
    <row r="1017" spans="2:2">
      <c r="B1017" s="111"/>
    </row>
    <row r="1018" spans="2:2">
      <c r="B1018" s="111"/>
    </row>
    <row r="1019" spans="2:2">
      <c r="B1019" s="111"/>
    </row>
    <row r="1020" spans="2:2">
      <c r="B1020" s="111"/>
    </row>
    <row r="1021" spans="2:2">
      <c r="B1021" s="111"/>
    </row>
    <row r="1022" spans="2:2">
      <c r="B1022" s="111"/>
    </row>
    <row r="1023" spans="2:2">
      <c r="B1023" s="111"/>
    </row>
    <row r="1024" spans="2:2">
      <c r="B1024" s="111"/>
    </row>
    <row r="1025" spans="2:2">
      <c r="B1025" s="111"/>
    </row>
    <row r="1026" spans="2:2">
      <c r="B1026" s="111"/>
    </row>
    <row r="1027" spans="2:2">
      <c r="B1027" s="111"/>
    </row>
    <row r="1028" spans="2:2">
      <c r="B1028" s="111"/>
    </row>
    <row r="1029" spans="2:2">
      <c r="B1029" s="111"/>
    </row>
    <row r="1030" spans="2:2">
      <c r="B1030" s="111"/>
    </row>
    <row r="1031" spans="2:2">
      <c r="B1031" s="111"/>
    </row>
    <row r="1032" spans="2:2">
      <c r="B1032" s="111"/>
    </row>
    <row r="1033" spans="2:2">
      <c r="B1033" s="111"/>
    </row>
    <row r="1034" spans="2:2">
      <c r="B1034" s="111"/>
    </row>
    <row r="1035" spans="2:2">
      <c r="B1035" s="111"/>
    </row>
    <row r="1036" spans="2:2">
      <c r="B1036" s="111"/>
    </row>
    <row r="1037" spans="2:2">
      <c r="B1037" s="111"/>
    </row>
    <row r="1038" spans="2:2">
      <c r="B1038" s="111"/>
    </row>
    <row r="1039" spans="2:2">
      <c r="B1039" s="111"/>
    </row>
    <row r="1040" spans="2:2">
      <c r="B1040" s="111"/>
    </row>
    <row r="1041" spans="2:2">
      <c r="B1041" s="111"/>
    </row>
    <row r="1042" spans="2:2">
      <c r="B1042" s="111"/>
    </row>
    <row r="1043" spans="2:2">
      <c r="B1043" s="111"/>
    </row>
    <row r="1044" spans="2:2">
      <c r="B1044" s="111"/>
    </row>
    <row r="1045" spans="2:2">
      <c r="B1045" s="111"/>
    </row>
    <row r="1046" spans="2:2">
      <c r="B1046" s="111"/>
    </row>
    <row r="1047" spans="2:2">
      <c r="B1047" s="111"/>
    </row>
    <row r="1048" spans="2:2">
      <c r="B1048" s="111"/>
    </row>
    <row r="1049" spans="2:2">
      <c r="B1049" s="111"/>
    </row>
    <row r="1050" spans="2:2">
      <c r="B1050" s="111"/>
    </row>
    <row r="1051" spans="2:2">
      <c r="B1051" s="111"/>
    </row>
    <row r="1052" spans="2:2">
      <c r="B1052" s="111"/>
    </row>
    <row r="1053" spans="2:2">
      <c r="B1053" s="111"/>
    </row>
    <row r="1054" spans="2:2">
      <c r="B1054" s="111"/>
    </row>
    <row r="1055" spans="2:2">
      <c r="B1055" s="111"/>
    </row>
    <row r="1056" spans="2:2">
      <c r="B1056" s="111"/>
    </row>
    <row r="1057" spans="2:2">
      <c r="B1057" s="111"/>
    </row>
    <row r="1058" spans="2:2">
      <c r="B1058" s="111"/>
    </row>
    <row r="1059" spans="2:2">
      <c r="B1059" s="111"/>
    </row>
    <row r="1060" spans="2:2">
      <c r="B1060" s="111"/>
    </row>
    <row r="1061" spans="2:2">
      <c r="B1061" s="111"/>
    </row>
    <row r="1062" spans="2:2">
      <c r="B1062" s="111"/>
    </row>
    <row r="1063" spans="2:2">
      <c r="B1063" s="111"/>
    </row>
    <row r="1064" spans="2:2">
      <c r="B1064" s="111"/>
    </row>
    <row r="1065" spans="2:2">
      <c r="B1065" s="111"/>
    </row>
    <row r="1066" spans="2:2">
      <c r="B1066" s="111"/>
    </row>
    <row r="1067" spans="2:2">
      <c r="B1067" s="111"/>
    </row>
    <row r="1068" spans="2:2">
      <c r="B1068" s="111"/>
    </row>
    <row r="1069" spans="2:2">
      <c r="B1069" s="111"/>
    </row>
    <row r="1070" spans="2:2">
      <c r="B1070" s="111"/>
    </row>
    <row r="1071" spans="2:2">
      <c r="B1071" s="111"/>
    </row>
    <row r="1072" spans="2:2">
      <c r="B1072" s="111"/>
    </row>
    <row r="1073" spans="2:2">
      <c r="B1073" s="111"/>
    </row>
    <row r="1074" spans="2:2">
      <c r="B1074" s="111"/>
    </row>
    <row r="1075" spans="2:2">
      <c r="B1075" s="111"/>
    </row>
    <row r="1076" spans="2:2">
      <c r="B1076" s="111"/>
    </row>
    <row r="1077" spans="2:2">
      <c r="B1077" s="111"/>
    </row>
    <row r="1078" spans="2:2">
      <c r="B1078" s="111"/>
    </row>
    <row r="1079" spans="2:2">
      <c r="B1079" s="111"/>
    </row>
    <row r="1080" spans="2:2">
      <c r="B1080" s="111"/>
    </row>
    <row r="1081" spans="2:2">
      <c r="B1081" s="111"/>
    </row>
    <row r="1082" spans="2:2">
      <c r="B1082" s="111"/>
    </row>
    <row r="1083" spans="2:2">
      <c r="B1083" s="111"/>
    </row>
    <row r="1084" spans="2:2">
      <c r="B1084" s="111"/>
    </row>
    <row r="1085" spans="2:2">
      <c r="B1085" s="111"/>
    </row>
    <row r="1086" spans="2:2">
      <c r="B1086" s="111"/>
    </row>
    <row r="1087" spans="2:2">
      <c r="B1087" s="111"/>
    </row>
    <row r="1088" spans="2:2">
      <c r="B1088" s="111"/>
    </row>
    <row r="1089" spans="2:2">
      <c r="B1089" s="111"/>
    </row>
    <row r="1090" spans="2:2">
      <c r="B1090" s="111"/>
    </row>
    <row r="1091" spans="2:2">
      <c r="B1091" s="111"/>
    </row>
    <row r="1092" spans="2:2">
      <c r="B1092" s="111"/>
    </row>
    <row r="1093" spans="2:2">
      <c r="B1093" s="111"/>
    </row>
    <row r="1094" spans="2:2">
      <c r="B1094" s="111"/>
    </row>
    <row r="1095" spans="2:2">
      <c r="B1095" s="111"/>
    </row>
    <row r="1096" spans="2:2">
      <c r="B1096" s="111"/>
    </row>
    <row r="1097" spans="2:2">
      <c r="B1097" s="111"/>
    </row>
    <row r="1098" spans="2:2">
      <c r="B1098" s="111"/>
    </row>
    <row r="1099" spans="2:2">
      <c r="B1099" s="111"/>
    </row>
    <row r="1100" spans="2:2">
      <c r="B1100" s="111"/>
    </row>
    <row r="1101" spans="2:2">
      <c r="B1101" s="111"/>
    </row>
    <row r="1102" spans="2:2">
      <c r="B1102" s="111"/>
    </row>
    <row r="1103" spans="2:2">
      <c r="B1103" s="111"/>
    </row>
    <row r="1104" spans="2:2">
      <c r="B1104" s="111"/>
    </row>
    <row r="1105" spans="2:2">
      <c r="B1105" s="111"/>
    </row>
    <row r="1106" spans="2:2">
      <c r="B1106" s="111"/>
    </row>
    <row r="1107" spans="2:2">
      <c r="B1107" s="111"/>
    </row>
    <row r="1108" spans="2:2">
      <c r="B1108" s="111"/>
    </row>
    <row r="1109" spans="2:2">
      <c r="B1109" s="111"/>
    </row>
    <row r="1110" spans="2:2">
      <c r="B1110" s="111"/>
    </row>
    <row r="1111" spans="2:2">
      <c r="B1111" s="111"/>
    </row>
    <row r="1112" spans="2:2">
      <c r="B1112" s="111"/>
    </row>
    <row r="1113" spans="2:2">
      <c r="B1113" s="111"/>
    </row>
    <row r="1114" spans="2:2">
      <c r="B1114" s="111"/>
    </row>
    <row r="1115" spans="2:2">
      <c r="B1115" s="111"/>
    </row>
    <row r="1116" spans="2:2">
      <c r="B1116" s="111"/>
    </row>
    <row r="1117" spans="2:2">
      <c r="B1117" s="111"/>
    </row>
    <row r="1118" spans="2:2">
      <c r="B1118" s="111"/>
    </row>
    <row r="1119" spans="2:2">
      <c r="B1119" s="111"/>
    </row>
    <row r="1120" spans="2:2">
      <c r="B1120" s="111"/>
    </row>
    <row r="1121" spans="2:2">
      <c r="B1121" s="111"/>
    </row>
    <row r="1122" spans="2:2">
      <c r="B1122" s="111"/>
    </row>
    <row r="1123" spans="2:2">
      <c r="B1123" s="111"/>
    </row>
    <row r="1124" spans="2:2">
      <c r="B1124" s="111"/>
    </row>
    <row r="1125" spans="2:2">
      <c r="B1125" s="111"/>
    </row>
    <row r="1126" spans="2:2">
      <c r="B1126" s="111"/>
    </row>
    <row r="1127" spans="2:2">
      <c r="B1127" s="111"/>
    </row>
    <row r="1128" spans="2:2">
      <c r="B1128" s="111"/>
    </row>
    <row r="1129" spans="2:2">
      <c r="B1129" s="111"/>
    </row>
    <row r="1130" spans="2:2">
      <c r="B1130" s="111"/>
    </row>
    <row r="1131" spans="2:2">
      <c r="B1131" s="111"/>
    </row>
    <row r="1132" spans="2:2">
      <c r="B1132" s="111"/>
    </row>
    <row r="1133" spans="2:2">
      <c r="B1133" s="111"/>
    </row>
    <row r="1134" spans="2:2">
      <c r="B1134" s="111"/>
    </row>
    <row r="1135" spans="2:2">
      <c r="B1135" s="111"/>
    </row>
    <row r="1136" spans="2:2">
      <c r="B1136" s="111"/>
    </row>
    <row r="1137" spans="2:2">
      <c r="B1137" s="111"/>
    </row>
    <row r="1138" spans="2:2">
      <c r="B1138" s="111"/>
    </row>
    <row r="1139" spans="2:2">
      <c r="B1139" s="111"/>
    </row>
    <row r="1140" spans="2:2">
      <c r="B1140" s="111"/>
    </row>
    <row r="1141" spans="2:2">
      <c r="B1141" s="111"/>
    </row>
    <row r="1142" spans="2:2">
      <c r="B1142" s="111"/>
    </row>
    <row r="1143" spans="2:2">
      <c r="B1143" s="111"/>
    </row>
    <row r="1144" spans="2:2">
      <c r="B1144" s="111"/>
    </row>
    <row r="1145" spans="2:2">
      <c r="B1145" s="111"/>
    </row>
    <row r="1146" spans="2:2">
      <c r="B1146" s="111"/>
    </row>
    <row r="1147" spans="2:2">
      <c r="B1147" s="111"/>
    </row>
    <row r="1148" spans="2:2">
      <c r="B1148" s="111"/>
    </row>
    <row r="1149" spans="2:2">
      <c r="B1149" s="111"/>
    </row>
    <row r="1150" spans="2:2">
      <c r="B1150" s="111"/>
    </row>
    <row r="1151" spans="2:2">
      <c r="B1151" s="111"/>
    </row>
    <row r="1152" spans="2:2">
      <c r="B1152" s="111"/>
    </row>
    <row r="1153" spans="2:2">
      <c r="B1153" s="111"/>
    </row>
    <row r="1154" spans="2:2">
      <c r="B1154" s="111"/>
    </row>
    <row r="1155" spans="2:2">
      <c r="B1155" s="111"/>
    </row>
    <row r="1156" spans="2:2">
      <c r="B1156" s="111"/>
    </row>
    <row r="1157" spans="2:2">
      <c r="B1157" s="111"/>
    </row>
    <row r="1158" spans="2:2">
      <c r="B1158" s="111"/>
    </row>
    <row r="1159" spans="2:2">
      <c r="B1159" s="111"/>
    </row>
    <row r="1160" spans="2:2">
      <c r="B1160" s="111"/>
    </row>
    <row r="1161" spans="2:2">
      <c r="B1161" s="111"/>
    </row>
    <row r="1162" spans="2:2">
      <c r="B1162" s="111"/>
    </row>
    <row r="1163" spans="2:2">
      <c r="B1163" s="111"/>
    </row>
    <row r="1164" spans="2:2">
      <c r="B1164" s="111"/>
    </row>
    <row r="1165" spans="2:2">
      <c r="B1165" s="111"/>
    </row>
    <row r="1166" spans="2:2">
      <c r="B1166" s="111"/>
    </row>
    <row r="1167" spans="2:2">
      <c r="B1167" s="111"/>
    </row>
    <row r="1168" spans="2:2">
      <c r="B1168" s="111"/>
    </row>
    <row r="1169" spans="2:2">
      <c r="B1169" s="111"/>
    </row>
    <row r="1170" spans="2:2">
      <c r="B1170" s="111"/>
    </row>
    <row r="1171" spans="2:2">
      <c r="B1171" s="111"/>
    </row>
    <row r="1172" spans="2:2">
      <c r="B1172" s="111"/>
    </row>
    <row r="1173" spans="2:2">
      <c r="B1173" s="111"/>
    </row>
    <row r="1174" spans="2:2">
      <c r="B1174" s="111"/>
    </row>
    <row r="1175" spans="2:2">
      <c r="B1175" s="111"/>
    </row>
    <row r="1176" spans="2:2">
      <c r="B1176" s="111"/>
    </row>
    <row r="1177" spans="2:2">
      <c r="B1177" s="111"/>
    </row>
    <row r="1178" spans="2:2">
      <c r="B1178" s="111"/>
    </row>
    <row r="1179" spans="2:2">
      <c r="B1179" s="111"/>
    </row>
    <row r="1180" spans="2:2">
      <c r="B1180" s="111"/>
    </row>
    <row r="1181" spans="2:2">
      <c r="B1181" s="111"/>
    </row>
    <row r="1182" spans="2:2">
      <c r="B1182" s="111"/>
    </row>
    <row r="1183" spans="2:2">
      <c r="B1183" s="111"/>
    </row>
    <row r="1184" spans="2:2">
      <c r="B1184" s="111"/>
    </row>
    <row r="1185" spans="2:2">
      <c r="B1185" s="111"/>
    </row>
    <row r="1186" spans="2:2">
      <c r="B1186" s="111"/>
    </row>
    <row r="1187" spans="2:2">
      <c r="B1187" s="111"/>
    </row>
    <row r="1188" spans="2:2">
      <c r="B1188" s="111"/>
    </row>
    <row r="1189" spans="2:2">
      <c r="B1189" s="111"/>
    </row>
    <row r="1190" spans="2:2">
      <c r="B1190" s="111"/>
    </row>
    <row r="1191" spans="2:2">
      <c r="B1191" s="111"/>
    </row>
    <row r="1192" spans="2:2">
      <c r="B1192" s="111"/>
    </row>
    <row r="1193" spans="2:2">
      <c r="B1193" s="111"/>
    </row>
    <row r="1194" spans="2:2">
      <c r="B1194" s="111"/>
    </row>
    <row r="1195" spans="2:2">
      <c r="B1195" s="111"/>
    </row>
    <row r="1196" spans="2:2">
      <c r="B1196" s="111"/>
    </row>
    <row r="1197" spans="2:2">
      <c r="B1197" s="111"/>
    </row>
    <row r="1198" spans="2:2">
      <c r="B1198" s="111"/>
    </row>
    <row r="1199" spans="2:2">
      <c r="B1199" s="111"/>
    </row>
    <row r="1200" spans="2:2">
      <c r="B1200" s="111"/>
    </row>
    <row r="1201" spans="2:2">
      <c r="B1201" s="111"/>
    </row>
    <row r="1202" spans="2:2">
      <c r="B1202" s="111"/>
    </row>
    <row r="1203" spans="2:2">
      <c r="B1203" s="111"/>
    </row>
    <row r="1204" spans="2:2">
      <c r="B1204" s="111"/>
    </row>
    <row r="1205" spans="2:2">
      <c r="B1205" s="111"/>
    </row>
    <row r="1206" spans="2:2">
      <c r="B1206" s="111"/>
    </row>
    <row r="1207" spans="2:2">
      <c r="B1207" s="111"/>
    </row>
    <row r="1208" spans="2:2">
      <c r="B1208" s="111"/>
    </row>
    <row r="1209" spans="2:2">
      <c r="B1209" s="111"/>
    </row>
    <row r="1210" spans="2:2">
      <c r="B1210" s="111"/>
    </row>
    <row r="1211" spans="2:2">
      <c r="B1211" s="111"/>
    </row>
    <row r="1212" spans="2:2">
      <c r="B1212" s="111"/>
    </row>
    <row r="1213" spans="2:2">
      <c r="B1213" s="111"/>
    </row>
    <row r="1214" spans="2:2">
      <c r="B1214" s="111"/>
    </row>
    <row r="1215" spans="2:2">
      <c r="B1215" s="111"/>
    </row>
    <row r="1216" spans="2:2">
      <c r="B1216" s="111"/>
    </row>
    <row r="1217" spans="2:2">
      <c r="B1217" s="111"/>
    </row>
    <row r="1218" spans="2:2">
      <c r="B1218" s="111"/>
    </row>
    <row r="1219" spans="2:2">
      <c r="B1219" s="111"/>
    </row>
    <row r="1220" spans="2:2">
      <c r="B1220" s="111"/>
    </row>
    <row r="1221" spans="2:2">
      <c r="B1221" s="111"/>
    </row>
    <row r="1222" spans="2:2">
      <c r="B1222" s="111"/>
    </row>
    <row r="1223" spans="2:2">
      <c r="B1223" s="111"/>
    </row>
    <row r="1224" spans="2:2">
      <c r="B1224" s="111"/>
    </row>
    <row r="1225" spans="2:2">
      <c r="B1225" s="111"/>
    </row>
    <row r="1226" spans="2:2">
      <c r="B1226" s="111"/>
    </row>
    <row r="1227" spans="2:2">
      <c r="B1227" s="111"/>
    </row>
    <row r="1228" spans="2:2">
      <c r="B1228" s="111"/>
    </row>
    <row r="1229" spans="2:2">
      <c r="B1229" s="111"/>
    </row>
    <row r="1230" spans="2:2">
      <c r="B1230" s="111"/>
    </row>
    <row r="1231" spans="2:2">
      <c r="B1231" s="111"/>
    </row>
    <row r="1232" spans="2:2">
      <c r="B1232" s="111"/>
    </row>
    <row r="1233" spans="2:2">
      <c r="B1233" s="111"/>
    </row>
    <row r="1234" spans="2:2">
      <c r="B1234" s="111"/>
    </row>
    <row r="1235" spans="2:2">
      <c r="B1235" s="111"/>
    </row>
    <row r="1236" spans="2:2">
      <c r="B1236" s="111"/>
    </row>
    <row r="1237" spans="2:2">
      <c r="B1237" s="111"/>
    </row>
    <row r="1238" spans="2:2">
      <c r="B1238" s="111"/>
    </row>
    <row r="1239" spans="2:2">
      <c r="B1239" s="111"/>
    </row>
    <row r="1240" spans="2:2">
      <c r="B1240" s="111"/>
    </row>
    <row r="1241" spans="2:2">
      <c r="B1241" s="111"/>
    </row>
    <row r="1242" spans="2:2">
      <c r="B1242" s="111"/>
    </row>
    <row r="1243" spans="2:2">
      <c r="B1243" s="111"/>
    </row>
    <row r="1244" spans="2:2">
      <c r="B1244" s="111"/>
    </row>
    <row r="1245" spans="2:2">
      <c r="B1245" s="111"/>
    </row>
    <row r="1246" spans="2:2">
      <c r="B1246" s="111"/>
    </row>
    <row r="1247" spans="2:2">
      <c r="B1247" s="111"/>
    </row>
    <row r="1248" spans="2:2">
      <c r="B1248" s="111"/>
    </row>
    <row r="1249" spans="2:2">
      <c r="B1249" s="111"/>
    </row>
    <row r="1250" spans="2:2">
      <c r="B1250" s="111"/>
    </row>
    <row r="1251" spans="2:2">
      <c r="B1251" s="111"/>
    </row>
    <row r="1252" spans="2:2">
      <c r="B1252" s="111"/>
    </row>
    <row r="1253" spans="2:2">
      <c r="B1253" s="111"/>
    </row>
    <row r="1254" spans="2:2">
      <c r="B1254" s="111"/>
    </row>
    <row r="1255" spans="2:2">
      <c r="B1255" s="111"/>
    </row>
    <row r="1256" spans="2:2">
      <c r="B1256" s="111"/>
    </row>
    <row r="1257" spans="2:2">
      <c r="B1257" s="111"/>
    </row>
    <row r="1258" spans="2:2">
      <c r="B1258" s="111"/>
    </row>
    <row r="1259" spans="2:2">
      <c r="B1259" s="111"/>
    </row>
    <row r="1260" spans="2:2">
      <c r="B1260" s="111"/>
    </row>
    <row r="1261" spans="2:2">
      <c r="B1261" s="111"/>
    </row>
    <row r="1262" spans="2:2">
      <c r="B1262" s="111"/>
    </row>
    <row r="1263" spans="2:2">
      <c r="B1263" s="111"/>
    </row>
    <row r="1264" spans="2:2">
      <c r="B1264" s="111"/>
    </row>
    <row r="1265" spans="2:2">
      <c r="B1265" s="111"/>
    </row>
    <row r="1266" spans="2:2">
      <c r="B1266" s="111"/>
    </row>
    <row r="1267" spans="2:2">
      <c r="B1267" s="111"/>
    </row>
    <row r="1268" spans="2:2">
      <c r="B1268" s="111"/>
    </row>
    <row r="1269" spans="2:2">
      <c r="B1269" s="111"/>
    </row>
    <row r="1270" spans="2:2">
      <c r="B1270" s="111"/>
    </row>
    <row r="1271" spans="2:2">
      <c r="B1271" s="111"/>
    </row>
    <row r="1272" spans="2:2">
      <c r="B1272" s="111"/>
    </row>
    <row r="1273" spans="2:2">
      <c r="B1273" s="111"/>
    </row>
    <row r="1274" spans="2:2">
      <c r="B1274" s="111"/>
    </row>
    <row r="1275" spans="2:2">
      <c r="B1275" s="111"/>
    </row>
    <row r="1276" spans="2:2">
      <c r="B1276" s="111"/>
    </row>
    <row r="1277" spans="2:2">
      <c r="B1277" s="111"/>
    </row>
    <row r="1278" spans="2:2">
      <c r="B1278" s="111"/>
    </row>
    <row r="1279" spans="2:2">
      <c r="B1279" s="111"/>
    </row>
    <row r="1280" spans="2:2">
      <c r="B1280" s="111"/>
    </row>
    <row r="1281" spans="2:2">
      <c r="B1281" s="111"/>
    </row>
    <row r="1282" spans="2:2">
      <c r="B1282" s="111"/>
    </row>
    <row r="1283" spans="2:2">
      <c r="B1283" s="111"/>
    </row>
    <row r="1284" spans="2:2">
      <c r="B1284" s="111"/>
    </row>
    <row r="1285" spans="2:2">
      <c r="B1285" s="111"/>
    </row>
    <row r="1286" spans="2:2">
      <c r="B1286" s="111"/>
    </row>
    <row r="1287" spans="2:2">
      <c r="B1287" s="111"/>
    </row>
    <row r="1288" spans="2:2">
      <c r="B1288" s="111"/>
    </row>
    <row r="1289" spans="2:2">
      <c r="B1289" s="111"/>
    </row>
    <row r="1290" spans="2:2">
      <c r="B1290" s="111"/>
    </row>
    <row r="1291" spans="2:2">
      <c r="B1291" s="111"/>
    </row>
    <row r="1292" spans="2:2">
      <c r="B1292" s="111"/>
    </row>
    <row r="1293" spans="2:2">
      <c r="B1293" s="111"/>
    </row>
    <row r="1294" spans="2:2">
      <c r="B1294" s="111"/>
    </row>
    <row r="1295" spans="2:2">
      <c r="B1295" s="111"/>
    </row>
    <row r="1296" spans="2:2">
      <c r="B1296" s="111"/>
    </row>
    <row r="1297" spans="2:2">
      <c r="B1297" s="111"/>
    </row>
    <row r="1298" spans="2:2">
      <c r="B1298" s="111"/>
    </row>
    <row r="1299" spans="2:2">
      <c r="B1299" s="111"/>
    </row>
    <row r="1300" spans="2:2">
      <c r="B1300" s="111"/>
    </row>
    <row r="1301" spans="2:2">
      <c r="B1301" s="111"/>
    </row>
    <row r="1302" spans="2:2">
      <c r="B1302" s="111"/>
    </row>
    <row r="1303" spans="2:2">
      <c r="B1303" s="111"/>
    </row>
    <row r="1304" spans="2:2">
      <c r="B1304" s="111"/>
    </row>
    <row r="1305" spans="2:2">
      <c r="B1305" s="111"/>
    </row>
    <row r="1306" spans="2:2">
      <c r="B1306" s="111"/>
    </row>
    <row r="1307" spans="2:2">
      <c r="B1307" s="111"/>
    </row>
    <row r="1308" spans="2:2">
      <c r="B1308" s="111"/>
    </row>
    <row r="1309" spans="2:2">
      <c r="B1309" s="111"/>
    </row>
    <row r="1310" spans="2:2">
      <c r="B1310" s="111"/>
    </row>
    <row r="1311" spans="2:2">
      <c r="B1311" s="111"/>
    </row>
    <row r="1312" spans="2:2">
      <c r="B1312" s="111"/>
    </row>
    <row r="1313" spans="2:2">
      <c r="B1313" s="111"/>
    </row>
    <row r="1314" spans="2:2">
      <c r="B1314" s="111"/>
    </row>
    <row r="1315" spans="2:2">
      <c r="B1315" s="111"/>
    </row>
    <row r="1316" spans="2:2">
      <c r="B1316" s="111"/>
    </row>
    <row r="1317" spans="2:2">
      <c r="B1317" s="111"/>
    </row>
    <row r="1318" spans="2:2">
      <c r="B1318" s="111"/>
    </row>
    <row r="1319" spans="2:2">
      <c r="B1319" s="111"/>
    </row>
    <row r="1320" spans="2:2">
      <c r="B1320" s="111"/>
    </row>
    <row r="1321" spans="2:2">
      <c r="B1321" s="111"/>
    </row>
    <row r="1322" spans="2:2">
      <c r="B1322" s="111"/>
    </row>
    <row r="1323" spans="2:2">
      <c r="B1323" s="111"/>
    </row>
    <row r="1324" spans="2:2">
      <c r="B1324" s="111"/>
    </row>
    <row r="1325" spans="2:2">
      <c r="B1325" s="111"/>
    </row>
    <row r="1326" spans="2:2">
      <c r="B1326" s="111"/>
    </row>
    <row r="1327" spans="2:2">
      <c r="B1327" s="111"/>
    </row>
    <row r="1328" spans="2:2">
      <c r="B1328" s="111"/>
    </row>
    <row r="1329" spans="2:2">
      <c r="B1329" s="111"/>
    </row>
    <row r="1330" spans="2:2">
      <c r="B1330" s="111"/>
    </row>
    <row r="1331" spans="2:2">
      <c r="B1331" s="111"/>
    </row>
    <row r="1332" spans="2:2">
      <c r="B1332" s="111"/>
    </row>
    <row r="1333" spans="2:2">
      <c r="B1333" s="111"/>
    </row>
    <row r="1334" spans="2:2">
      <c r="B1334" s="111"/>
    </row>
    <row r="1335" spans="2:2">
      <c r="B1335" s="111"/>
    </row>
    <row r="1336" spans="2:2">
      <c r="B1336" s="111"/>
    </row>
    <row r="1337" spans="2:2">
      <c r="B1337" s="111"/>
    </row>
    <row r="1338" spans="2:2">
      <c r="B1338" s="111"/>
    </row>
    <row r="1339" spans="2:2">
      <c r="B1339" s="111"/>
    </row>
    <row r="1340" spans="2:2">
      <c r="B1340" s="111"/>
    </row>
    <row r="1341" spans="2:2">
      <c r="B1341" s="111"/>
    </row>
    <row r="1342" spans="2:2">
      <c r="B1342" s="111"/>
    </row>
    <row r="1343" spans="2:2">
      <c r="B1343" s="111"/>
    </row>
    <row r="1344" spans="2:2">
      <c r="B1344" s="111"/>
    </row>
    <row r="1345" spans="2:2">
      <c r="B1345" s="111"/>
    </row>
    <row r="1346" spans="2:2">
      <c r="B1346" s="111"/>
    </row>
    <row r="1347" spans="2:2">
      <c r="B1347" s="111"/>
    </row>
    <row r="1348" spans="2:2">
      <c r="B1348" s="111"/>
    </row>
    <row r="1349" spans="2:2">
      <c r="B1349" s="111"/>
    </row>
    <row r="1350" spans="2:2">
      <c r="B1350" s="111"/>
    </row>
    <row r="1351" spans="2:2">
      <c r="B1351" s="111"/>
    </row>
    <row r="1352" spans="2:2">
      <c r="B1352" s="111"/>
    </row>
    <row r="1353" spans="2:2">
      <c r="B1353" s="111"/>
    </row>
    <row r="1354" spans="2:2">
      <c r="B1354" s="111"/>
    </row>
    <row r="1355" spans="2:2">
      <c r="B1355" s="111"/>
    </row>
    <row r="1356" spans="2:2">
      <c r="B1356" s="111"/>
    </row>
    <row r="1357" spans="2:2">
      <c r="B1357" s="111"/>
    </row>
    <row r="1358" spans="2:2">
      <c r="B1358" s="111"/>
    </row>
    <row r="1359" spans="2:2">
      <c r="B1359" s="111"/>
    </row>
    <row r="1360" spans="2:2">
      <c r="B1360" s="111"/>
    </row>
    <row r="1361" spans="2:2">
      <c r="B1361" s="111"/>
    </row>
    <row r="1362" spans="2:2">
      <c r="B1362" s="111"/>
    </row>
    <row r="1363" spans="2:2">
      <c r="B1363" s="111"/>
    </row>
    <row r="1364" spans="2:2">
      <c r="B1364" s="111"/>
    </row>
    <row r="1365" spans="2:2">
      <c r="B1365" s="111"/>
    </row>
    <row r="1366" spans="2:2">
      <c r="B1366" s="111"/>
    </row>
    <row r="1367" spans="2:2">
      <c r="B1367" s="111"/>
    </row>
    <row r="1368" spans="2:2">
      <c r="B1368" s="111"/>
    </row>
    <row r="1369" spans="2:2">
      <c r="B1369" s="111"/>
    </row>
    <row r="1370" spans="2:2">
      <c r="B1370" s="111"/>
    </row>
    <row r="1371" spans="2:2">
      <c r="B1371" s="111"/>
    </row>
    <row r="1372" spans="2:2">
      <c r="B1372" s="111"/>
    </row>
    <row r="1373" spans="2:2">
      <c r="B1373" s="111"/>
    </row>
    <row r="1374" spans="2:2">
      <c r="B1374" s="111"/>
    </row>
    <row r="1375" spans="2:2">
      <c r="B1375" s="111"/>
    </row>
    <row r="1376" spans="2:2">
      <c r="B1376" s="111"/>
    </row>
    <row r="1377" spans="2:2">
      <c r="B1377" s="111"/>
    </row>
    <row r="1378" spans="2:2">
      <c r="B1378" s="111"/>
    </row>
    <row r="1379" spans="2:2">
      <c r="B1379" s="111"/>
    </row>
    <row r="1380" spans="2:2">
      <c r="B1380" s="111"/>
    </row>
    <row r="1381" spans="2:2">
      <c r="B1381" s="111"/>
    </row>
    <row r="1382" spans="2:2">
      <c r="B1382" s="111"/>
    </row>
    <row r="1383" spans="2:2">
      <c r="B1383" s="111"/>
    </row>
    <row r="1384" spans="2:2">
      <c r="B1384" s="111"/>
    </row>
    <row r="1385" spans="2:2">
      <c r="B1385" s="111"/>
    </row>
    <row r="1386" spans="2:2">
      <c r="B1386" s="111"/>
    </row>
    <row r="1387" spans="2:2">
      <c r="B1387" s="111"/>
    </row>
    <row r="1388" spans="2:2">
      <c r="B1388" s="111"/>
    </row>
    <row r="1389" spans="2:2">
      <c r="B1389" s="111"/>
    </row>
    <row r="1390" spans="2:2">
      <c r="B1390" s="111"/>
    </row>
    <row r="1391" spans="2:2">
      <c r="B1391" s="111"/>
    </row>
    <row r="1392" spans="2:2">
      <c r="B1392" s="111"/>
    </row>
    <row r="1393" spans="2:2">
      <c r="B1393" s="111"/>
    </row>
    <row r="1394" spans="2:2">
      <c r="B1394" s="111"/>
    </row>
    <row r="1395" spans="2:2">
      <c r="B1395" s="111"/>
    </row>
    <row r="1396" spans="2:2">
      <c r="B1396" s="111"/>
    </row>
    <row r="1397" spans="2:2">
      <c r="B1397" s="111"/>
    </row>
    <row r="1398" spans="2:2">
      <c r="B1398" s="111"/>
    </row>
    <row r="1399" spans="2:2">
      <c r="B1399" s="111"/>
    </row>
    <row r="1400" spans="2:2">
      <c r="B1400" s="111"/>
    </row>
    <row r="1401" spans="2:2">
      <c r="B1401" s="111"/>
    </row>
    <row r="1402" spans="2:2">
      <c r="B1402" s="111"/>
    </row>
    <row r="1403" spans="2:2">
      <c r="B1403" s="111"/>
    </row>
    <row r="1404" spans="2:2">
      <c r="B1404" s="111"/>
    </row>
    <row r="1405" spans="2:2">
      <c r="B1405" s="111"/>
    </row>
    <row r="1406" spans="2:2">
      <c r="B1406" s="111"/>
    </row>
    <row r="1407" spans="2:2">
      <c r="B1407" s="111"/>
    </row>
    <row r="1408" spans="2:2">
      <c r="B1408" s="111"/>
    </row>
    <row r="1409" spans="2:2">
      <c r="B1409" s="111"/>
    </row>
    <row r="1410" spans="2:2">
      <c r="B1410" s="111"/>
    </row>
    <row r="1411" spans="2:2">
      <c r="B1411" s="111"/>
    </row>
    <row r="1412" spans="2:2">
      <c r="B1412" s="111"/>
    </row>
    <row r="1413" spans="2:2">
      <c r="B1413" s="111"/>
    </row>
    <row r="1414" spans="2:2">
      <c r="B1414" s="111"/>
    </row>
    <row r="1415" spans="2:2">
      <c r="B1415" s="111"/>
    </row>
    <row r="1416" spans="2:2">
      <c r="B1416" s="111"/>
    </row>
    <row r="1417" spans="2:2">
      <c r="B1417" s="111"/>
    </row>
    <row r="1418" spans="2:2">
      <c r="B1418" s="111"/>
    </row>
    <row r="1419" spans="2:2">
      <c r="B1419" s="111"/>
    </row>
    <row r="1420" spans="2:2">
      <c r="B1420" s="111"/>
    </row>
    <row r="1421" spans="2:2">
      <c r="B1421" s="111"/>
    </row>
    <row r="1422" spans="2:2">
      <c r="B1422" s="111"/>
    </row>
    <row r="1423" spans="2:2">
      <c r="B1423" s="111"/>
    </row>
    <row r="1424" spans="2:2">
      <c r="B1424" s="111"/>
    </row>
    <row r="1425" spans="2:2">
      <c r="B1425" s="111"/>
    </row>
    <row r="1426" spans="2:2">
      <c r="B1426" s="111"/>
    </row>
    <row r="1427" spans="2:2">
      <c r="B1427" s="111"/>
    </row>
    <row r="1428" spans="2:2">
      <c r="B1428" s="111"/>
    </row>
    <row r="1429" spans="2:2">
      <c r="B1429" s="111"/>
    </row>
    <row r="1430" spans="2:2">
      <c r="B1430" s="111"/>
    </row>
    <row r="1431" spans="2:2">
      <c r="B1431" s="111"/>
    </row>
    <row r="1432" spans="2:2">
      <c r="B1432" s="111"/>
    </row>
    <row r="1433" spans="2:2">
      <c r="B1433" s="111"/>
    </row>
    <row r="1434" spans="2:2">
      <c r="B1434" s="111"/>
    </row>
    <row r="1435" spans="2:2">
      <c r="B1435" s="111"/>
    </row>
    <row r="1436" spans="2:2">
      <c r="B1436" s="111"/>
    </row>
    <row r="1437" spans="2:2">
      <c r="B1437" s="111"/>
    </row>
    <row r="1438" spans="2:2">
      <c r="B1438" s="111"/>
    </row>
    <row r="1439" spans="2:2">
      <c r="B1439" s="111"/>
    </row>
    <row r="1440" spans="2:2">
      <c r="B1440" s="111"/>
    </row>
    <row r="1441" spans="2:2">
      <c r="B1441" s="111"/>
    </row>
    <row r="1442" spans="2:2">
      <c r="B1442" s="111"/>
    </row>
    <row r="1443" spans="2:2">
      <c r="B1443" s="111"/>
    </row>
    <row r="1444" spans="2:2">
      <c r="B1444" s="111"/>
    </row>
    <row r="1445" spans="2:2">
      <c r="B1445" s="111"/>
    </row>
    <row r="1446" spans="2:2">
      <c r="B1446" s="111"/>
    </row>
    <row r="1447" spans="2:2">
      <c r="B1447" s="111"/>
    </row>
    <row r="1448" spans="2:2">
      <c r="B1448" s="111"/>
    </row>
    <row r="1449" spans="2:2">
      <c r="B1449" s="111"/>
    </row>
    <row r="1450" spans="2:2">
      <c r="B1450" s="111"/>
    </row>
    <row r="1451" spans="2:2">
      <c r="B1451" s="111"/>
    </row>
    <row r="1452" spans="2:2">
      <c r="B1452" s="111"/>
    </row>
    <row r="1453" spans="2:2">
      <c r="B1453" s="111"/>
    </row>
    <row r="1454" spans="2:2">
      <c r="B1454" s="111"/>
    </row>
    <row r="1455" spans="2:2">
      <c r="B1455" s="111"/>
    </row>
    <row r="1456" spans="2:2">
      <c r="B1456" s="111"/>
    </row>
    <row r="1457" spans="2:2">
      <c r="B1457" s="111"/>
    </row>
    <row r="1458" spans="2:2">
      <c r="B1458" s="111"/>
    </row>
    <row r="1459" spans="2:2">
      <c r="B1459" s="111"/>
    </row>
    <row r="1460" spans="2:2">
      <c r="B1460" s="111"/>
    </row>
    <row r="1461" spans="2:2">
      <c r="B1461" s="111"/>
    </row>
    <row r="1462" spans="2:2">
      <c r="B1462" s="111"/>
    </row>
    <row r="1463" spans="2:2">
      <c r="B1463" s="111"/>
    </row>
    <row r="1464" spans="2:2">
      <c r="B1464" s="111"/>
    </row>
    <row r="1465" spans="2:2">
      <c r="B1465" s="111"/>
    </row>
    <row r="1466" spans="2:2">
      <c r="B1466" s="111"/>
    </row>
    <row r="1467" spans="2:2">
      <c r="B1467" s="111"/>
    </row>
    <row r="1468" spans="2:2">
      <c r="B1468" s="111"/>
    </row>
    <row r="1469" spans="2:2">
      <c r="B1469" s="111"/>
    </row>
    <row r="1470" spans="2:2">
      <c r="B1470" s="111"/>
    </row>
  </sheetData>
  <mergeCells count="35">
    <mergeCell ref="G5:I5"/>
    <mergeCell ref="K5:L5"/>
    <mergeCell ref="G24:H24"/>
    <mergeCell ref="AZ400:BA400"/>
    <mergeCell ref="AZ280:BA280"/>
    <mergeCell ref="AZ308:BA308"/>
    <mergeCell ref="AZ339:BA339"/>
    <mergeCell ref="AZ369:BA369"/>
    <mergeCell ref="AZ249:BA249"/>
    <mergeCell ref="AZ127:BA127"/>
    <mergeCell ref="AF26:AH26"/>
    <mergeCell ref="AZ157:BA157"/>
    <mergeCell ref="AZ188:BA188"/>
    <mergeCell ref="AZ218:BA218"/>
    <mergeCell ref="AL1:BD1"/>
    <mergeCell ref="AZ65:BA65"/>
    <mergeCell ref="AZ96:BA96"/>
    <mergeCell ref="AO3:AQ3"/>
    <mergeCell ref="AZ35:BA35"/>
    <mergeCell ref="A7:A13"/>
    <mergeCell ref="A14:A18"/>
    <mergeCell ref="K40:L40"/>
    <mergeCell ref="AC2:AF2"/>
    <mergeCell ref="V5:X5"/>
    <mergeCell ref="T21:W21"/>
    <mergeCell ref="R5:T5"/>
    <mergeCell ref="N5:P5"/>
    <mergeCell ref="Z5:AA5"/>
    <mergeCell ref="N25:P25"/>
    <mergeCell ref="O40:P40"/>
    <mergeCell ref="D24:E24"/>
    <mergeCell ref="N22:P22"/>
    <mergeCell ref="C5:E5"/>
    <mergeCell ref="B2:E2"/>
    <mergeCell ref="N23:P23"/>
  </mergeCells>
  <phoneticPr fontId="0" type="noConversion"/>
  <conditionalFormatting sqref="AX338:AX366 AX368:AX397 AU5:AW399">
    <cfRule type="expression" dxfId="6" priority="20" stopIfTrue="1">
      <formula>OR(WEEKDAY($AL7)=1)</formula>
    </cfRule>
  </conditionalFormatting>
  <conditionalFormatting sqref="AX307:AX336">
    <cfRule type="expression" dxfId="5" priority="22" stopIfTrue="1">
      <formula>OR(WEEKDAY($AL309)=1)</formula>
    </cfRule>
  </conditionalFormatting>
  <conditionalFormatting sqref="AX279:AX305 AX64:AX93 AX95:AX124 AX126:AX154 AX156:AX185 AX187:AX215 AX217:AX246 AX248:AX277 AX34:AX62 AX26:AX31">
    <cfRule type="expression" dxfId="4" priority="24" stopIfTrue="1">
      <formula>OR(WEEKDAY($AL26)=1)</formula>
    </cfRule>
  </conditionalFormatting>
  <conditionalFormatting sqref="AV307 AU306:AW306">
    <cfRule type="expression" dxfId="3" priority="40" stopIfTrue="1">
      <formula>OR(WEEKDAY($AL307)=1)</formula>
    </cfRule>
  </conditionalFormatting>
  <conditionalFormatting sqref="AX24:AX25">
    <cfRule type="expression" dxfId="2" priority="56" stopIfTrue="1">
      <formula>OR(WEEKDAY(#REF!)=1)</formula>
    </cfRule>
  </conditionalFormatting>
  <conditionalFormatting sqref="AL5:AL35">
    <cfRule type="cellIs" dxfId="1" priority="19" operator="equal">
      <formula>$AF$27</formula>
    </cfRule>
  </conditionalFormatting>
  <printOptions horizontalCentered="1" verticalCentered="1"/>
  <pageMargins left="0.19685039370078741" right="0.19685039370078741" top="0.19685039370078741" bottom="0.19685039370078741" header="0.39370078740157483" footer="0.51181102362204722"/>
  <pageSetup paperSize="9" scale="85" orientation="landscape" r:id="rId1"/>
  <headerFooter alignWithMargins="0">
    <oddHeader>&amp;F</oddHeader>
  </headerFooter>
  <rowBreaks count="2" manualBreakCount="2">
    <brk id="41" min="1" max="34" man="1"/>
    <brk id="362" min="1" max="30" man="1"/>
  </rowBreaks>
  <colBreaks count="1" manualBreakCount="1">
    <brk id="24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P58"/>
  <sheetViews>
    <sheetView showGridLines="0" view="pageBreakPreview" topLeftCell="D1" zoomScaleNormal="75" zoomScaleSheetLayoutView="100" workbookViewId="0">
      <selection activeCell="D6" sqref="D6"/>
    </sheetView>
  </sheetViews>
  <sheetFormatPr baseColWidth="10" defaultRowHeight="12.75"/>
  <cols>
    <col min="1" max="3" width="11.42578125" style="1"/>
    <col min="4" max="4" width="11.5703125" style="1" bestFit="1" customWidth="1"/>
    <col min="5" max="7" width="11.42578125" style="1"/>
    <col min="8" max="8" width="2.85546875" style="1" customWidth="1"/>
    <col min="9" max="16384" width="11.42578125" style="1"/>
  </cols>
  <sheetData>
    <row r="1" spans="1:16" ht="16.5" thickBot="1">
      <c r="B1" s="958" t="s">
        <v>23</v>
      </c>
      <c r="C1" s="959"/>
      <c r="D1" s="955" t="s">
        <v>211</v>
      </c>
      <c r="E1" s="956"/>
      <c r="G1" s="45"/>
      <c r="H1" s="45"/>
      <c r="I1" s="45"/>
      <c r="L1" s="17"/>
    </row>
    <row r="2" spans="1:16" ht="13.5" thickBot="1">
      <c r="D2" s="946"/>
      <c r="E2" s="946"/>
      <c r="K2" s="94" t="s">
        <v>74</v>
      </c>
    </row>
    <row r="3" spans="1:16">
      <c r="A3" s="227"/>
      <c r="B3" s="46" t="s">
        <v>24</v>
      </c>
      <c r="C3" s="46" t="s">
        <v>137</v>
      </c>
      <c r="D3" s="46" t="s">
        <v>26</v>
      </c>
      <c r="E3" s="46" t="s">
        <v>26</v>
      </c>
      <c r="F3" s="46" t="s">
        <v>21</v>
      </c>
      <c r="G3" s="227"/>
      <c r="H3" s="227"/>
      <c r="I3" s="227"/>
      <c r="J3" s="227"/>
    </row>
    <row r="4" spans="1:16">
      <c r="A4" s="227"/>
      <c r="B4" s="47" t="s">
        <v>25</v>
      </c>
      <c r="C4" s="47" t="s">
        <v>138</v>
      </c>
      <c r="D4" s="47"/>
      <c r="E4" s="47" t="s">
        <v>6</v>
      </c>
      <c r="F4" s="47" t="s">
        <v>27</v>
      </c>
      <c r="G4" s="227"/>
      <c r="H4" s="227"/>
      <c r="I4" s="227"/>
      <c r="J4" s="227"/>
    </row>
    <row r="5" spans="1:16" s="7" customFormat="1" ht="13.5" thickBot="1">
      <c r="A5" s="99"/>
      <c r="B5" s="228">
        <v>152</v>
      </c>
      <c r="C5" s="228">
        <f>+B5*D5</f>
        <v>0</v>
      </c>
      <c r="D5" s="578">
        <v>0</v>
      </c>
      <c r="E5" s="229">
        <f>+D5</f>
        <v>0</v>
      </c>
      <c r="F5" s="230">
        <v>1584</v>
      </c>
      <c r="G5" s="99"/>
      <c r="H5" s="99"/>
      <c r="I5" s="99"/>
      <c r="J5" s="99"/>
      <c r="K5" s="93" t="s">
        <v>73</v>
      </c>
    </row>
    <row r="7" spans="1:16" ht="13.5" thickBot="1">
      <c r="H7" s="139"/>
    </row>
    <row r="8" spans="1:16" ht="13.5" thickBot="1">
      <c r="A8" s="960" t="s">
        <v>29</v>
      </c>
      <c r="B8" s="961"/>
      <c r="C8" s="962"/>
      <c r="D8" s="48" t="s">
        <v>135</v>
      </c>
      <c r="E8" s="953" t="s">
        <v>30</v>
      </c>
      <c r="F8" s="957"/>
      <c r="G8" s="954"/>
      <c r="H8" s="25"/>
      <c r="I8" s="953" t="s">
        <v>34</v>
      </c>
      <c r="J8" s="954"/>
    </row>
    <row r="9" spans="1:16" ht="13.5" thickBot="1">
      <c r="A9" s="963"/>
      <c r="B9" s="964"/>
      <c r="C9" s="965"/>
      <c r="D9" s="49" t="s">
        <v>136</v>
      </c>
      <c r="E9" s="50" t="s">
        <v>31</v>
      </c>
      <c r="F9" s="51" t="s">
        <v>32</v>
      </c>
      <c r="G9" s="52" t="s">
        <v>33</v>
      </c>
      <c r="H9" s="25"/>
      <c r="I9" s="50" t="s">
        <v>31</v>
      </c>
      <c r="J9" s="52" t="s">
        <v>35</v>
      </c>
    </row>
    <row r="10" spans="1:16">
      <c r="A10" s="966" t="s">
        <v>36</v>
      </c>
      <c r="B10" s="967"/>
      <c r="C10" s="968"/>
      <c r="D10" s="697"/>
      <c r="E10" s="529"/>
      <c r="F10" s="231">
        <f>+C5</f>
        <v>0</v>
      </c>
      <c r="G10" s="54"/>
      <c r="H10" s="247"/>
      <c r="I10" s="533"/>
      <c r="J10" s="238"/>
      <c r="M10" s="302"/>
    </row>
    <row r="11" spans="1:16">
      <c r="A11" s="947" t="s">
        <v>37</v>
      </c>
      <c r="B11" s="948"/>
      <c r="C11" s="949"/>
      <c r="D11" s="55">
        <f>IF($D$1="juin",'Récapitulatif '!D7,IF('Bulletin de paie juin janv.'!$D$1:$E$1="juillet",'Récapitulatif '!D8,IF($D$1="aout",'Récapitulatif '!D9,IF('Bulletin de paie juin janv.'!$D$1:$E$1="septembre",'Récapitulatif '!D10,IF('Bulletin de paie juin janv.'!$D$1:$E$1="octobre",'Récapitulatif '!D11,IF('Bulletin de paie juin janv.'!$D$1:$E$1="novembre",'Récapitulatif '!D12,IF('Bulletin de paie juin janv.'!$D$1:$E$1="decembre",'Récapitulatif '!D13,IF('Bulletin de paie juin janv.'!$D$1:$E$1="janvier",'Récapitulatif '!D14,))))))))</f>
        <v>0</v>
      </c>
      <c r="E11" s="157">
        <f>+D5*0.6</f>
        <v>0</v>
      </c>
      <c r="F11" s="56">
        <f>+E11*D11</f>
        <v>0</v>
      </c>
      <c r="G11" s="57"/>
      <c r="H11" s="242"/>
      <c r="I11" s="534"/>
      <c r="J11" s="239"/>
    </row>
    <row r="12" spans="1:16">
      <c r="A12" s="947" t="s">
        <v>38</v>
      </c>
      <c r="B12" s="948"/>
      <c r="C12" s="949"/>
      <c r="D12" s="55">
        <f>IF($D$1="juin",'Récapitulatif '!G7,IF('Bulletin de paie juin janv.'!$D$1:$E$1="juillet",'Récapitulatif '!G8,IF($D$1="aout",'Récapitulatif '!G9,IF('Bulletin de paie juin janv.'!$D$1:$E$1="septembre",'Récapitulatif '!G10,IF('Bulletin de paie juin janv.'!$D$1:$E$1="octobre",'Récapitulatif '!G11,IF('Bulletin de paie juin janv.'!$D$1:$E$1="novembre",'Récapitulatif '!G12,IF('Bulletin de paie juin janv.'!$D$1:$E$1="decembre",'Récapitulatif '!G13,IF('Bulletin de paie juin janv.'!$D$1:$E$1="janvier",'Récapitulatif '!G14,))))))))</f>
        <v>0</v>
      </c>
      <c r="E12" s="157">
        <f>+D5*0.25</f>
        <v>0</v>
      </c>
      <c r="F12" s="56">
        <f>+E12*D12</f>
        <v>0</v>
      </c>
      <c r="G12" s="57"/>
      <c r="H12" s="242"/>
      <c r="I12" s="535"/>
      <c r="J12" s="239"/>
    </row>
    <row r="13" spans="1:16">
      <c r="A13" s="947" t="s">
        <v>39</v>
      </c>
      <c r="B13" s="948"/>
      <c r="C13" s="949"/>
      <c r="D13" s="55">
        <f>IF($D$1="juin",'Récapitulatif '!H7,IF('Bulletin de paie juin janv.'!$D$1:$E$1="juillet",'Récapitulatif '!H8,IF($D$1="aout",'Récapitulatif '!H9,IF('Bulletin de paie juin janv.'!$D$1:$E$1="septembre",'Récapitulatif '!H10,IF('Bulletin de paie juin janv.'!$D$1:$E$1="octobre",'Récapitulatif '!H11,IF('Bulletin de paie juin janv.'!$D$1:$E$1="novembre",'Récapitulatif '!H12,IF('Bulletin de paie juin janv.'!$D$1:$E$1="decembre",'Récapitulatif '!H13,IF('Bulletin de paie juin janv.'!$D$1:$E$1="janvier",'Récapitulatif '!H14,))))))))</f>
        <v>0</v>
      </c>
      <c r="E13" s="157">
        <f>+D5*1</f>
        <v>0</v>
      </c>
      <c r="F13" s="56">
        <f>+E13*D13</f>
        <v>0</v>
      </c>
      <c r="G13" s="57"/>
      <c r="H13" s="242"/>
      <c r="I13" s="535"/>
      <c r="J13" s="239"/>
      <c r="P13" s="1" t="s">
        <v>179</v>
      </c>
    </row>
    <row r="14" spans="1:16">
      <c r="A14" s="947" t="s">
        <v>40</v>
      </c>
      <c r="B14" s="948"/>
      <c r="C14" s="949"/>
      <c r="D14" s="55">
        <f>IF($D$1="juin",'Récapitulatif '!I7,IF('Bulletin de paie juin janv.'!$D$1:$E$1="juillet",'Récapitulatif '!I8,IF($D$1="aout",'Récapitulatif '!I9,IF('Bulletin de paie juin janv.'!$D$1:$E$1="septembre",'Récapitulatif '!I10,IF('Bulletin de paie juin janv.'!$D$1:$E$1="octobre",'Récapitulatif '!I11,IF('Bulletin de paie juin janv.'!$D$1:$E$1="novembre",'Récapitulatif '!I12,IF('Bulletin de paie juin janv.'!$D$1:$E$1="decembre",'Récapitulatif '!I13,IF('Bulletin de paie juin janv.'!$D$1:$E$1="janvier",'Récapitulatif '!I14,))))))))</f>
        <v>0</v>
      </c>
      <c r="E14" s="157">
        <f>+D5*(50/100)+D5</f>
        <v>0</v>
      </c>
      <c r="F14" s="56">
        <f>+E14*D14</f>
        <v>0</v>
      </c>
      <c r="G14" s="57"/>
      <c r="H14" s="242"/>
      <c r="I14" s="535"/>
      <c r="J14" s="239"/>
      <c r="P14" s="1" t="s">
        <v>209</v>
      </c>
    </row>
    <row r="15" spans="1:16" ht="13.5" thickBot="1">
      <c r="A15" s="947" t="s">
        <v>121</v>
      </c>
      <c r="B15" s="948"/>
      <c r="C15" s="949"/>
      <c r="D15" s="55">
        <f>IF($D$1="juin",'Récapitulatif '!AJ7,IF('Bulletin de paie juin janv.'!$D$1:$E$1="juillet",'Récapitulatif '!AJ8,IF($D$1="aout",'Récapitulatif '!AJ9,IF('Bulletin de paie juin janv.'!$D$1:$E$1="septembre",'Récapitulatif '!AJ10,IF('Bulletin de paie juin janv.'!$D$1:$E$1="octobre",'Récapitulatif '!AJ11,IF('Bulletin de paie juin janv.'!$D$1:$E$1="novembre",'Récapitulatif '!AJ12,IF('Bulletin de paie juin janv.'!$D$1:$E$1="decembre",'Récapitulatif '!AJ13,IF('Bulletin de paie juin janv.'!$D$1:$E$1="janvier",'Récapitulatif '!AJ14,))))))))</f>
        <v>0</v>
      </c>
      <c r="E15" s="157">
        <v>0</v>
      </c>
      <c r="F15" s="56">
        <f>IF(D15="","",D15*E15)</f>
        <v>0</v>
      </c>
      <c r="G15" s="57"/>
      <c r="H15" s="242"/>
      <c r="I15" s="535"/>
      <c r="J15" s="239"/>
      <c r="P15" s="1" t="s">
        <v>181</v>
      </c>
    </row>
    <row r="16" spans="1:16" ht="13.5" thickBot="1">
      <c r="A16" s="947" t="s">
        <v>49</v>
      </c>
      <c r="B16" s="948"/>
      <c r="C16" s="949"/>
      <c r="D16" s="58"/>
      <c r="E16" s="530"/>
      <c r="F16" s="234"/>
      <c r="G16" s="57"/>
      <c r="H16" s="242"/>
      <c r="I16" s="535"/>
      <c r="J16" s="239"/>
      <c r="K16" s="94"/>
      <c r="P16" s="1" t="s">
        <v>182</v>
      </c>
    </row>
    <row r="17" spans="1:16" ht="13.5" thickBot="1">
      <c r="A17" s="947" t="s">
        <v>147</v>
      </c>
      <c r="B17" s="948"/>
      <c r="C17" s="949"/>
      <c r="D17" s="58"/>
      <c r="E17" s="530"/>
      <c r="F17" s="96"/>
      <c r="G17" s="235"/>
      <c r="H17" s="243"/>
      <c r="I17" s="535"/>
      <c r="J17" s="239"/>
      <c r="P17" s="1" t="s">
        <v>183</v>
      </c>
    </row>
    <row r="18" spans="1:16" ht="13.5" thickBot="1">
      <c r="A18" s="947" t="s">
        <v>50</v>
      </c>
      <c r="B18" s="948"/>
      <c r="C18" s="949"/>
      <c r="D18" s="55">
        <f>+SUM(F10:F15)-G17</f>
        <v>0</v>
      </c>
      <c r="E18" s="236">
        <v>15</v>
      </c>
      <c r="F18" s="56">
        <f>(E18*D18)/100</f>
        <v>0</v>
      </c>
      <c r="G18" s="57"/>
      <c r="H18" s="242"/>
      <c r="I18" s="535"/>
      <c r="J18" s="239"/>
      <c r="K18" s="94" t="s">
        <v>72</v>
      </c>
      <c r="P18" s="1" t="s">
        <v>174</v>
      </c>
    </row>
    <row r="19" spans="1:16" ht="13.5" thickBot="1">
      <c r="A19" s="969" t="s">
        <v>122</v>
      </c>
      <c r="B19" s="970"/>
      <c r="C19" s="971"/>
      <c r="D19" s="232"/>
      <c r="E19" s="531"/>
      <c r="F19" s="233">
        <f>SUM(F10:F18)-G17</f>
        <v>0</v>
      </c>
      <c r="G19" s="233"/>
      <c r="H19" s="248"/>
      <c r="I19" s="536"/>
      <c r="J19" s="240"/>
      <c r="P19" s="1" t="s">
        <v>175</v>
      </c>
    </row>
    <row r="20" spans="1:16">
      <c r="A20" s="947" t="s">
        <v>41</v>
      </c>
      <c r="B20" s="948"/>
      <c r="C20" s="949"/>
      <c r="D20" s="55">
        <f>+$F$19</f>
        <v>0</v>
      </c>
      <c r="E20" s="530">
        <v>0.75</v>
      </c>
      <c r="F20" s="59"/>
      <c r="G20" s="57">
        <f>+(E20*D20)/100</f>
        <v>0</v>
      </c>
      <c r="H20" s="242"/>
      <c r="I20" s="535">
        <v>12.8</v>
      </c>
      <c r="J20" s="239">
        <f>+(D20*I20)/100</f>
        <v>0</v>
      </c>
      <c r="P20" s="1" t="s">
        <v>210</v>
      </c>
    </row>
    <row r="21" spans="1:16">
      <c r="A21" s="947" t="s">
        <v>123</v>
      </c>
      <c r="B21" s="948"/>
      <c r="C21" s="949"/>
      <c r="D21" s="55">
        <f t="shared" ref="D21:D26" si="0">+$F$19</f>
        <v>0</v>
      </c>
      <c r="E21" s="530">
        <v>6.8</v>
      </c>
      <c r="F21" s="56"/>
      <c r="G21" s="57">
        <f t="shared" ref="G21:G40" si="1">+(E21*D21)/100</f>
        <v>0</v>
      </c>
      <c r="H21" s="242"/>
      <c r="I21" s="535">
        <v>8.5</v>
      </c>
      <c r="J21" s="239">
        <f t="shared" ref="J21:J37" si="2">+(D21*I21)/100</f>
        <v>0</v>
      </c>
      <c r="P21" s="1" t="s">
        <v>176</v>
      </c>
    </row>
    <row r="22" spans="1:16">
      <c r="A22" s="947" t="s">
        <v>124</v>
      </c>
      <c r="B22" s="948"/>
      <c r="C22" s="949"/>
      <c r="D22" s="55">
        <f t="shared" si="0"/>
        <v>0</v>
      </c>
      <c r="E22" s="530">
        <v>0.3</v>
      </c>
      <c r="F22" s="56"/>
      <c r="G22" s="57">
        <f t="shared" si="1"/>
        <v>0</v>
      </c>
      <c r="H22" s="242"/>
      <c r="I22" s="535">
        <v>1.8</v>
      </c>
      <c r="J22" s="239">
        <f t="shared" si="2"/>
        <v>0</v>
      </c>
      <c r="P22" s="1" t="s">
        <v>177</v>
      </c>
    </row>
    <row r="23" spans="1:16">
      <c r="A23" s="947" t="s">
        <v>48</v>
      </c>
      <c r="B23" s="948"/>
      <c r="C23" s="949"/>
      <c r="D23" s="55">
        <f t="shared" si="0"/>
        <v>0</v>
      </c>
      <c r="E23" s="530"/>
      <c r="F23" s="56"/>
      <c r="G23" s="57">
        <f t="shared" si="1"/>
        <v>0</v>
      </c>
      <c r="H23" s="242"/>
      <c r="I23" s="535">
        <v>5.25</v>
      </c>
      <c r="J23" s="239">
        <f t="shared" si="2"/>
        <v>0</v>
      </c>
      <c r="P23" s="1" t="s">
        <v>178</v>
      </c>
    </row>
    <row r="24" spans="1:16">
      <c r="A24" s="224"/>
      <c r="B24" s="225" t="s">
        <v>125</v>
      </c>
      <c r="C24" s="226"/>
      <c r="D24" s="55">
        <f t="shared" si="0"/>
        <v>0</v>
      </c>
      <c r="E24" s="530"/>
      <c r="F24" s="56"/>
      <c r="G24" s="57">
        <f t="shared" si="1"/>
        <v>0</v>
      </c>
      <c r="H24" s="242"/>
      <c r="I24" s="535">
        <v>0.3</v>
      </c>
      <c r="J24" s="239">
        <f t="shared" si="2"/>
        <v>0</v>
      </c>
      <c r="P24" s="1" t="s">
        <v>211</v>
      </c>
    </row>
    <row r="25" spans="1:16">
      <c r="A25" s="947" t="s">
        <v>42</v>
      </c>
      <c r="B25" s="948"/>
      <c r="C25" s="949"/>
      <c r="D25" s="55">
        <f t="shared" si="0"/>
        <v>0</v>
      </c>
      <c r="E25" s="530"/>
      <c r="F25" s="56"/>
      <c r="G25" s="57">
        <f t="shared" si="1"/>
        <v>0</v>
      </c>
      <c r="H25" s="242"/>
      <c r="I25" s="535">
        <v>2.0699999999999998</v>
      </c>
      <c r="J25" s="239">
        <f t="shared" si="2"/>
        <v>0</v>
      </c>
      <c r="N25" s="17"/>
    </row>
    <row r="26" spans="1:16">
      <c r="A26" s="947" t="s">
        <v>43</v>
      </c>
      <c r="B26" s="948"/>
      <c r="C26" s="949"/>
      <c r="D26" s="55">
        <f t="shared" si="0"/>
        <v>0</v>
      </c>
      <c r="E26" s="530"/>
      <c r="F26" s="56"/>
      <c r="G26" s="57">
        <f t="shared" si="1"/>
        <v>0</v>
      </c>
      <c r="H26" s="242"/>
      <c r="I26" s="535">
        <v>0.5</v>
      </c>
      <c r="J26" s="239">
        <f t="shared" si="2"/>
        <v>0</v>
      </c>
      <c r="M26" s="17"/>
    </row>
    <row r="27" spans="1:16">
      <c r="A27" s="947" t="s">
        <v>148</v>
      </c>
      <c r="B27" s="948"/>
      <c r="C27" s="949"/>
      <c r="D27" s="55"/>
      <c r="E27" s="530"/>
      <c r="F27" s="56"/>
      <c r="G27" s="57">
        <f t="shared" si="1"/>
        <v>0</v>
      </c>
      <c r="H27" s="242"/>
      <c r="I27" s="535"/>
      <c r="J27" s="239">
        <v>0</v>
      </c>
      <c r="M27" s="17"/>
    </row>
    <row r="28" spans="1:16">
      <c r="A28" s="947" t="s">
        <v>44</v>
      </c>
      <c r="B28" s="948"/>
      <c r="C28" s="949"/>
      <c r="D28" s="55">
        <f>+$F$19</f>
        <v>0</v>
      </c>
      <c r="E28" s="530">
        <v>2.4</v>
      </c>
      <c r="F28" s="56"/>
      <c r="G28" s="57">
        <f t="shared" si="1"/>
        <v>0</v>
      </c>
      <c r="H28" s="242"/>
      <c r="I28" s="535">
        <v>4</v>
      </c>
      <c r="J28" s="239">
        <f t="shared" si="2"/>
        <v>0</v>
      </c>
    </row>
    <row r="29" spans="1:16">
      <c r="A29" s="947" t="s">
        <v>126</v>
      </c>
      <c r="B29" s="948"/>
      <c r="C29" s="949"/>
      <c r="D29" s="55">
        <f>+$F$19</f>
        <v>0</v>
      </c>
      <c r="E29" s="530"/>
      <c r="F29" s="56">
        <f>+-(E29*D29)/100</f>
        <v>0</v>
      </c>
      <c r="G29" s="57">
        <f t="shared" si="1"/>
        <v>0</v>
      </c>
      <c r="H29" s="242"/>
      <c r="I29" s="535">
        <v>0.3</v>
      </c>
      <c r="J29" s="239">
        <f t="shared" si="2"/>
        <v>0</v>
      </c>
    </row>
    <row r="30" spans="1:16">
      <c r="A30" s="224"/>
      <c r="B30" s="225" t="s">
        <v>127</v>
      </c>
      <c r="C30" s="226"/>
      <c r="D30" s="55">
        <f>+$F$19</f>
        <v>0</v>
      </c>
      <c r="E30" s="530">
        <v>0.8</v>
      </c>
      <c r="F30" s="56"/>
      <c r="G30" s="57">
        <f t="shared" si="1"/>
        <v>0</v>
      </c>
      <c r="H30" s="242"/>
      <c r="I30" s="535">
        <v>1.2</v>
      </c>
      <c r="J30" s="239">
        <f t="shared" si="2"/>
        <v>0</v>
      </c>
    </row>
    <row r="31" spans="1:16">
      <c r="A31" s="947" t="s">
        <v>45</v>
      </c>
      <c r="B31" s="948"/>
      <c r="C31" s="949"/>
      <c r="D31" s="55">
        <f>+$F$19</f>
        <v>0</v>
      </c>
      <c r="E31" s="530">
        <v>3.1</v>
      </c>
      <c r="F31" s="56"/>
      <c r="G31" s="57">
        <f t="shared" si="1"/>
        <v>0</v>
      </c>
      <c r="H31" s="242"/>
      <c r="I31" s="535">
        <v>4.6500000000000004</v>
      </c>
      <c r="J31" s="239">
        <f t="shared" si="2"/>
        <v>0</v>
      </c>
    </row>
    <row r="32" spans="1:16" ht="13.5" thickBot="1">
      <c r="A32" s="947" t="s">
        <v>128</v>
      </c>
      <c r="B32" s="948"/>
      <c r="C32" s="949"/>
      <c r="D32" s="55">
        <f>+$F$19</f>
        <v>0</v>
      </c>
      <c r="E32" s="530">
        <v>0.215</v>
      </c>
      <c r="F32" s="56"/>
      <c r="G32" s="57">
        <f t="shared" si="1"/>
        <v>0</v>
      </c>
      <c r="H32" s="242"/>
      <c r="I32" s="535">
        <v>0.81399999999999995</v>
      </c>
      <c r="J32" s="239">
        <f t="shared" si="2"/>
        <v>0</v>
      </c>
    </row>
    <row r="33" spans="1:12" ht="13.5" thickBot="1">
      <c r="A33" s="430"/>
      <c r="B33" s="431" t="s">
        <v>171</v>
      </c>
      <c r="C33" s="432"/>
      <c r="D33" s="433"/>
      <c r="E33" s="434"/>
      <c r="F33" s="56"/>
      <c r="G33" s="57">
        <f t="shared" si="1"/>
        <v>0</v>
      </c>
      <c r="H33" s="242"/>
      <c r="I33" s="535">
        <v>1.33</v>
      </c>
      <c r="J33" s="239">
        <f t="shared" si="2"/>
        <v>0</v>
      </c>
    </row>
    <row r="34" spans="1:12">
      <c r="A34" s="224"/>
      <c r="B34" s="225" t="s">
        <v>172</v>
      </c>
      <c r="C34" s="226"/>
      <c r="D34" s="55">
        <v>58.85</v>
      </c>
      <c r="E34" s="530"/>
      <c r="F34" s="56"/>
      <c r="G34" s="57">
        <f t="shared" si="1"/>
        <v>0</v>
      </c>
      <c r="H34" s="242"/>
      <c r="I34" s="535">
        <v>8</v>
      </c>
      <c r="J34" s="239">
        <f t="shared" si="2"/>
        <v>4.7080000000000002</v>
      </c>
    </row>
    <row r="35" spans="1:12">
      <c r="A35" s="947" t="s">
        <v>129</v>
      </c>
      <c r="B35" s="948"/>
      <c r="C35" s="949"/>
      <c r="D35" s="55">
        <f>+J32</f>
        <v>0</v>
      </c>
      <c r="E35" s="530"/>
      <c r="F35" s="56"/>
      <c r="G35" s="57">
        <f t="shared" si="1"/>
        <v>0</v>
      </c>
      <c r="H35" s="242"/>
      <c r="I35" s="535">
        <v>8</v>
      </c>
      <c r="J35" s="239">
        <f t="shared" si="2"/>
        <v>0</v>
      </c>
    </row>
    <row r="36" spans="1:12">
      <c r="A36" s="947" t="s">
        <v>130</v>
      </c>
      <c r="B36" s="948"/>
      <c r="C36" s="949"/>
      <c r="D36" s="55">
        <f>+$F$19</f>
        <v>0</v>
      </c>
      <c r="E36" s="530"/>
      <c r="F36" s="56"/>
      <c r="G36" s="57">
        <f t="shared" si="1"/>
        <v>0</v>
      </c>
      <c r="H36" s="242"/>
      <c r="I36" s="535">
        <v>0.68</v>
      </c>
      <c r="J36" s="239">
        <f t="shared" si="2"/>
        <v>0</v>
      </c>
    </row>
    <row r="37" spans="1:12">
      <c r="A37" s="224"/>
      <c r="B37" s="225" t="s">
        <v>134</v>
      </c>
      <c r="C37" s="226"/>
      <c r="D37" s="55">
        <f>+$F$19</f>
        <v>0</v>
      </c>
      <c r="E37" s="530"/>
      <c r="F37" s="56"/>
      <c r="G37" s="57">
        <f t="shared" si="1"/>
        <v>0</v>
      </c>
      <c r="H37" s="242"/>
      <c r="I37" s="535">
        <v>0.45</v>
      </c>
      <c r="J37" s="239">
        <f t="shared" si="2"/>
        <v>0</v>
      </c>
    </row>
    <row r="38" spans="1:12">
      <c r="A38" s="947" t="s">
        <v>131</v>
      </c>
      <c r="B38" s="948"/>
      <c r="C38" s="949"/>
      <c r="D38" s="55">
        <f>+$D$37/$L$46</f>
        <v>0</v>
      </c>
      <c r="E38" s="530">
        <v>5.0999999999999996</v>
      </c>
      <c r="F38" s="56"/>
      <c r="G38" s="57">
        <f t="shared" si="1"/>
        <v>0</v>
      </c>
      <c r="H38" s="242"/>
      <c r="I38" s="535"/>
      <c r="J38" s="239"/>
    </row>
    <row r="39" spans="1:12">
      <c r="A39" s="947" t="s">
        <v>132</v>
      </c>
      <c r="B39" s="948"/>
      <c r="C39" s="949"/>
      <c r="D39" s="55">
        <f>+$D$37/$L$46</f>
        <v>0</v>
      </c>
      <c r="E39" s="530">
        <v>0.5</v>
      </c>
      <c r="F39" s="56"/>
      <c r="G39" s="57">
        <f t="shared" si="1"/>
        <v>0</v>
      </c>
      <c r="H39" s="242"/>
      <c r="I39" s="535"/>
      <c r="J39" s="239"/>
    </row>
    <row r="40" spans="1:12">
      <c r="A40" s="224"/>
      <c r="B40" s="225" t="s">
        <v>133</v>
      </c>
      <c r="C40" s="226"/>
      <c r="D40" s="55">
        <f>+$D$37/$L$46</f>
        <v>0</v>
      </c>
      <c r="E40" s="530">
        <v>2.4</v>
      </c>
      <c r="F40" s="56"/>
      <c r="G40" s="57">
        <f t="shared" si="1"/>
        <v>0</v>
      </c>
      <c r="H40" s="242"/>
      <c r="I40" s="535"/>
      <c r="J40" s="239"/>
    </row>
    <row r="41" spans="1:12">
      <c r="A41" s="947" t="s">
        <v>46</v>
      </c>
      <c r="B41" s="948"/>
      <c r="C41" s="949"/>
      <c r="D41" s="55">
        <f>IF($D$1="juin",'Récapitulatif '!K7,IF('Bulletin de paie juin janv.'!$D$1:$E$1="juillet",'Récapitulatif '!K8,IF($D$1="aout",'Récapitulatif '!K9,IF('Bulletin de paie juin janv.'!$D$1:$E$1="septembre",'Récapitulatif '!K10,IF('Bulletin de paie juin janv.'!$D$1:$E$1="octobre",'Récapitulatif '!K11,IF('Bulletin de paie juin janv.'!$D$1:$E$1="novembre",'Récapitulatif '!K12,IF('Bulletin de paie juin janv.'!$D$1:$E$1="decembre",'Récapitulatif '!K13,IF('Bulletin de paie juin janv.'!$D$1:$E$1="janvier",'Récapitulatif '!K14,))))))))</f>
        <v>0</v>
      </c>
      <c r="E41" s="530">
        <v>3.8</v>
      </c>
      <c r="F41" s="56">
        <f>+D41*E41</f>
        <v>0</v>
      </c>
      <c r="G41" s="57"/>
      <c r="H41" s="242"/>
      <c r="I41" s="535"/>
      <c r="J41" s="239"/>
    </row>
    <row r="42" spans="1:12">
      <c r="A42" s="947" t="s">
        <v>47</v>
      </c>
      <c r="B42" s="948"/>
      <c r="C42" s="949"/>
      <c r="D42" s="55">
        <f>IF($D$1="juin",'Récapitulatif '!L7,IF('Bulletin de paie juin janv.'!$D$1:$E$1="juillet",'Récapitulatif '!L8,IF($D$1="aout",'Récapitulatif '!L9,IF('Bulletin de paie juin janv.'!$D$1:$E$1="septembre",'Récapitulatif '!L10,IF('Bulletin de paie juin janv.'!$D$1:$E$1="octobre",'Récapitulatif '!L11,IF('Bulletin de paie juin janv.'!$D$1:$E$1="novembre",'Récapitulatif '!L12,IF('Bulletin de paie juin janv.'!$D$1:$E$1="decembre",'Récapitulatif '!L13,IF('Bulletin de paie juin janv.'!$D$1:$E$1="janvier",'Récapitulatif '!L14,))))))))</f>
        <v>0</v>
      </c>
      <c r="E42" s="530">
        <v>5.43</v>
      </c>
      <c r="F42" s="56">
        <f>+D42*E42</f>
        <v>0</v>
      </c>
      <c r="G42" s="57"/>
      <c r="H42" s="242"/>
      <c r="I42" s="535"/>
      <c r="J42" s="239"/>
    </row>
    <row r="43" spans="1:12">
      <c r="A43" s="947"/>
      <c r="B43" s="948"/>
      <c r="C43" s="949"/>
      <c r="D43" s="55"/>
      <c r="E43" s="530"/>
      <c r="F43" s="56"/>
      <c r="G43" s="60"/>
      <c r="H43" s="244"/>
      <c r="I43" s="535"/>
      <c r="J43" s="239"/>
      <c r="K43" s="94"/>
    </row>
    <row r="44" spans="1:12">
      <c r="A44" s="947"/>
      <c r="B44" s="948"/>
      <c r="C44" s="949"/>
      <c r="D44" s="55"/>
      <c r="E44" s="532"/>
      <c r="F44" s="61"/>
      <c r="G44" s="62"/>
      <c r="H44" s="245"/>
      <c r="I44" s="535"/>
      <c r="J44" s="239"/>
    </row>
    <row r="45" spans="1:12">
      <c r="A45" s="63"/>
      <c r="B45" s="64"/>
      <c r="C45" s="65"/>
      <c r="D45" s="55"/>
      <c r="E45" s="532"/>
      <c r="F45" s="61"/>
      <c r="G45" s="62"/>
      <c r="H45" s="245"/>
      <c r="I45" s="535"/>
      <c r="J45" s="239"/>
    </row>
    <row r="46" spans="1:12" ht="13.5" thickBot="1">
      <c r="A46" s="66"/>
      <c r="B46" s="67"/>
      <c r="C46" s="68"/>
      <c r="D46" s="69"/>
      <c r="E46" s="70"/>
      <c r="F46" s="71"/>
      <c r="G46" s="72"/>
      <c r="H46" s="245"/>
      <c r="I46" s="537"/>
      <c r="J46" s="241"/>
      <c r="L46" s="1">
        <f>2411.52/2359.29</f>
        <v>1.0221380160980633</v>
      </c>
    </row>
    <row r="47" spans="1:12" ht="18.75" thickBot="1">
      <c r="F47" s="973" t="s">
        <v>139</v>
      </c>
      <c r="G47" s="974"/>
      <c r="H47" s="246"/>
      <c r="I47" s="951">
        <f>+F19+SUM(F20:F43)-SUM(G20:G43)</f>
        <v>0</v>
      </c>
      <c r="J47" s="952"/>
    </row>
    <row r="48" spans="1:12">
      <c r="I48" s="177"/>
      <c r="J48" s="177">
        <f>(+I47-(I47*7%))</f>
        <v>0</v>
      </c>
      <c r="K48" s="17"/>
    </row>
    <row r="49" spans="6:14">
      <c r="I49" s="950"/>
      <c r="J49" s="950"/>
    </row>
    <row r="52" spans="6:14">
      <c r="N52" s="17"/>
    </row>
    <row r="53" spans="6:14">
      <c r="F53" s="972" t="s">
        <v>140</v>
      </c>
      <c r="G53" s="972"/>
      <c r="H53" s="237"/>
      <c r="I53" s="17">
        <f>+$F$19</f>
        <v>0</v>
      </c>
      <c r="K53" s="17"/>
    </row>
    <row r="54" spans="6:14">
      <c r="F54" s="972" t="s">
        <v>141</v>
      </c>
      <c r="G54" s="972" t="s">
        <v>141</v>
      </c>
      <c r="H54" s="237"/>
      <c r="I54" s="17">
        <f>+I53-I57</f>
        <v>0</v>
      </c>
    </row>
    <row r="55" spans="6:14">
      <c r="F55" s="972" t="s">
        <v>144</v>
      </c>
      <c r="G55" s="972" t="s">
        <v>142</v>
      </c>
      <c r="H55" s="237"/>
    </row>
    <row r="56" spans="6:14">
      <c r="F56" s="972" t="s">
        <v>143</v>
      </c>
      <c r="G56" s="972"/>
      <c r="H56" s="237"/>
    </row>
    <row r="57" spans="6:14">
      <c r="F57" s="972" t="s">
        <v>145</v>
      </c>
      <c r="G57" s="972"/>
      <c r="H57" s="237"/>
      <c r="I57" s="17">
        <f>SUM(G20:G38)</f>
        <v>0</v>
      </c>
    </row>
    <row r="58" spans="6:14">
      <c r="F58" s="972" t="s">
        <v>146</v>
      </c>
      <c r="G58" s="972"/>
      <c r="H58" s="237"/>
      <c r="I58" s="17">
        <f>SUM(J20:J37)</f>
        <v>4.7080000000000002</v>
      </c>
    </row>
  </sheetData>
  <sheetProtection password="CA33" sheet="1" objects="1" scenarios="1"/>
  <mergeCells count="45">
    <mergeCell ref="F56:G56"/>
    <mergeCell ref="F57:G57"/>
    <mergeCell ref="F58:G58"/>
    <mergeCell ref="F47:G47"/>
    <mergeCell ref="F53:G53"/>
    <mergeCell ref="F54:G54"/>
    <mergeCell ref="F55:G55"/>
    <mergeCell ref="A18:C18"/>
    <mergeCell ref="A20:C20"/>
    <mergeCell ref="A15:C15"/>
    <mergeCell ref="A19:C19"/>
    <mergeCell ref="A16:C16"/>
    <mergeCell ref="A17:C17"/>
    <mergeCell ref="A23:C23"/>
    <mergeCell ref="A36:C36"/>
    <mergeCell ref="A38:C38"/>
    <mergeCell ref="A39:C39"/>
    <mergeCell ref="A41:C41"/>
    <mergeCell ref="I8:J8"/>
    <mergeCell ref="D1:E1"/>
    <mergeCell ref="E8:G8"/>
    <mergeCell ref="B1:C1"/>
    <mergeCell ref="A13:C13"/>
    <mergeCell ref="D2:E2"/>
    <mergeCell ref="A8:C8"/>
    <mergeCell ref="A9:C9"/>
    <mergeCell ref="A10:C10"/>
    <mergeCell ref="A11:C11"/>
    <mergeCell ref="A12:C12"/>
    <mergeCell ref="A14:C14"/>
    <mergeCell ref="I49:J49"/>
    <mergeCell ref="I47:J47"/>
    <mergeCell ref="A25:C25"/>
    <mergeCell ref="A26:C26"/>
    <mergeCell ref="A27:C27"/>
    <mergeCell ref="A35:C35"/>
    <mergeCell ref="A28:C28"/>
    <mergeCell ref="A31:C31"/>
    <mergeCell ref="A29:C29"/>
    <mergeCell ref="A32:C32"/>
    <mergeCell ref="A21:C21"/>
    <mergeCell ref="A22:C22"/>
    <mergeCell ref="A42:C42"/>
    <mergeCell ref="A44:C44"/>
    <mergeCell ref="A43:C43"/>
  </mergeCells>
  <phoneticPr fontId="0" type="noConversion"/>
  <dataValidations count="1">
    <dataValidation type="list" allowBlank="1" showInputMessage="1" showErrorMessage="1" sqref="D1:E1">
      <formula1>$P$13:$P$24</formula1>
    </dataValidation>
  </dataValidations>
  <printOptions horizontalCentered="1" verticalCentered="1"/>
  <pageMargins left="0.39370078740157483" right="0.39370078740157483" top="0.39370078740157483" bottom="0.39370078740157483" header="0.39370078740157483" footer="0.51181102362204722"/>
  <pageSetup paperSize="9" scale="84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P58"/>
  <sheetViews>
    <sheetView showGridLines="0" view="pageBreakPreview" zoomScale="80" zoomScaleNormal="75" zoomScaleSheetLayoutView="80" workbookViewId="0">
      <selection activeCell="D6" sqref="D6"/>
    </sheetView>
  </sheetViews>
  <sheetFormatPr baseColWidth="10" defaultRowHeight="12.75"/>
  <cols>
    <col min="1" max="3" width="11.42578125" style="1"/>
    <col min="4" max="4" width="11.5703125" style="1" bestFit="1" customWidth="1"/>
    <col min="5" max="7" width="11.42578125" style="1"/>
    <col min="8" max="8" width="2.85546875" style="1" customWidth="1"/>
    <col min="9" max="16384" width="11.42578125" style="1"/>
  </cols>
  <sheetData>
    <row r="1" spans="1:16" ht="16.5" thickBot="1">
      <c r="B1" s="958" t="s">
        <v>23</v>
      </c>
      <c r="C1" s="959"/>
      <c r="D1" s="955" t="s">
        <v>182</v>
      </c>
      <c r="E1" s="956"/>
      <c r="G1" s="45"/>
      <c r="H1" s="45"/>
      <c r="I1" s="45"/>
      <c r="L1" s="17"/>
    </row>
    <row r="2" spans="1:16" ht="13.5" thickBot="1">
      <c r="D2" s="946"/>
      <c r="E2" s="946"/>
      <c r="K2" s="94" t="s">
        <v>74</v>
      </c>
    </row>
    <row r="3" spans="1:16">
      <c r="A3" s="227"/>
      <c r="B3" s="46" t="s">
        <v>24</v>
      </c>
      <c r="C3" s="46" t="s">
        <v>137</v>
      </c>
      <c r="D3" s="46" t="s">
        <v>26</v>
      </c>
      <c r="E3" s="46" t="s">
        <v>26</v>
      </c>
      <c r="F3" s="46" t="s">
        <v>21</v>
      </c>
      <c r="G3" s="227"/>
      <c r="H3" s="227"/>
      <c r="I3" s="227"/>
      <c r="J3" s="227"/>
    </row>
    <row r="4" spans="1:16">
      <c r="A4" s="227"/>
      <c r="B4" s="47" t="s">
        <v>25</v>
      </c>
      <c r="C4" s="47" t="s">
        <v>138</v>
      </c>
      <c r="D4" s="47"/>
      <c r="E4" s="47" t="s">
        <v>6</v>
      </c>
      <c r="F4" s="47" t="s">
        <v>27</v>
      </c>
      <c r="G4" s="227"/>
      <c r="H4" s="227"/>
      <c r="I4" s="227"/>
      <c r="J4" s="227"/>
    </row>
    <row r="5" spans="1:16" ht="13.5" thickBot="1">
      <c r="A5" s="99"/>
      <c r="B5" s="228">
        <v>152</v>
      </c>
      <c r="C5" s="228">
        <f>+B5*D5</f>
        <v>0</v>
      </c>
      <c r="D5" s="156">
        <v>0</v>
      </c>
      <c r="E5" s="229">
        <f>+D5</f>
        <v>0</v>
      </c>
      <c r="F5" s="230">
        <v>1584</v>
      </c>
      <c r="G5" s="99"/>
      <c r="H5" s="99"/>
      <c r="I5" s="99"/>
      <c r="J5" s="99"/>
      <c r="K5" s="93" t="s">
        <v>73</v>
      </c>
    </row>
    <row r="7" spans="1:16" ht="13.5" thickBot="1">
      <c r="H7" s="139"/>
    </row>
    <row r="8" spans="1:16" ht="13.5" thickBot="1">
      <c r="A8" s="960" t="s">
        <v>29</v>
      </c>
      <c r="B8" s="961"/>
      <c r="C8" s="962"/>
      <c r="D8" s="48" t="s">
        <v>135</v>
      </c>
      <c r="E8" s="953" t="s">
        <v>30</v>
      </c>
      <c r="F8" s="957"/>
      <c r="G8" s="954"/>
      <c r="H8" s="25"/>
      <c r="I8" s="953" t="s">
        <v>34</v>
      </c>
      <c r="J8" s="954"/>
    </row>
    <row r="9" spans="1:16" ht="13.5" thickBot="1">
      <c r="A9" s="963"/>
      <c r="B9" s="964"/>
      <c r="C9" s="965"/>
      <c r="D9" s="49" t="s">
        <v>136</v>
      </c>
      <c r="E9" s="50" t="s">
        <v>31</v>
      </c>
      <c r="F9" s="51" t="s">
        <v>32</v>
      </c>
      <c r="G9" s="52" t="s">
        <v>33</v>
      </c>
      <c r="H9" s="25"/>
      <c r="I9" s="50" t="s">
        <v>31</v>
      </c>
      <c r="J9" s="52" t="s">
        <v>35</v>
      </c>
    </row>
    <row r="10" spans="1:16">
      <c r="A10" s="966" t="s">
        <v>36</v>
      </c>
      <c r="B10" s="967"/>
      <c r="C10" s="968"/>
      <c r="D10" s="53"/>
      <c r="E10" s="529"/>
      <c r="F10" s="231">
        <f>+C5</f>
        <v>0</v>
      </c>
      <c r="G10" s="54"/>
      <c r="H10" s="247"/>
      <c r="I10" s="533"/>
      <c r="J10" s="238"/>
    </row>
    <row r="11" spans="1:16">
      <c r="A11" s="947" t="s">
        <v>37</v>
      </c>
      <c r="B11" s="948"/>
      <c r="C11" s="949"/>
      <c r="D11" s="55">
        <f>IF($D$1="fevrier",'Récapitulatif '!D15,IF($D$1:$E$1="mars",'Récapitulatif '!D16,IF($D$1="avril",'Récapitulatif '!D17,IF($D$1:$E$1="mai",'Récapitulatif '!D18,))))</f>
        <v>0</v>
      </c>
      <c r="E11" s="157">
        <f>+D5*0.6</f>
        <v>0</v>
      </c>
      <c r="F11" s="56">
        <f>+E11*D11</f>
        <v>0</v>
      </c>
      <c r="G11" s="57"/>
      <c r="H11" s="242"/>
      <c r="I11" s="534"/>
      <c r="J11" s="239"/>
    </row>
    <row r="12" spans="1:16">
      <c r="A12" s="947" t="s">
        <v>38</v>
      </c>
      <c r="B12" s="948"/>
      <c r="C12" s="949"/>
      <c r="D12" s="55">
        <f>IF($D$1="fevrier",'Récapitulatif '!G15,IF($D$1:$E$1="mars",'Récapitulatif '!G16,IF($D$1="avril",'Récapitulatif '!G17,IF($D$1:$E$1="mai",'Récapitulatif '!G18,))))</f>
        <v>0</v>
      </c>
      <c r="E12" s="157">
        <f>+D5*0.25</f>
        <v>0</v>
      </c>
      <c r="F12" s="56">
        <f>+E12*D12</f>
        <v>0</v>
      </c>
      <c r="G12" s="57"/>
      <c r="H12" s="242"/>
      <c r="I12" s="535"/>
      <c r="J12" s="239"/>
    </row>
    <row r="13" spans="1:16">
      <c r="A13" s="947" t="s">
        <v>39</v>
      </c>
      <c r="B13" s="948"/>
      <c r="C13" s="949"/>
      <c r="D13" s="55">
        <f>IF($D$1="fevrier",'Récapitulatif '!H15,IF($D$1:$E$1="mars",'Récapitulatif '!H16,IF($D$1="avril",'Récapitulatif '!H17,IF($D$1:$E$1="mai",'Récapitulatif '!H18,))))</f>
        <v>0</v>
      </c>
      <c r="E13" s="157">
        <f>+D5*1</f>
        <v>0</v>
      </c>
      <c r="F13" s="56">
        <f>+E13*D13</f>
        <v>0</v>
      </c>
      <c r="G13" s="57"/>
      <c r="H13" s="242"/>
      <c r="I13" s="535"/>
      <c r="J13" s="239"/>
    </row>
    <row r="14" spans="1:16">
      <c r="A14" s="947" t="s">
        <v>40</v>
      </c>
      <c r="B14" s="948"/>
      <c r="C14" s="949"/>
      <c r="D14" s="55">
        <f>IF($D$1="fevrier",'Récapitulatif '!I15,IF($D$1:$E$1="mars",'Récapitulatif '!I16,IF($D$1="avril",'Récapitulatif '!I17,IF($D$1:$E$1="mai",'Récapitulatif '!I18,))))</f>
        <v>0</v>
      </c>
      <c r="E14" s="157">
        <f>+D5*(50/100)+D5</f>
        <v>0</v>
      </c>
      <c r="F14" s="56">
        <f>+E14*D14</f>
        <v>0</v>
      </c>
      <c r="G14" s="57"/>
      <c r="H14" s="242"/>
      <c r="I14" s="535"/>
      <c r="J14" s="239"/>
      <c r="P14" s="1" t="s">
        <v>180</v>
      </c>
    </row>
    <row r="15" spans="1:16" ht="13.5" thickBot="1">
      <c r="A15" s="947" t="s">
        <v>121</v>
      </c>
      <c r="B15" s="948"/>
      <c r="C15" s="949"/>
      <c r="D15" s="55">
        <f>IF($D$1="fevrier",'Récapitulatif '!AJ15,IF($D$1:$E$1="mars",'Récapitulatif '!AJ16,IF($D$1="avril",'Récapitulatif '!AJ17,IF($D$1:$E$1="mai",'Récapitulatif '!AJ18,))))</f>
        <v>0</v>
      </c>
      <c r="E15" s="157">
        <v>0</v>
      </c>
      <c r="F15" s="56">
        <f>IF(D15="","",D15*E15)</f>
        <v>0</v>
      </c>
      <c r="G15" s="57"/>
      <c r="H15" s="242"/>
      <c r="I15" s="535"/>
      <c r="J15" s="239"/>
      <c r="P15" s="1" t="s">
        <v>181</v>
      </c>
    </row>
    <row r="16" spans="1:16" ht="13.5" thickBot="1">
      <c r="A16" s="947" t="s">
        <v>49</v>
      </c>
      <c r="B16" s="948"/>
      <c r="C16" s="949"/>
      <c r="D16" s="58"/>
      <c r="E16" s="530"/>
      <c r="F16" s="234"/>
      <c r="G16" s="57"/>
      <c r="H16" s="242"/>
      <c r="I16" s="535"/>
      <c r="J16" s="239"/>
      <c r="K16" s="94"/>
      <c r="P16" s="1" t="s">
        <v>182</v>
      </c>
    </row>
    <row r="17" spans="1:16" ht="13.5" thickBot="1">
      <c r="A17" s="947" t="s">
        <v>147</v>
      </c>
      <c r="B17" s="948"/>
      <c r="C17" s="949"/>
      <c r="D17" s="58"/>
      <c r="E17" s="530"/>
      <c r="F17" s="96"/>
      <c r="G17" s="235"/>
      <c r="H17" s="243"/>
      <c r="I17" s="535"/>
      <c r="J17" s="239"/>
      <c r="P17" s="1" t="s">
        <v>183</v>
      </c>
    </row>
    <row r="18" spans="1:16" ht="13.5" thickBot="1">
      <c r="A18" s="947" t="s">
        <v>50</v>
      </c>
      <c r="B18" s="948"/>
      <c r="C18" s="949"/>
      <c r="D18" s="55">
        <f>+SUM(F10:F15)-G17</f>
        <v>0</v>
      </c>
      <c r="E18" s="236">
        <v>15</v>
      </c>
      <c r="F18" s="56">
        <f>(E18*D18)/100</f>
        <v>0</v>
      </c>
      <c r="G18" s="57"/>
      <c r="H18" s="242"/>
      <c r="I18" s="535"/>
      <c r="J18" s="239"/>
      <c r="K18" s="94" t="s">
        <v>72</v>
      </c>
    </row>
    <row r="19" spans="1:16" ht="13.5" thickBot="1">
      <c r="A19" s="969" t="s">
        <v>122</v>
      </c>
      <c r="B19" s="970"/>
      <c r="C19" s="971"/>
      <c r="D19" s="232"/>
      <c r="E19" s="531"/>
      <c r="F19" s="233">
        <f>SUM(F10:F18)-G17</f>
        <v>0</v>
      </c>
      <c r="G19" s="233"/>
      <c r="H19" s="248"/>
      <c r="I19" s="536"/>
      <c r="J19" s="240"/>
    </row>
    <row r="20" spans="1:16">
      <c r="A20" s="947" t="s">
        <v>41</v>
      </c>
      <c r="B20" s="948"/>
      <c r="C20" s="949"/>
      <c r="D20" s="55">
        <f>+$F$19</f>
        <v>0</v>
      </c>
      <c r="E20" s="530">
        <v>0.75</v>
      </c>
      <c r="F20" s="59"/>
      <c r="G20" s="57">
        <f>+(E20*D20)/100</f>
        <v>0</v>
      </c>
      <c r="H20" s="242"/>
      <c r="I20" s="535">
        <v>12.8</v>
      </c>
      <c r="J20" s="239">
        <f>+($D$20*I20)/100</f>
        <v>0</v>
      </c>
      <c r="M20" s="17"/>
    </row>
    <row r="21" spans="1:16">
      <c r="A21" s="947" t="s">
        <v>123</v>
      </c>
      <c r="B21" s="948"/>
      <c r="C21" s="949"/>
      <c r="D21" s="55">
        <f t="shared" ref="D21:D26" si="0">+$F$19</f>
        <v>0</v>
      </c>
      <c r="E21" s="530">
        <v>6.8</v>
      </c>
      <c r="F21" s="56"/>
      <c r="G21" s="57">
        <f t="shared" ref="G21:G40" si="1">+(E21*D21)/100</f>
        <v>0</v>
      </c>
      <c r="H21" s="242"/>
      <c r="I21" s="535">
        <v>8.5</v>
      </c>
      <c r="J21" s="239">
        <f t="shared" ref="J21:J37" si="2">+(D21*I21)/100</f>
        <v>0</v>
      </c>
    </row>
    <row r="22" spans="1:16">
      <c r="A22" s="947" t="s">
        <v>124</v>
      </c>
      <c r="B22" s="948"/>
      <c r="C22" s="949"/>
      <c r="D22" s="55">
        <f t="shared" si="0"/>
        <v>0</v>
      </c>
      <c r="E22" s="530">
        <v>0.3</v>
      </c>
      <c r="F22" s="56"/>
      <c r="G22" s="57">
        <f t="shared" si="1"/>
        <v>0</v>
      </c>
      <c r="H22" s="242"/>
      <c r="I22" s="535">
        <v>1.8</v>
      </c>
      <c r="J22" s="239">
        <f t="shared" si="2"/>
        <v>0</v>
      </c>
      <c r="L22" s="17"/>
    </row>
    <row r="23" spans="1:16">
      <c r="A23" s="947" t="s">
        <v>48</v>
      </c>
      <c r="B23" s="948"/>
      <c r="C23" s="949"/>
      <c r="D23" s="55">
        <f t="shared" si="0"/>
        <v>0</v>
      </c>
      <c r="E23" s="530"/>
      <c r="F23" s="56"/>
      <c r="G23" s="57">
        <f t="shared" si="1"/>
        <v>0</v>
      </c>
      <c r="H23" s="242"/>
      <c r="I23" s="535">
        <v>5.25</v>
      </c>
      <c r="J23" s="239">
        <f t="shared" si="2"/>
        <v>0</v>
      </c>
      <c r="L23" s="17"/>
    </row>
    <row r="24" spans="1:16">
      <c r="A24" s="224"/>
      <c r="B24" s="225" t="s">
        <v>125</v>
      </c>
      <c r="C24" s="226"/>
      <c r="D24" s="55">
        <f t="shared" si="0"/>
        <v>0</v>
      </c>
      <c r="E24" s="530"/>
      <c r="F24" s="56"/>
      <c r="G24" s="57">
        <f t="shared" si="1"/>
        <v>0</v>
      </c>
      <c r="H24" s="242"/>
      <c r="I24" s="535">
        <v>0.3</v>
      </c>
      <c r="J24" s="239">
        <f t="shared" si="2"/>
        <v>0</v>
      </c>
    </row>
    <row r="25" spans="1:16">
      <c r="A25" s="947" t="s">
        <v>42</v>
      </c>
      <c r="B25" s="948"/>
      <c r="C25" s="949"/>
      <c r="D25" s="55">
        <f t="shared" si="0"/>
        <v>0</v>
      </c>
      <c r="E25" s="530"/>
      <c r="F25" s="56"/>
      <c r="G25" s="57">
        <f t="shared" si="1"/>
        <v>0</v>
      </c>
      <c r="H25" s="242"/>
      <c r="I25" s="535">
        <v>2.0699999999999998</v>
      </c>
      <c r="J25" s="239">
        <f t="shared" si="2"/>
        <v>0</v>
      </c>
    </row>
    <row r="26" spans="1:16">
      <c r="A26" s="947" t="s">
        <v>43</v>
      </c>
      <c r="B26" s="948"/>
      <c r="C26" s="949"/>
      <c r="D26" s="55">
        <f t="shared" si="0"/>
        <v>0</v>
      </c>
      <c r="E26" s="530"/>
      <c r="F26" s="56"/>
      <c r="G26" s="57">
        <f t="shared" si="1"/>
        <v>0</v>
      </c>
      <c r="H26" s="242"/>
      <c r="I26" s="535">
        <v>0.5</v>
      </c>
      <c r="J26" s="239">
        <f t="shared" si="2"/>
        <v>0</v>
      </c>
      <c r="M26" s="17"/>
    </row>
    <row r="27" spans="1:16">
      <c r="A27" s="947" t="s">
        <v>148</v>
      </c>
      <c r="B27" s="948"/>
      <c r="C27" s="949"/>
      <c r="D27" s="55"/>
      <c r="E27" s="530"/>
      <c r="F27" s="56"/>
      <c r="G27" s="57">
        <f t="shared" si="1"/>
        <v>0</v>
      </c>
      <c r="H27" s="242"/>
      <c r="I27" s="535"/>
      <c r="J27" s="239">
        <v>0</v>
      </c>
      <c r="M27" s="17"/>
    </row>
    <row r="28" spans="1:16">
      <c r="A28" s="947" t="s">
        <v>44</v>
      </c>
      <c r="B28" s="948"/>
      <c r="C28" s="949"/>
      <c r="D28" s="55">
        <f>+$F$19</f>
        <v>0</v>
      </c>
      <c r="E28" s="530">
        <v>2.4</v>
      </c>
      <c r="F28" s="56"/>
      <c r="G28" s="57">
        <f t="shared" si="1"/>
        <v>0</v>
      </c>
      <c r="H28" s="242"/>
      <c r="I28" s="535">
        <v>4</v>
      </c>
      <c r="J28" s="239">
        <f t="shared" si="2"/>
        <v>0</v>
      </c>
    </row>
    <row r="29" spans="1:16">
      <c r="A29" s="947" t="s">
        <v>126</v>
      </c>
      <c r="B29" s="948"/>
      <c r="C29" s="949"/>
      <c r="D29" s="55">
        <f>+$F$19</f>
        <v>0</v>
      </c>
      <c r="E29" s="530"/>
      <c r="F29" s="56"/>
      <c r="G29" s="57">
        <f t="shared" si="1"/>
        <v>0</v>
      </c>
      <c r="H29" s="242"/>
      <c r="I29" s="535">
        <v>0.3</v>
      </c>
      <c r="J29" s="239">
        <f t="shared" si="2"/>
        <v>0</v>
      </c>
    </row>
    <row r="30" spans="1:16">
      <c r="A30" s="224"/>
      <c r="B30" s="225" t="s">
        <v>127</v>
      </c>
      <c r="C30" s="226"/>
      <c r="D30" s="55">
        <f>+$F$19</f>
        <v>0</v>
      </c>
      <c r="E30" s="530">
        <v>0.8</v>
      </c>
      <c r="F30" s="56"/>
      <c r="G30" s="57">
        <f t="shared" si="1"/>
        <v>0</v>
      </c>
      <c r="H30" s="242"/>
      <c r="I30" s="535">
        <v>1.2</v>
      </c>
      <c r="J30" s="239">
        <f t="shared" si="2"/>
        <v>0</v>
      </c>
    </row>
    <row r="31" spans="1:16">
      <c r="A31" s="947" t="s">
        <v>45</v>
      </c>
      <c r="B31" s="948"/>
      <c r="C31" s="949"/>
      <c r="D31" s="55">
        <f>+$F$19</f>
        <v>0</v>
      </c>
      <c r="E31" s="530">
        <v>3.1</v>
      </c>
      <c r="F31" s="56"/>
      <c r="G31" s="57">
        <f t="shared" si="1"/>
        <v>0</v>
      </c>
      <c r="H31" s="242"/>
      <c r="I31" s="535">
        <v>4.6500000000000004</v>
      </c>
      <c r="J31" s="239">
        <f t="shared" si="2"/>
        <v>0</v>
      </c>
    </row>
    <row r="32" spans="1:16" ht="13.5" thickBot="1">
      <c r="A32" s="947" t="s">
        <v>128</v>
      </c>
      <c r="B32" s="948"/>
      <c r="C32" s="949"/>
      <c r="D32" s="55">
        <f>+$F$19</f>
        <v>0</v>
      </c>
      <c r="E32" s="530">
        <v>0.215</v>
      </c>
      <c r="F32" s="56"/>
      <c r="G32" s="57">
        <f t="shared" si="1"/>
        <v>0</v>
      </c>
      <c r="H32" s="242"/>
      <c r="I32" s="535">
        <v>0.81399999999999995</v>
      </c>
      <c r="J32" s="239">
        <f t="shared" si="2"/>
        <v>0</v>
      </c>
      <c r="N32" s="17"/>
    </row>
    <row r="33" spans="1:14" ht="13.5" thickBot="1">
      <c r="A33" s="430"/>
      <c r="B33" s="431" t="s">
        <v>171</v>
      </c>
      <c r="C33" s="432"/>
      <c r="D33" s="433"/>
      <c r="E33" s="434"/>
      <c r="F33" s="56"/>
      <c r="G33" s="57">
        <f t="shared" si="1"/>
        <v>0</v>
      </c>
      <c r="H33" s="242"/>
      <c r="I33" s="535">
        <v>1.33</v>
      </c>
      <c r="J33" s="239">
        <f t="shared" si="2"/>
        <v>0</v>
      </c>
      <c r="N33" s="17"/>
    </row>
    <row r="34" spans="1:14">
      <c r="A34" s="224"/>
      <c r="B34" s="225" t="s">
        <v>172</v>
      </c>
      <c r="C34" s="226"/>
      <c r="D34" s="55">
        <v>58.85</v>
      </c>
      <c r="E34" s="530"/>
      <c r="F34" s="56"/>
      <c r="G34" s="57">
        <f t="shared" si="1"/>
        <v>0</v>
      </c>
      <c r="H34" s="242"/>
      <c r="I34" s="535">
        <v>8</v>
      </c>
      <c r="J34" s="239">
        <f t="shared" si="2"/>
        <v>4.7080000000000002</v>
      </c>
      <c r="N34" s="17"/>
    </row>
    <row r="35" spans="1:14">
      <c r="A35" s="947" t="s">
        <v>129</v>
      </c>
      <c r="B35" s="948"/>
      <c r="C35" s="949"/>
      <c r="D35" s="55">
        <f>+J32</f>
        <v>0</v>
      </c>
      <c r="E35" s="530"/>
      <c r="F35" s="56"/>
      <c r="G35" s="57">
        <f t="shared" si="1"/>
        <v>0</v>
      </c>
      <c r="H35" s="242"/>
      <c r="I35" s="535">
        <v>8</v>
      </c>
      <c r="J35" s="239">
        <f t="shared" si="2"/>
        <v>0</v>
      </c>
    </row>
    <row r="36" spans="1:14">
      <c r="A36" s="947" t="s">
        <v>130</v>
      </c>
      <c r="B36" s="948"/>
      <c r="C36" s="949"/>
      <c r="D36" s="55">
        <f>+$F$19</f>
        <v>0</v>
      </c>
      <c r="E36" s="530"/>
      <c r="F36" s="56"/>
      <c r="G36" s="57">
        <f t="shared" si="1"/>
        <v>0</v>
      </c>
      <c r="H36" s="242"/>
      <c r="I36" s="535">
        <v>0.68</v>
      </c>
      <c r="J36" s="239">
        <f t="shared" si="2"/>
        <v>0</v>
      </c>
    </row>
    <row r="37" spans="1:14">
      <c r="A37" s="224"/>
      <c r="B37" s="225" t="s">
        <v>134</v>
      </c>
      <c r="C37" s="226"/>
      <c r="D37" s="55">
        <f>+$F$19</f>
        <v>0</v>
      </c>
      <c r="E37" s="530"/>
      <c r="F37" s="56"/>
      <c r="G37" s="57">
        <f t="shared" si="1"/>
        <v>0</v>
      </c>
      <c r="H37" s="242"/>
      <c r="I37" s="535">
        <v>0.45</v>
      </c>
      <c r="J37" s="239">
        <f t="shared" si="2"/>
        <v>0</v>
      </c>
    </row>
    <row r="38" spans="1:14">
      <c r="A38" s="947" t="s">
        <v>131</v>
      </c>
      <c r="B38" s="948"/>
      <c r="C38" s="949"/>
      <c r="D38" s="55">
        <f>+$D$37/$L$46</f>
        <v>0</v>
      </c>
      <c r="E38" s="530">
        <v>5.0999999999999996</v>
      </c>
      <c r="F38" s="56"/>
      <c r="G38" s="57">
        <f t="shared" si="1"/>
        <v>0</v>
      </c>
      <c r="H38" s="242"/>
      <c r="I38" s="535"/>
      <c r="J38" s="239"/>
    </row>
    <row r="39" spans="1:14">
      <c r="A39" s="947" t="s">
        <v>132</v>
      </c>
      <c r="B39" s="948"/>
      <c r="C39" s="949"/>
      <c r="D39" s="55">
        <f>+$D$37/$L$46</f>
        <v>0</v>
      </c>
      <c r="E39" s="530">
        <v>0.5</v>
      </c>
      <c r="F39" s="56"/>
      <c r="G39" s="57">
        <f t="shared" si="1"/>
        <v>0</v>
      </c>
      <c r="H39" s="242"/>
      <c r="I39" s="535"/>
      <c r="J39" s="239"/>
    </row>
    <row r="40" spans="1:14">
      <c r="A40" s="224"/>
      <c r="B40" s="225" t="s">
        <v>133</v>
      </c>
      <c r="C40" s="226"/>
      <c r="D40" s="55">
        <f>+$D$37/$L$46</f>
        <v>0</v>
      </c>
      <c r="E40" s="530">
        <v>2.4</v>
      </c>
      <c r="F40" s="56"/>
      <c r="G40" s="57">
        <f t="shared" si="1"/>
        <v>0</v>
      </c>
      <c r="H40" s="242"/>
      <c r="I40" s="535"/>
      <c r="J40" s="239"/>
    </row>
    <row r="41" spans="1:14">
      <c r="A41" s="947" t="s">
        <v>46</v>
      </c>
      <c r="B41" s="948"/>
      <c r="C41" s="949"/>
      <c r="D41" s="55">
        <f>IF($D$1="fevrier",'Récapitulatif '!K15,IF($D$1:$E$1="mars",'Récapitulatif '!K16,IF($D$1="avril",'Récapitulatif '!K17,IF($D$1:$E$1="mai",'Récapitulatif '!K18,))))</f>
        <v>0</v>
      </c>
      <c r="E41" s="530">
        <v>3.8</v>
      </c>
      <c r="F41" s="56">
        <f>+D41*E41</f>
        <v>0</v>
      </c>
      <c r="G41" s="57"/>
      <c r="H41" s="242"/>
      <c r="I41" s="535"/>
      <c r="J41" s="239"/>
    </row>
    <row r="42" spans="1:14">
      <c r="A42" s="947" t="s">
        <v>47</v>
      </c>
      <c r="B42" s="948"/>
      <c r="C42" s="949"/>
      <c r="D42" s="55">
        <f>IF($D$1="fevrier",'Récapitulatif '!L15,IF($D$1:$E$1="mars",'Récapitulatif '!L16,IF($D$1="avril",'Récapitulatif '!L17,IF($D$1:$E$1="mai",'Récapitulatif '!L18,))))</f>
        <v>0</v>
      </c>
      <c r="E42" s="530">
        <v>5.43</v>
      </c>
      <c r="F42" s="56">
        <f>+D42*E42</f>
        <v>0</v>
      </c>
      <c r="G42" s="57"/>
      <c r="H42" s="242"/>
      <c r="I42" s="535"/>
      <c r="J42" s="239"/>
    </row>
    <row r="43" spans="1:14">
      <c r="A43" s="947"/>
      <c r="B43" s="948"/>
      <c r="C43" s="949"/>
      <c r="D43" s="55"/>
      <c r="E43" s="530"/>
      <c r="F43" s="56"/>
      <c r="G43" s="60"/>
      <c r="H43" s="244"/>
      <c r="I43" s="535"/>
      <c r="J43" s="239"/>
      <c r="K43" s="94"/>
    </row>
    <row r="44" spans="1:14">
      <c r="A44" s="947"/>
      <c r="B44" s="948"/>
      <c r="C44" s="949"/>
      <c r="D44" s="55"/>
      <c r="E44" s="532"/>
      <c r="F44" s="61"/>
      <c r="G44" s="62"/>
      <c r="H44" s="245"/>
      <c r="I44" s="535"/>
      <c r="J44" s="239"/>
    </row>
    <row r="45" spans="1:14">
      <c r="A45" s="63"/>
      <c r="B45" s="64"/>
      <c r="C45" s="65"/>
      <c r="D45" s="55"/>
      <c r="E45" s="532"/>
      <c r="F45" s="61"/>
      <c r="G45" s="62"/>
      <c r="H45" s="245"/>
      <c r="I45" s="535"/>
      <c r="J45" s="239"/>
    </row>
    <row r="46" spans="1:14" ht="13.5" thickBot="1">
      <c r="A46" s="66"/>
      <c r="B46" s="67"/>
      <c r="C46" s="68"/>
      <c r="D46" s="69"/>
      <c r="E46" s="70"/>
      <c r="F46" s="71"/>
      <c r="G46" s="72"/>
      <c r="H46" s="245"/>
      <c r="I46" s="537"/>
      <c r="J46" s="241"/>
      <c r="L46" s="1">
        <f>2411.52/2359.29</f>
        <v>1.0221380160980633</v>
      </c>
    </row>
    <row r="47" spans="1:14" ht="18.75" thickBot="1">
      <c r="F47" s="973" t="s">
        <v>139</v>
      </c>
      <c r="G47" s="974"/>
      <c r="H47" s="246"/>
      <c r="I47" s="951">
        <f>+F19+SUM(F20:F43)-SUM(G20:G44)</f>
        <v>0</v>
      </c>
      <c r="J47" s="952"/>
      <c r="M47" s="88"/>
    </row>
    <row r="48" spans="1:14">
      <c r="I48" s="177"/>
      <c r="J48" s="177"/>
      <c r="K48" s="17"/>
    </row>
    <row r="49" spans="6:14">
      <c r="I49" s="950"/>
      <c r="J49" s="950"/>
    </row>
    <row r="52" spans="6:14">
      <c r="N52" s="17"/>
    </row>
    <row r="53" spans="6:14">
      <c r="F53" s="972" t="s">
        <v>140</v>
      </c>
      <c r="G53" s="972"/>
      <c r="H53" s="237"/>
      <c r="I53" s="17">
        <f>+$F$19</f>
        <v>0</v>
      </c>
    </row>
    <row r="54" spans="6:14">
      <c r="F54" s="972" t="s">
        <v>141</v>
      </c>
      <c r="G54" s="972" t="s">
        <v>141</v>
      </c>
      <c r="H54" s="237"/>
      <c r="I54" s="17">
        <f>+I53-I57</f>
        <v>0</v>
      </c>
    </row>
    <row r="55" spans="6:14">
      <c r="F55" s="972" t="s">
        <v>144</v>
      </c>
      <c r="G55" s="972" t="s">
        <v>142</v>
      </c>
      <c r="H55" s="237"/>
    </row>
    <row r="56" spans="6:14">
      <c r="F56" s="972" t="s">
        <v>143</v>
      </c>
      <c r="G56" s="972"/>
      <c r="H56" s="237"/>
    </row>
    <row r="57" spans="6:14">
      <c r="F57" s="972" t="s">
        <v>145</v>
      </c>
      <c r="G57" s="972"/>
      <c r="H57" s="237"/>
      <c r="I57" s="17">
        <f>SUM(G20:G38)</f>
        <v>0</v>
      </c>
    </row>
    <row r="58" spans="6:14">
      <c r="F58" s="972" t="s">
        <v>146</v>
      </c>
      <c r="G58" s="972"/>
      <c r="H58" s="237"/>
      <c r="I58" s="17">
        <f>SUM(J20:J37)</f>
        <v>4.7080000000000002</v>
      </c>
    </row>
  </sheetData>
  <sheetProtection password="CA33" sheet="1" objects="1" scenarios="1"/>
  <mergeCells count="45">
    <mergeCell ref="A18:C18"/>
    <mergeCell ref="A19:C19"/>
    <mergeCell ref="F57:G57"/>
    <mergeCell ref="F58:G58"/>
    <mergeCell ref="F53:G53"/>
    <mergeCell ref="F54:G54"/>
    <mergeCell ref="F55:G55"/>
    <mergeCell ref="F56:G56"/>
    <mergeCell ref="A38:C38"/>
    <mergeCell ref="A39:C39"/>
    <mergeCell ref="A41:C41"/>
    <mergeCell ref="A27:C27"/>
    <mergeCell ref="A28:C28"/>
    <mergeCell ref="A31:C31"/>
    <mergeCell ref="A35:C35"/>
    <mergeCell ref="A29:C29"/>
    <mergeCell ref="D1:E1"/>
    <mergeCell ref="D2:E2"/>
    <mergeCell ref="A8:C8"/>
    <mergeCell ref="E8:G8"/>
    <mergeCell ref="I8:J8"/>
    <mergeCell ref="A9:C9"/>
    <mergeCell ref="B1:C1"/>
    <mergeCell ref="A12:C12"/>
    <mergeCell ref="A13:C13"/>
    <mergeCell ref="A14:C14"/>
    <mergeCell ref="A15:C15"/>
    <mergeCell ref="A17:C17"/>
    <mergeCell ref="A10:C10"/>
    <mergeCell ref="A11:C11"/>
    <mergeCell ref="A16:C16"/>
    <mergeCell ref="I49:J49"/>
    <mergeCell ref="A42:C42"/>
    <mergeCell ref="A43:C43"/>
    <mergeCell ref="A44:C44"/>
    <mergeCell ref="I47:J47"/>
    <mergeCell ref="F47:G47"/>
    <mergeCell ref="A20:C20"/>
    <mergeCell ref="A21:C21"/>
    <mergeCell ref="A26:C26"/>
    <mergeCell ref="A32:C32"/>
    <mergeCell ref="A36:C36"/>
    <mergeCell ref="A22:C22"/>
    <mergeCell ref="A23:C23"/>
    <mergeCell ref="A25:C25"/>
  </mergeCells>
  <phoneticPr fontId="0" type="noConversion"/>
  <dataValidations count="1">
    <dataValidation type="list" allowBlank="1" showInputMessage="1" showErrorMessage="1" sqref="D1:E1">
      <formula1>$P$14:$P$17</formula1>
    </dataValidation>
  </dataValidations>
  <pageMargins left="0.78740157499999996" right="0.78740157499999996" top="0.984251969" bottom="0.984251969" header="0.4921259845" footer="0.4921259845"/>
  <pageSetup paperSize="9" scale="81" orientation="portrait" horizontalDpi="300" verticalDpi="300" r:id="rId1"/>
  <headerFooter alignWithMargins="0"/>
  <colBreaks count="1" manualBreakCount="1">
    <brk id="1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>
      <selection activeCell="A4" sqref="A4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18</vt:i4>
      </vt:variant>
    </vt:vector>
  </HeadingPairs>
  <TitlesOfParts>
    <vt:vector size="35" baseType="lpstr">
      <vt:lpstr>MaiN-1</vt:lpstr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Récapitulatif </vt:lpstr>
      <vt:lpstr>Bulletin de paie juin janv.</vt:lpstr>
      <vt:lpstr>Bulletin de paie fév. mai</vt:lpstr>
      <vt:lpstr>Feuil1</vt:lpstr>
      <vt:lpstr>Atelier</vt:lpstr>
      <vt:lpstr>xxx1</vt:lpstr>
      <vt:lpstr>Août!Zone_d_impression</vt:lpstr>
      <vt:lpstr>Avril!Zone_d_impression</vt:lpstr>
      <vt:lpstr>'Bulletin de paie fév. mai'!Zone_d_impression</vt:lpstr>
      <vt:lpstr>'Bulletin de paie juin janv.'!Zone_d_impression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'MaiN-1'!Zone_d_impression</vt:lpstr>
      <vt:lpstr>Mars!Zone_d_impression</vt:lpstr>
      <vt:lpstr>Novembre!Zone_d_impression</vt:lpstr>
      <vt:lpstr>Octobre!Zone_d_impression</vt:lpstr>
      <vt:lpstr>'Récapitulatif '!Zone_d_impression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o.d.</dc:creator>
  <cp:lastModifiedBy>Olivier</cp:lastModifiedBy>
  <cp:lastPrinted>2019-11-27T20:56:29Z</cp:lastPrinted>
  <dcterms:created xsi:type="dcterms:W3CDTF">2004-01-04T13:13:51Z</dcterms:created>
  <dcterms:modified xsi:type="dcterms:W3CDTF">2020-03-10T20:36:03Z</dcterms:modified>
</cp:coreProperties>
</file>