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441A8086-50E3-4898-91F0-3CA197990E1A}" xr6:coauthVersionLast="45" xr6:coauthVersionMax="45" xr10:uidLastSave="{00000000-0000-0000-0000-000000000000}"/>
  <bookViews>
    <workbookView xWindow="-108" yWindow="-108" windowWidth="23256" windowHeight="12576" tabRatio="580" activeTab="2" xr2:uid="{497C7F88-6C3C-42D7-905E-67092B8665BE}"/>
  </bookViews>
  <sheets>
    <sheet name="RECAPITULATIFS" sheetId="5" r:id="rId1"/>
    <sheet name="BASE " sheetId="18" r:id="rId2"/>
    <sheet name="JANVIER" sheetId="20" r:id="rId3"/>
    <sheet name="FEVRIER" sheetId="7" r:id="rId4"/>
    <sheet name="MARS" sheetId="8" r:id="rId5"/>
    <sheet name="AVRIL" sheetId="9" r:id="rId6"/>
    <sheet name="MAI" sheetId="10" r:id="rId7"/>
  </sheets>
  <definedNames>
    <definedName name="ACHAT1">'BASE '!$I$6</definedName>
    <definedName name="ACHAT2">'BASE '!$I$7</definedName>
    <definedName name="ACHAT3">'BASE '!$I$8</definedName>
    <definedName name="ACHAT4">'BASE '!$I$9</definedName>
    <definedName name="ACHAT5">'BASE '!$I$10</definedName>
    <definedName name="ACHAT6">'BASE '!$I$11</definedName>
    <definedName name="ACHAT7">'BASE '!$I$12</definedName>
    <definedName name="ACHAT8">'BASE '!$I$13</definedName>
    <definedName name="ACHAT9">'BASE '!$I$14</definedName>
    <definedName name="AUTRE">'BASE '!$W$3</definedName>
    <definedName name="BASE1">'BASE '!$A$5:$H$108</definedName>
    <definedName name="CAO">#REF!</definedName>
    <definedName name="CAT">'BASE '!$I$6:$I$21</definedName>
    <definedName name="CAV">AVRIL!$AD$150</definedName>
    <definedName name="CD">#REF!</definedName>
    <definedName name="CF">FEVRIER!$AD$150</definedName>
    <definedName name="CJA">JANVIER!$AF$106</definedName>
    <definedName name="CJL">#REF!</definedName>
    <definedName name="CJN">#REF!</definedName>
    <definedName name="CLD">'BASE '!$J$7</definedName>
    <definedName name="CLEX">'BASE '!$J$12</definedName>
    <definedName name="CLL">'BASE '!$J$8</definedName>
    <definedName name="CLO">'BASE '!$J$9</definedName>
    <definedName name="CLS">'BASE '!$J$6</definedName>
    <definedName name="CLSD">'BASE '!$J$10</definedName>
    <definedName name="CLSL">'BASE '!$J$11</definedName>
    <definedName name="CMI">MAI!$AD$150</definedName>
    <definedName name="CMR">MARS!$AD$150</definedName>
    <definedName name="CN">#REF!</definedName>
    <definedName name="CO">#REF!</definedName>
    <definedName name="CS">#REF!</definedName>
    <definedName name="IAO">#REF!</definedName>
    <definedName name="IAV">AVRIL!$DX$41</definedName>
    <definedName name="ID">#REF!</definedName>
    <definedName name="IF">FEVRIER!$DX$41</definedName>
    <definedName name="IJA">JANVIER!$P$84</definedName>
    <definedName name="IJL">#REF!</definedName>
    <definedName name="IJN">#REF!</definedName>
    <definedName name="IMI">MAI!$DX$41</definedName>
    <definedName name="IMR">MARS!$DX$41</definedName>
    <definedName name="IN">#REF!</definedName>
    <definedName name="IO">#REF!</definedName>
    <definedName name="IS">#REF!</definedName>
    <definedName name="Liste">'BASE '!$A$5:$A$106</definedName>
    <definedName name="NATURE">'BASE '!$I$6:$I$21</definedName>
    <definedName name="SPECIALE">'BASE '!$J$6:$J$12</definedName>
    <definedName name="T1J">JANVIER!$A$1:$S$83</definedName>
    <definedName name="T2J">JANVIER!$T$1:$AG$106</definedName>
    <definedName name="T3J">JANVIER!$AH$1:$AY$87</definedName>
    <definedName name="T4J">JANVIER!$BC$1:$BX$75</definedName>
    <definedName name="T6J">JANVIER!#REF!</definedName>
    <definedName name="tableau1">JANVIER!$A$1:$S$85</definedName>
    <definedName name="TARIFL">'BASE '!$O$5:$T$105</definedName>
    <definedName name="TARIFP">'BASE '!$U$5:$W$105</definedName>
    <definedName name="TE">'BASE '!$S$9</definedName>
    <definedName name="THD">'BASE '!$Q$9</definedName>
    <definedName name="THE">'BASE '!$R$9</definedName>
    <definedName name="THL">'BASE '!$P$9</definedName>
    <definedName name="TL">'BASE '!$T$9</definedName>
    <definedName name="VA">AVRIL!$P$174</definedName>
    <definedName name="VAO">#REF!</definedName>
    <definedName name="VD">#REF!</definedName>
    <definedName name="VF">FEVRIER!$P$174</definedName>
    <definedName name="VJA">JANVIER!$P$82</definedName>
    <definedName name="VJN">#REF!</definedName>
    <definedName name="VJU">#REF!</definedName>
    <definedName name="VM">MAI!$P$174</definedName>
    <definedName name="VMR">MARS!$P$174</definedName>
    <definedName name="VN">#REF!</definedName>
    <definedName name="VO">#REF!</definedName>
    <definedName name="V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7" i="20" l="1"/>
  <c r="Q8" i="20"/>
  <c r="Q9" i="20"/>
  <c r="Q10" i="20"/>
  <c r="Q11" i="20"/>
  <c r="Q12" i="20"/>
  <c r="Q13" i="20"/>
  <c r="O13" i="20" s="1"/>
  <c r="Q14" i="20"/>
  <c r="Q15" i="20"/>
  <c r="Q16" i="20"/>
  <c r="Q17" i="20"/>
  <c r="Q18" i="20"/>
  <c r="Q19" i="20"/>
  <c r="Q20" i="20"/>
  <c r="Q21" i="20"/>
  <c r="Q22" i="20"/>
  <c r="Q23" i="20"/>
  <c r="Q24" i="20"/>
  <c r="Q25" i="20"/>
  <c r="Q26" i="20"/>
  <c r="Q27" i="20"/>
  <c r="Q28" i="20"/>
  <c r="O28" i="20" s="1"/>
  <c r="Q29" i="20"/>
  <c r="Q30" i="20"/>
  <c r="O30" i="20" s="1"/>
  <c r="Q31" i="20"/>
  <c r="Q32" i="20"/>
  <c r="Q33" i="20"/>
  <c r="Q34" i="20"/>
  <c r="Q35" i="20"/>
  <c r="Q36" i="20"/>
  <c r="O36" i="20" s="1"/>
  <c r="Q37" i="20"/>
  <c r="Q38" i="20"/>
  <c r="O38" i="20" s="1"/>
  <c r="Q39" i="20"/>
  <c r="Q40" i="20"/>
  <c r="Q41" i="20"/>
  <c r="Q42" i="20"/>
  <c r="Q43" i="20"/>
  <c r="Q44" i="20"/>
  <c r="O44" i="20" s="1"/>
  <c r="Q45" i="20"/>
  <c r="O45" i="20" s="1"/>
  <c r="Q46" i="20"/>
  <c r="Q47" i="20"/>
  <c r="Q48" i="20"/>
  <c r="Q49" i="20"/>
  <c r="O49" i="20" s="1"/>
  <c r="Q50" i="20"/>
  <c r="Q51" i="20"/>
  <c r="O51" i="20" s="1"/>
  <c r="Q52" i="20"/>
  <c r="Q53" i="20"/>
  <c r="O53" i="20" s="1"/>
  <c r="Q54" i="20"/>
  <c r="Q55" i="20"/>
  <c r="O55" i="20" s="1"/>
  <c r="Q56" i="20"/>
  <c r="Q57" i="20"/>
  <c r="O57" i="20" s="1"/>
  <c r="Q58" i="20"/>
  <c r="Q59" i="20"/>
  <c r="O59" i="20" s="1"/>
  <c r="Q60" i="20"/>
  <c r="Q61" i="20"/>
  <c r="O61" i="20" s="1"/>
  <c r="Q62" i="20"/>
  <c r="Q63" i="20"/>
  <c r="O63" i="20" s="1"/>
  <c r="Q64" i="20"/>
  <c r="Q65" i="20"/>
  <c r="Q66" i="20"/>
  <c r="Q67" i="20"/>
  <c r="Q68" i="20"/>
  <c r="O68" i="20" s="1"/>
  <c r="Q69" i="20"/>
  <c r="O69" i="20" s="1"/>
  <c r="Q6" i="20"/>
  <c r="X29" i="5"/>
  <c r="X37" i="5" s="1"/>
  <c r="X31" i="5"/>
  <c r="X33" i="5"/>
  <c r="X35" i="5"/>
  <c r="CI23" i="20"/>
  <c r="CM23" i="20" s="1"/>
  <c r="CI25" i="20"/>
  <c r="CM25" i="20" s="1"/>
  <c r="CI27" i="20"/>
  <c r="CM27" i="20" s="1"/>
  <c r="CJ27" i="20"/>
  <c r="CD17" i="20"/>
  <c r="CD19" i="20"/>
  <c r="BU6" i="20"/>
  <c r="H70" i="20"/>
  <c r="CJ5" i="20" s="1"/>
  <c r="N7" i="20"/>
  <c r="O7" i="20"/>
  <c r="N8" i="20"/>
  <c r="N9" i="20"/>
  <c r="O9" i="20"/>
  <c r="N10" i="20"/>
  <c r="N11" i="20"/>
  <c r="O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O24" i="20"/>
  <c r="N25" i="20"/>
  <c r="N26" i="20"/>
  <c r="O26" i="20"/>
  <c r="N27" i="20"/>
  <c r="N28" i="20"/>
  <c r="N29" i="20"/>
  <c r="N30" i="20"/>
  <c r="N31" i="20"/>
  <c r="N32" i="20"/>
  <c r="O32" i="20"/>
  <c r="N33" i="20"/>
  <c r="N34" i="20"/>
  <c r="O34" i="20"/>
  <c r="N35" i="20"/>
  <c r="N36" i="20"/>
  <c r="N37" i="20"/>
  <c r="N38" i="20"/>
  <c r="N39" i="20"/>
  <c r="N40" i="20"/>
  <c r="O40" i="20"/>
  <c r="N41" i="20"/>
  <c r="N42" i="20"/>
  <c r="O42" i="20"/>
  <c r="N43" i="20"/>
  <c r="N44" i="20"/>
  <c r="N45" i="20"/>
  <c r="N46" i="20"/>
  <c r="N47" i="20"/>
  <c r="O47" i="20"/>
  <c r="N48" i="20"/>
  <c r="N49" i="20"/>
  <c r="N50" i="20"/>
  <c r="N51" i="20"/>
  <c r="N52" i="20"/>
  <c r="N53" i="20"/>
  <c r="N54" i="20"/>
  <c r="N55" i="20"/>
  <c r="N56" i="20"/>
  <c r="N57" i="20"/>
  <c r="N58" i="20"/>
  <c r="N59" i="20"/>
  <c r="N60" i="20"/>
  <c r="N61" i="20"/>
  <c r="N62" i="20"/>
  <c r="N63" i="20"/>
  <c r="N64" i="20"/>
  <c r="N65" i="20"/>
  <c r="N66" i="20"/>
  <c r="N67" i="20"/>
  <c r="N68" i="20"/>
  <c r="N69" i="20"/>
  <c r="S6" i="20"/>
  <c r="P24" i="20" l="1"/>
  <c r="P40" i="20"/>
  <c r="P47" i="20"/>
  <c r="P36" i="20"/>
  <c r="P38" i="20"/>
  <c r="P63" i="20"/>
  <c r="P59" i="20"/>
  <c r="P55" i="20"/>
  <c r="P32" i="20"/>
  <c r="O58" i="20"/>
  <c r="P58" i="20" s="1"/>
  <c r="O35" i="20"/>
  <c r="P35" i="20" s="1"/>
  <c r="O22" i="20"/>
  <c r="P22" i="20" s="1"/>
  <c r="O18" i="20"/>
  <c r="P18" i="20" s="1"/>
  <c r="O14" i="20"/>
  <c r="P14" i="20" s="1"/>
  <c r="O10" i="20"/>
  <c r="P10" i="20" s="1"/>
  <c r="O41" i="20"/>
  <c r="P41" i="20" s="1"/>
  <c r="O25" i="20"/>
  <c r="P25" i="20" s="1"/>
  <c r="O54" i="20"/>
  <c r="P54" i="20" s="1"/>
  <c r="P51" i="20"/>
  <c r="P44" i="20"/>
  <c r="O31" i="20"/>
  <c r="P31" i="20" s="1"/>
  <c r="P28" i="20"/>
  <c r="O21" i="20"/>
  <c r="P21" i="20" s="1"/>
  <c r="O17" i="20"/>
  <c r="P17" i="20" s="1"/>
  <c r="P68" i="20"/>
  <c r="O48" i="20"/>
  <c r="P48" i="20" s="1"/>
  <c r="P45" i="20"/>
  <c r="O60" i="20"/>
  <c r="P60" i="20" s="1"/>
  <c r="P57" i="20"/>
  <c r="O37" i="20"/>
  <c r="P37" i="20" s="1"/>
  <c r="P34" i="20"/>
  <c r="O50" i="20"/>
  <c r="P50" i="20" s="1"/>
  <c r="O43" i="20"/>
  <c r="P43" i="20" s="1"/>
  <c r="O27" i="20"/>
  <c r="P27" i="20" s="1"/>
  <c r="O20" i="20"/>
  <c r="P20" i="20" s="1"/>
  <c r="O16" i="20"/>
  <c r="P16" i="20" s="1"/>
  <c r="O12" i="20"/>
  <c r="P12" i="20" s="1"/>
  <c r="O8" i="20"/>
  <c r="P8" i="20" s="1"/>
  <c r="O64" i="20"/>
  <c r="P64" i="20" s="1"/>
  <c r="P61" i="20"/>
  <c r="O56" i="20"/>
  <c r="P56" i="20" s="1"/>
  <c r="P53" i="20"/>
  <c r="O33" i="20"/>
  <c r="P33" i="20" s="1"/>
  <c r="P30" i="20"/>
  <c r="O62" i="20"/>
  <c r="P62" i="20" s="1"/>
  <c r="O39" i="20"/>
  <c r="P39" i="20" s="1"/>
  <c r="O23" i="20"/>
  <c r="P23" i="20" s="1"/>
  <c r="O19" i="20"/>
  <c r="P19" i="20" s="1"/>
  <c r="O15" i="20"/>
  <c r="P15" i="20" s="1"/>
  <c r="O46" i="20"/>
  <c r="P46" i="20" s="1"/>
  <c r="P69" i="20"/>
  <c r="O52" i="20"/>
  <c r="P52" i="20" s="1"/>
  <c r="P49" i="20"/>
  <c r="P42" i="20"/>
  <c r="O29" i="20"/>
  <c r="P29" i="20" s="1"/>
  <c r="P26" i="20"/>
  <c r="P13" i="20"/>
  <c r="P11" i="20"/>
  <c r="P9" i="20"/>
  <c r="P7" i="20"/>
  <c r="AY7" i="20"/>
  <c r="AY8" i="20"/>
  <c r="AY9" i="20"/>
  <c r="AY10" i="20"/>
  <c r="AY11" i="20"/>
  <c r="AY12" i="20"/>
  <c r="AY13" i="20"/>
  <c r="AY14" i="20"/>
  <c r="AY15" i="20"/>
  <c r="AY16" i="20"/>
  <c r="AY17" i="20"/>
  <c r="AY18" i="20"/>
  <c r="AY19" i="20"/>
  <c r="AY20" i="20"/>
  <c r="AY21" i="20"/>
  <c r="AY22" i="20"/>
  <c r="AY23" i="20"/>
  <c r="AY24" i="20"/>
  <c r="AY25" i="20"/>
  <c r="AY26" i="20"/>
  <c r="AY27" i="20"/>
  <c r="AY28" i="20"/>
  <c r="AY29" i="20"/>
  <c r="AY30" i="20"/>
  <c r="AY31" i="20"/>
  <c r="AY32" i="20"/>
  <c r="AY33" i="20"/>
  <c r="AY34" i="20"/>
  <c r="AY35" i="20"/>
  <c r="AY36" i="20"/>
  <c r="AY37" i="20"/>
  <c r="AY38" i="20"/>
  <c r="AY39" i="20"/>
  <c r="AY40" i="20"/>
  <c r="AY41" i="20"/>
  <c r="AY42" i="20"/>
  <c r="AY43" i="20"/>
  <c r="AY44" i="20"/>
  <c r="AY45" i="20"/>
  <c r="AY46" i="20"/>
  <c r="AY47" i="20"/>
  <c r="AY48" i="20"/>
  <c r="AY49" i="20"/>
  <c r="AY50" i="20"/>
  <c r="AY51" i="20"/>
  <c r="AY52" i="20"/>
  <c r="AY53" i="20"/>
  <c r="AY54" i="20"/>
  <c r="AY55" i="20"/>
  <c r="AY56" i="20"/>
  <c r="AY57" i="20"/>
  <c r="AY58" i="20"/>
  <c r="AY59" i="20"/>
  <c r="AY60" i="20"/>
  <c r="AY61" i="20"/>
  <c r="AY62" i="20"/>
  <c r="AY63" i="20"/>
  <c r="AY64" i="20"/>
  <c r="AY65" i="20"/>
  <c r="AY66" i="20"/>
  <c r="AY67" i="20"/>
  <c r="AW7" i="20"/>
  <c r="AW8" i="20"/>
  <c r="AW9" i="20"/>
  <c r="AW10" i="20"/>
  <c r="AW11" i="20"/>
  <c r="AW12" i="20"/>
  <c r="AW13" i="20"/>
  <c r="AW14" i="20"/>
  <c r="AW15" i="20"/>
  <c r="AW16" i="20"/>
  <c r="AW17" i="20"/>
  <c r="AW18" i="20"/>
  <c r="AW19" i="20"/>
  <c r="AW20" i="20"/>
  <c r="AW21" i="20"/>
  <c r="AW22" i="20"/>
  <c r="AW23" i="20"/>
  <c r="AW24" i="20"/>
  <c r="AW25" i="20"/>
  <c r="AW26" i="20"/>
  <c r="AW27" i="20"/>
  <c r="AW28" i="20"/>
  <c r="AW29" i="20"/>
  <c r="AW30" i="20"/>
  <c r="AW31" i="20"/>
  <c r="AW32" i="20"/>
  <c r="AW33" i="20"/>
  <c r="AW34" i="20"/>
  <c r="AW35" i="20"/>
  <c r="AW36" i="20"/>
  <c r="AW37" i="20"/>
  <c r="AW38" i="20"/>
  <c r="AW39" i="20"/>
  <c r="AW40" i="20"/>
  <c r="AW41" i="20"/>
  <c r="AW42" i="20"/>
  <c r="AW43" i="20"/>
  <c r="AW44" i="20"/>
  <c r="AW45" i="20"/>
  <c r="AW46" i="20"/>
  <c r="AW47" i="20"/>
  <c r="AW48" i="20"/>
  <c r="AW49" i="20"/>
  <c r="AW50" i="20"/>
  <c r="AW51" i="20"/>
  <c r="AW52" i="20"/>
  <c r="AW53" i="20"/>
  <c r="AW54" i="20"/>
  <c r="AW55" i="20"/>
  <c r="AW56" i="20"/>
  <c r="AW57" i="20"/>
  <c r="AW58" i="20"/>
  <c r="AW59" i="20"/>
  <c r="AW60" i="20"/>
  <c r="AW61" i="20"/>
  <c r="AW62" i="20"/>
  <c r="AW63" i="20"/>
  <c r="AW64" i="20"/>
  <c r="AW65" i="20"/>
  <c r="AW66" i="20"/>
  <c r="AW67" i="20"/>
  <c r="AY6" i="20"/>
  <c r="AW6" i="20"/>
  <c r="AJ9" i="20"/>
  <c r="AJ8" i="20"/>
  <c r="AK8" i="20"/>
  <c r="AL8" i="20"/>
  <c r="AM8" i="20"/>
  <c r="AN8" i="20"/>
  <c r="AO8" i="20"/>
  <c r="AK9" i="20"/>
  <c r="AL9" i="20"/>
  <c r="AM9" i="20"/>
  <c r="AN9" i="20"/>
  <c r="AO9" i="20"/>
  <c r="AJ10" i="20"/>
  <c r="AK10" i="20"/>
  <c r="AL10" i="20"/>
  <c r="AM10" i="20"/>
  <c r="AN10" i="20"/>
  <c r="AO10" i="20"/>
  <c r="AJ11" i="20"/>
  <c r="AK11" i="20"/>
  <c r="AL11" i="20"/>
  <c r="AM11" i="20"/>
  <c r="AN11" i="20"/>
  <c r="AO11" i="20"/>
  <c r="AJ12" i="20"/>
  <c r="AK12" i="20"/>
  <c r="AL12" i="20"/>
  <c r="AM12" i="20"/>
  <c r="AN12" i="20"/>
  <c r="AO12" i="20"/>
  <c r="AJ13" i="20"/>
  <c r="AK13" i="20"/>
  <c r="AL13" i="20"/>
  <c r="AM13" i="20"/>
  <c r="AN13" i="20"/>
  <c r="AO13" i="20"/>
  <c r="AJ14" i="20"/>
  <c r="AK14" i="20"/>
  <c r="AL14" i="20"/>
  <c r="AM14" i="20"/>
  <c r="AN14" i="20"/>
  <c r="AO14" i="20"/>
  <c r="AJ15" i="20"/>
  <c r="AK15" i="20"/>
  <c r="AL15" i="20"/>
  <c r="AM15" i="20"/>
  <c r="AN15" i="20"/>
  <c r="AO15" i="20"/>
  <c r="AJ16" i="20"/>
  <c r="AK16" i="20"/>
  <c r="AL16" i="20"/>
  <c r="AM16" i="20"/>
  <c r="AN16" i="20"/>
  <c r="AO16" i="20"/>
  <c r="AJ17" i="20"/>
  <c r="AK17" i="20"/>
  <c r="AL17" i="20"/>
  <c r="AM17" i="20"/>
  <c r="AN17" i="20"/>
  <c r="AO17" i="20"/>
  <c r="AJ18" i="20"/>
  <c r="AK18" i="20"/>
  <c r="AL18" i="20"/>
  <c r="AM18" i="20"/>
  <c r="AN18" i="20"/>
  <c r="AO18" i="20"/>
  <c r="AJ19" i="20"/>
  <c r="AK19" i="20"/>
  <c r="AL19" i="20"/>
  <c r="AM19" i="20"/>
  <c r="AN19" i="20"/>
  <c r="AO19" i="20"/>
  <c r="AJ20" i="20"/>
  <c r="AK20" i="20"/>
  <c r="AL20" i="20"/>
  <c r="AM20" i="20"/>
  <c r="AN20" i="20"/>
  <c r="AO20" i="20"/>
  <c r="AJ21" i="20"/>
  <c r="AK21" i="20"/>
  <c r="AL21" i="20"/>
  <c r="AM21" i="20"/>
  <c r="AN21" i="20"/>
  <c r="AO21" i="20"/>
  <c r="AJ22" i="20"/>
  <c r="AK22" i="20"/>
  <c r="AL22" i="20"/>
  <c r="AM22" i="20"/>
  <c r="AN22" i="20"/>
  <c r="AO22" i="20"/>
  <c r="AJ23" i="20"/>
  <c r="AK23" i="20"/>
  <c r="AL23" i="20"/>
  <c r="AM23" i="20"/>
  <c r="AN23" i="20"/>
  <c r="AO23" i="20"/>
  <c r="AJ24" i="20"/>
  <c r="AK24" i="20"/>
  <c r="AL24" i="20"/>
  <c r="AM24" i="20"/>
  <c r="AN24" i="20"/>
  <c r="AO24" i="20"/>
  <c r="AJ25" i="20"/>
  <c r="AK25" i="20"/>
  <c r="AL25" i="20"/>
  <c r="AM25" i="20"/>
  <c r="AN25" i="20"/>
  <c r="AO25" i="20"/>
  <c r="AJ26" i="20"/>
  <c r="AK26" i="20"/>
  <c r="AL26" i="20"/>
  <c r="AM26" i="20"/>
  <c r="AN26" i="20"/>
  <c r="AO26" i="20"/>
  <c r="AJ27" i="20"/>
  <c r="AK27" i="20"/>
  <c r="AL27" i="20"/>
  <c r="AM27" i="20"/>
  <c r="AN27" i="20"/>
  <c r="AO27" i="20"/>
  <c r="AJ28" i="20"/>
  <c r="AK28" i="20"/>
  <c r="AL28" i="20"/>
  <c r="AM28" i="20"/>
  <c r="AN28" i="20"/>
  <c r="AO28" i="20"/>
  <c r="AJ29" i="20"/>
  <c r="AK29" i="20"/>
  <c r="AL29" i="20"/>
  <c r="AM29" i="20"/>
  <c r="AN29" i="20"/>
  <c r="AO29" i="20"/>
  <c r="AJ30" i="20"/>
  <c r="AK30" i="20"/>
  <c r="AL30" i="20"/>
  <c r="AM30" i="20"/>
  <c r="AN30" i="20"/>
  <c r="AO30" i="20"/>
  <c r="AJ31" i="20"/>
  <c r="AK31" i="20"/>
  <c r="AL31" i="20"/>
  <c r="AM31" i="20"/>
  <c r="AN31" i="20"/>
  <c r="AO31" i="20"/>
  <c r="AJ32" i="20"/>
  <c r="AK32" i="20"/>
  <c r="AL32" i="20"/>
  <c r="AM32" i="20"/>
  <c r="AN32" i="20"/>
  <c r="AO32" i="20"/>
  <c r="AJ33" i="20"/>
  <c r="AK33" i="20"/>
  <c r="AL33" i="20"/>
  <c r="AM33" i="20"/>
  <c r="AN33" i="20"/>
  <c r="AO33" i="20"/>
  <c r="AJ34" i="20"/>
  <c r="AK34" i="20"/>
  <c r="AL34" i="20"/>
  <c r="AM34" i="20"/>
  <c r="AN34" i="20"/>
  <c r="AO34" i="20"/>
  <c r="AJ35" i="20"/>
  <c r="AK35" i="20"/>
  <c r="AL35" i="20"/>
  <c r="AM35" i="20"/>
  <c r="AN35" i="20"/>
  <c r="AO35" i="20"/>
  <c r="AJ36" i="20"/>
  <c r="AK36" i="20"/>
  <c r="AL36" i="20"/>
  <c r="AM36" i="20"/>
  <c r="AN36" i="20"/>
  <c r="AO36" i="20"/>
  <c r="AJ37" i="20"/>
  <c r="AK37" i="20"/>
  <c r="AL37" i="20"/>
  <c r="AM37" i="20"/>
  <c r="AN37" i="20"/>
  <c r="AO37" i="20"/>
  <c r="AJ38" i="20"/>
  <c r="AK38" i="20"/>
  <c r="AL38" i="20"/>
  <c r="AM38" i="20"/>
  <c r="AN38" i="20"/>
  <c r="AO38" i="20"/>
  <c r="AJ39" i="20"/>
  <c r="AK39" i="20"/>
  <c r="AL39" i="20"/>
  <c r="AM39" i="20"/>
  <c r="AN39" i="20"/>
  <c r="AO39" i="20"/>
  <c r="AJ40" i="20"/>
  <c r="AK40" i="20"/>
  <c r="AL40" i="20"/>
  <c r="AM40" i="20"/>
  <c r="AN40" i="20"/>
  <c r="AO40" i="20"/>
  <c r="AJ41" i="20"/>
  <c r="AK41" i="20"/>
  <c r="AL41" i="20"/>
  <c r="AM41" i="20"/>
  <c r="AN41" i="20"/>
  <c r="AO41" i="20"/>
  <c r="AJ42" i="20"/>
  <c r="AK42" i="20"/>
  <c r="AL42" i="20"/>
  <c r="AM42" i="20"/>
  <c r="AN42" i="20"/>
  <c r="AO42" i="20"/>
  <c r="AJ43" i="20"/>
  <c r="AK43" i="20"/>
  <c r="AL43" i="20"/>
  <c r="AM43" i="20"/>
  <c r="AN43" i="20"/>
  <c r="AO43" i="20"/>
  <c r="AJ44" i="20"/>
  <c r="AK44" i="20"/>
  <c r="AL44" i="20"/>
  <c r="AM44" i="20"/>
  <c r="AN44" i="20"/>
  <c r="AO44" i="20"/>
  <c r="AJ45" i="20"/>
  <c r="AK45" i="20"/>
  <c r="AL45" i="20"/>
  <c r="AM45" i="20"/>
  <c r="AN45" i="20"/>
  <c r="AO45" i="20"/>
  <c r="AJ46" i="20"/>
  <c r="AK46" i="20"/>
  <c r="AL46" i="20"/>
  <c r="AM46" i="20"/>
  <c r="AN46" i="20"/>
  <c r="AO46" i="20"/>
  <c r="AJ47" i="20"/>
  <c r="AK47" i="20"/>
  <c r="AL47" i="20"/>
  <c r="AM47" i="20"/>
  <c r="AN47" i="20"/>
  <c r="AO47" i="20"/>
  <c r="AJ48" i="20"/>
  <c r="AK48" i="20"/>
  <c r="AL48" i="20"/>
  <c r="AM48" i="20"/>
  <c r="AN48" i="20"/>
  <c r="AO48" i="20"/>
  <c r="AJ49" i="20"/>
  <c r="AK49" i="20"/>
  <c r="AL49" i="20"/>
  <c r="AM49" i="20"/>
  <c r="AN49" i="20"/>
  <c r="AO49" i="20"/>
  <c r="AJ50" i="20"/>
  <c r="AK50" i="20"/>
  <c r="AL50" i="20"/>
  <c r="AM50" i="20"/>
  <c r="AN50" i="20"/>
  <c r="AO50" i="20"/>
  <c r="AJ51" i="20"/>
  <c r="AK51" i="20"/>
  <c r="AL51" i="20"/>
  <c r="AM51" i="20"/>
  <c r="AN51" i="20"/>
  <c r="AO51" i="20"/>
  <c r="AJ52" i="20"/>
  <c r="AK52" i="20"/>
  <c r="AL52" i="20"/>
  <c r="AM52" i="20"/>
  <c r="AN52" i="20"/>
  <c r="AO52" i="20"/>
  <c r="AJ53" i="20"/>
  <c r="AK53" i="20"/>
  <c r="AL53" i="20"/>
  <c r="AM53" i="20"/>
  <c r="AN53" i="20"/>
  <c r="AO53" i="20"/>
  <c r="AJ54" i="20"/>
  <c r="AK54" i="20"/>
  <c r="AL54" i="20"/>
  <c r="AM54" i="20"/>
  <c r="AN54" i="20"/>
  <c r="AO54" i="20"/>
  <c r="AJ55" i="20"/>
  <c r="AK55" i="20"/>
  <c r="AL55" i="20"/>
  <c r="AM55" i="20"/>
  <c r="AN55" i="20"/>
  <c r="AO55" i="20"/>
  <c r="AJ56" i="20"/>
  <c r="AK56" i="20"/>
  <c r="AL56" i="20"/>
  <c r="AM56" i="20"/>
  <c r="AN56" i="20"/>
  <c r="AO56" i="20"/>
  <c r="AJ57" i="20"/>
  <c r="AK57" i="20"/>
  <c r="AL57" i="20"/>
  <c r="AM57" i="20"/>
  <c r="AN57" i="20"/>
  <c r="AO57" i="20"/>
  <c r="AJ58" i="20"/>
  <c r="AK58" i="20"/>
  <c r="AL58" i="20"/>
  <c r="AM58" i="20"/>
  <c r="AN58" i="20"/>
  <c r="AO58" i="20"/>
  <c r="AJ59" i="20"/>
  <c r="AK59" i="20"/>
  <c r="AL59" i="20"/>
  <c r="AM59" i="20"/>
  <c r="AN59" i="20"/>
  <c r="AO59" i="20"/>
  <c r="AJ60" i="20"/>
  <c r="AK60" i="20"/>
  <c r="AL60" i="20"/>
  <c r="AM60" i="20"/>
  <c r="AN60" i="20"/>
  <c r="AO60" i="20"/>
  <c r="AJ61" i="20"/>
  <c r="AK61" i="20"/>
  <c r="AL61" i="20"/>
  <c r="AM61" i="20"/>
  <c r="AN61" i="20"/>
  <c r="AO61" i="20"/>
  <c r="AJ62" i="20"/>
  <c r="AK62" i="20"/>
  <c r="AL62" i="20"/>
  <c r="AM62" i="20"/>
  <c r="AN62" i="20"/>
  <c r="AO62" i="20"/>
  <c r="AJ63" i="20"/>
  <c r="AK63" i="20"/>
  <c r="AL63" i="20"/>
  <c r="AM63" i="20"/>
  <c r="AN63" i="20"/>
  <c r="AO63" i="20"/>
  <c r="AJ64" i="20"/>
  <c r="AK64" i="20"/>
  <c r="AL64" i="20"/>
  <c r="AM64" i="20"/>
  <c r="AN64" i="20"/>
  <c r="AO64" i="20"/>
  <c r="AJ65" i="20"/>
  <c r="AK65" i="20"/>
  <c r="AL65" i="20"/>
  <c r="AM65" i="20"/>
  <c r="AN65" i="20"/>
  <c r="AO65" i="20"/>
  <c r="AJ66" i="20"/>
  <c r="AK66" i="20"/>
  <c r="AL66" i="20"/>
  <c r="AM66" i="20"/>
  <c r="AN66" i="20"/>
  <c r="AO66" i="20"/>
  <c r="AJ67" i="20"/>
  <c r="AK67" i="20"/>
  <c r="AL67" i="20"/>
  <c r="AM67" i="20"/>
  <c r="AN67" i="20"/>
  <c r="AO67" i="20"/>
  <c r="AO7" i="20"/>
  <c r="AO6" i="20"/>
  <c r="AN7" i="20"/>
  <c r="AN6" i="20"/>
  <c r="AM7" i="20"/>
  <c r="AM6" i="20"/>
  <c r="AL7" i="20"/>
  <c r="AL6" i="20"/>
  <c r="AK7" i="20"/>
  <c r="AK6" i="20"/>
  <c r="AJ6" i="20"/>
  <c r="AJ7" i="20"/>
  <c r="L76" i="20"/>
  <c r="CJ25" i="20" s="1"/>
  <c r="I74" i="20"/>
  <c r="J74" i="20"/>
  <c r="K74" i="20"/>
  <c r="L74" i="20"/>
  <c r="CJ23" i="20" s="1"/>
  <c r="M74" i="20"/>
  <c r="N74" i="20"/>
  <c r="H74" i="20"/>
  <c r="H72" i="20"/>
  <c r="I70" i="20"/>
  <c r="CJ7" i="20" s="1"/>
  <c r="D76" i="20"/>
  <c r="J70" i="20"/>
  <c r="CJ9" i="20" s="1"/>
  <c r="K70" i="20"/>
  <c r="CJ11" i="20" s="1"/>
  <c r="L70" i="20"/>
  <c r="CJ13" i="20" s="1"/>
  <c r="M70" i="20"/>
  <c r="CJ15" i="20" s="1"/>
  <c r="W27" i="5"/>
  <c r="V27" i="5"/>
  <c r="U27" i="5"/>
  <c r="T27" i="5"/>
  <c r="S27" i="5"/>
  <c r="R27" i="5"/>
  <c r="W25" i="5"/>
  <c r="V25" i="5"/>
  <c r="U25" i="5"/>
  <c r="T25" i="5"/>
  <c r="S25" i="5"/>
  <c r="R25" i="5"/>
  <c r="W23" i="5"/>
  <c r="V23" i="5"/>
  <c r="U23" i="5"/>
  <c r="T23" i="5"/>
  <c r="S23" i="5"/>
  <c r="R23" i="5"/>
  <c r="W21" i="5"/>
  <c r="V21" i="5"/>
  <c r="U21" i="5"/>
  <c r="T21" i="5"/>
  <c r="S21" i="5"/>
  <c r="R21" i="5"/>
  <c r="W19" i="5"/>
  <c r="V19" i="5"/>
  <c r="U19" i="5"/>
  <c r="T19" i="5"/>
  <c r="S19" i="5"/>
  <c r="R19" i="5"/>
  <c r="W17" i="5"/>
  <c r="V17" i="5"/>
  <c r="U17" i="5"/>
  <c r="T17" i="5"/>
  <c r="S17" i="5"/>
  <c r="R17" i="5"/>
  <c r="W15" i="5"/>
  <c r="V15" i="5"/>
  <c r="U15" i="5"/>
  <c r="T15" i="5"/>
  <c r="S15" i="5"/>
  <c r="R15" i="5"/>
  <c r="W13" i="5"/>
  <c r="V13" i="5"/>
  <c r="U13" i="5"/>
  <c r="T13" i="5"/>
  <c r="S13" i="5"/>
  <c r="R13" i="5"/>
  <c r="W11" i="5"/>
  <c r="V11" i="5"/>
  <c r="U11" i="5"/>
  <c r="T11" i="5"/>
  <c r="S11" i="5"/>
  <c r="R11" i="5"/>
  <c r="W9" i="5"/>
  <c r="V9" i="5"/>
  <c r="U9" i="5"/>
  <c r="T9" i="5"/>
  <c r="S9" i="5"/>
  <c r="R9" i="5"/>
  <c r="R7" i="5"/>
  <c r="S7" i="5"/>
  <c r="T7" i="5"/>
  <c r="U7" i="5"/>
  <c r="V7" i="5"/>
  <c r="W7" i="5"/>
  <c r="AF62" i="5"/>
  <c r="AE62" i="5"/>
  <c r="AF61" i="5"/>
  <c r="AE61" i="5"/>
  <c r="AF60" i="5"/>
  <c r="AE60" i="5"/>
  <c r="AE59" i="5"/>
  <c r="AF58" i="5"/>
  <c r="AE58" i="5"/>
  <c r="AF57" i="5"/>
  <c r="AE57" i="5"/>
  <c r="AF56" i="5"/>
  <c r="AE56" i="5"/>
  <c r="AE55" i="5"/>
  <c r="AF54" i="5"/>
  <c r="AE54" i="5"/>
  <c r="AF53" i="5"/>
  <c r="AE53" i="5"/>
  <c r="AF52" i="5"/>
  <c r="AE52" i="5"/>
  <c r="AE51" i="5"/>
  <c r="AF50" i="5"/>
  <c r="AE50" i="5"/>
  <c r="AF49" i="5"/>
  <c r="AE49" i="5"/>
  <c r="AF48" i="5"/>
  <c r="AE48" i="5"/>
  <c r="AE47" i="5"/>
  <c r="AF46" i="5"/>
  <c r="AE46" i="5"/>
  <c r="AF45" i="5"/>
  <c r="AE45" i="5"/>
  <c r="AF44" i="5"/>
  <c r="AE44" i="5"/>
  <c r="AE43" i="5"/>
  <c r="AF42" i="5"/>
  <c r="AE42" i="5"/>
  <c r="AF41" i="5"/>
  <c r="AE41" i="5"/>
  <c r="AF40" i="5"/>
  <c r="AE40" i="5"/>
  <c r="AE39" i="5"/>
  <c r="AF28" i="5"/>
  <c r="AE28" i="5"/>
  <c r="AF27" i="5"/>
  <c r="AE27" i="5"/>
  <c r="AF26" i="5"/>
  <c r="AE26" i="5"/>
  <c r="AE25" i="5"/>
  <c r="AF24" i="5"/>
  <c r="AE24" i="5"/>
  <c r="AF23" i="5"/>
  <c r="AE23" i="5"/>
  <c r="AF22" i="5"/>
  <c r="AE22" i="5"/>
  <c r="AE21" i="5"/>
  <c r="AF20" i="5"/>
  <c r="AE20" i="5"/>
  <c r="AF19" i="5"/>
  <c r="AE19" i="5"/>
  <c r="AF18" i="5"/>
  <c r="AE18" i="5"/>
  <c r="AE17" i="5"/>
  <c r="AF16" i="5"/>
  <c r="AE16" i="5"/>
  <c r="AF15" i="5"/>
  <c r="AE15" i="5"/>
  <c r="AF14" i="5"/>
  <c r="AE14" i="5"/>
  <c r="AE13" i="5"/>
  <c r="AF12" i="5"/>
  <c r="AE12" i="5"/>
  <c r="AF11" i="5"/>
  <c r="AE11" i="5"/>
  <c r="AF10" i="5"/>
  <c r="AE10" i="5"/>
  <c r="AE9" i="5"/>
  <c r="AK8" i="5"/>
  <c r="AK7" i="5"/>
  <c r="AK6" i="5"/>
  <c r="AK5" i="5"/>
  <c r="AJ5" i="5"/>
  <c r="AI5" i="5"/>
  <c r="AH5" i="5"/>
  <c r="AG5" i="5"/>
  <c r="AN5" i="5"/>
  <c r="AM5" i="5"/>
  <c r="AL5" i="5"/>
  <c r="AN8" i="5"/>
  <c r="AN7" i="5"/>
  <c r="AN6" i="5"/>
  <c r="AM8" i="5"/>
  <c r="AM7" i="5"/>
  <c r="AM6" i="5"/>
  <c r="AL8" i="5"/>
  <c r="AL7" i="5"/>
  <c r="AL6" i="5"/>
  <c r="AJ8" i="5"/>
  <c r="AJ7" i="5"/>
  <c r="AJ6" i="5"/>
  <c r="AI8" i="5"/>
  <c r="AI7" i="5"/>
  <c r="AI6" i="5"/>
  <c r="AH8" i="5"/>
  <c r="AH7" i="5"/>
  <c r="AH6" i="5"/>
  <c r="AG8" i="5"/>
  <c r="AG7" i="5"/>
  <c r="AG6" i="5"/>
  <c r="AA101" i="20"/>
  <c r="U7" i="20"/>
  <c r="W7" i="20"/>
  <c r="AB7" i="20"/>
  <c r="AC7" i="20" s="1"/>
  <c r="AD7" i="20"/>
  <c r="AE7" i="20"/>
  <c r="AF7" i="20"/>
  <c r="U8" i="20"/>
  <c r="W8" i="20"/>
  <c r="AB8" i="20"/>
  <c r="AC8" i="20" s="1"/>
  <c r="AD8" i="20"/>
  <c r="AE8" i="20"/>
  <c r="AF8" i="20"/>
  <c r="U9" i="20"/>
  <c r="W9" i="20"/>
  <c r="AB9" i="20"/>
  <c r="AC9" i="20" s="1"/>
  <c r="AD9" i="20"/>
  <c r="AE9" i="20"/>
  <c r="AF9" i="20"/>
  <c r="U10" i="20"/>
  <c r="W10" i="20"/>
  <c r="AB10" i="20"/>
  <c r="AC10" i="20" s="1"/>
  <c r="AD10" i="20"/>
  <c r="AE10" i="20"/>
  <c r="AF10" i="20"/>
  <c r="U11" i="20"/>
  <c r="W11" i="20"/>
  <c r="AB11" i="20"/>
  <c r="AC11" i="20" s="1"/>
  <c r="AD11" i="20"/>
  <c r="AE11" i="20"/>
  <c r="AF11" i="20"/>
  <c r="U12" i="20"/>
  <c r="W12" i="20"/>
  <c r="AB12" i="20"/>
  <c r="AC12" i="20" s="1"/>
  <c r="AD12" i="20"/>
  <c r="AE12" i="20"/>
  <c r="AF12" i="20"/>
  <c r="U13" i="20"/>
  <c r="W13" i="20"/>
  <c r="AB13" i="20"/>
  <c r="AC13" i="20" s="1"/>
  <c r="AD13" i="20"/>
  <c r="AE13" i="20"/>
  <c r="AF13" i="20"/>
  <c r="U14" i="20"/>
  <c r="W14" i="20"/>
  <c r="AB14" i="20"/>
  <c r="AC14" i="20" s="1"/>
  <c r="AD14" i="20"/>
  <c r="AE14" i="20"/>
  <c r="AF14" i="20"/>
  <c r="U15" i="20"/>
  <c r="W15" i="20"/>
  <c r="AB15" i="20"/>
  <c r="AC15" i="20" s="1"/>
  <c r="AD15" i="20"/>
  <c r="AE15" i="20"/>
  <c r="AF15" i="20"/>
  <c r="U16" i="20"/>
  <c r="W16" i="20"/>
  <c r="AB16" i="20"/>
  <c r="AC16" i="20" s="1"/>
  <c r="AD16" i="20"/>
  <c r="AE16" i="20"/>
  <c r="AF16" i="20"/>
  <c r="U17" i="20"/>
  <c r="W17" i="20"/>
  <c r="AB17" i="20"/>
  <c r="AC17" i="20" s="1"/>
  <c r="AD17" i="20"/>
  <c r="AE17" i="20"/>
  <c r="AF17" i="20"/>
  <c r="U18" i="20"/>
  <c r="W18" i="20"/>
  <c r="AB18" i="20"/>
  <c r="AC18" i="20" s="1"/>
  <c r="AD18" i="20"/>
  <c r="AE18" i="20"/>
  <c r="AF18" i="20"/>
  <c r="U19" i="20"/>
  <c r="W19" i="20"/>
  <c r="AB19" i="20"/>
  <c r="AC19" i="20" s="1"/>
  <c r="AD19" i="20"/>
  <c r="AE19" i="20"/>
  <c r="AF19" i="20"/>
  <c r="U20" i="20"/>
  <c r="W20" i="20"/>
  <c r="AB20" i="20"/>
  <c r="AC20" i="20" s="1"/>
  <c r="AD20" i="20"/>
  <c r="AE20" i="20"/>
  <c r="AF20" i="20"/>
  <c r="U21" i="20"/>
  <c r="W21" i="20"/>
  <c r="AB21" i="20"/>
  <c r="AC21" i="20" s="1"/>
  <c r="AD21" i="20"/>
  <c r="AE21" i="20"/>
  <c r="AF21" i="20"/>
  <c r="U22" i="20"/>
  <c r="W22" i="20"/>
  <c r="AB22" i="20"/>
  <c r="AC22" i="20" s="1"/>
  <c r="AD22" i="20"/>
  <c r="AE22" i="20"/>
  <c r="AF22" i="20"/>
  <c r="U23" i="20"/>
  <c r="W23" i="20"/>
  <c r="AB23" i="20"/>
  <c r="AC23" i="20" s="1"/>
  <c r="AD23" i="20"/>
  <c r="AE23" i="20"/>
  <c r="AF23" i="20"/>
  <c r="U24" i="20"/>
  <c r="W24" i="20"/>
  <c r="AB24" i="20"/>
  <c r="AC24" i="20" s="1"/>
  <c r="AD24" i="20"/>
  <c r="AE24" i="20"/>
  <c r="AF24" i="20"/>
  <c r="U25" i="20"/>
  <c r="W25" i="20"/>
  <c r="AB25" i="20"/>
  <c r="AC25" i="20" s="1"/>
  <c r="AD25" i="20"/>
  <c r="AE25" i="20"/>
  <c r="AF25" i="20"/>
  <c r="U26" i="20"/>
  <c r="W26" i="20"/>
  <c r="AB26" i="20"/>
  <c r="AC26" i="20" s="1"/>
  <c r="AD26" i="20"/>
  <c r="AE26" i="20"/>
  <c r="AF26" i="20"/>
  <c r="U27" i="20"/>
  <c r="W27" i="20"/>
  <c r="AB27" i="20"/>
  <c r="AC27" i="20" s="1"/>
  <c r="AD27" i="20"/>
  <c r="AE27" i="20"/>
  <c r="AF27" i="20"/>
  <c r="U28" i="20"/>
  <c r="W28" i="20"/>
  <c r="AB28" i="20"/>
  <c r="AC28" i="20" s="1"/>
  <c r="AD28" i="20"/>
  <c r="AE28" i="20"/>
  <c r="AF28" i="20"/>
  <c r="U29" i="20"/>
  <c r="W29" i="20"/>
  <c r="AB29" i="20"/>
  <c r="AC29" i="20" s="1"/>
  <c r="AD29" i="20"/>
  <c r="AE29" i="20"/>
  <c r="AF29" i="20"/>
  <c r="U30" i="20"/>
  <c r="W30" i="20"/>
  <c r="AB30" i="20"/>
  <c r="AC30" i="20" s="1"/>
  <c r="AD30" i="20"/>
  <c r="AE30" i="20"/>
  <c r="AF30" i="20"/>
  <c r="U31" i="20"/>
  <c r="W31" i="20"/>
  <c r="AB31" i="20"/>
  <c r="AC31" i="20" s="1"/>
  <c r="AD31" i="20"/>
  <c r="AE31" i="20"/>
  <c r="AF31" i="20"/>
  <c r="U32" i="20"/>
  <c r="W32" i="20"/>
  <c r="AB32" i="20"/>
  <c r="AC32" i="20" s="1"/>
  <c r="AD32" i="20"/>
  <c r="AE32" i="20"/>
  <c r="AF32" i="20"/>
  <c r="U33" i="20"/>
  <c r="W33" i="20"/>
  <c r="AB33" i="20"/>
  <c r="AC33" i="20" s="1"/>
  <c r="AD33" i="20"/>
  <c r="AE33" i="20"/>
  <c r="AF33" i="20"/>
  <c r="U34" i="20"/>
  <c r="W34" i="20"/>
  <c r="AB34" i="20"/>
  <c r="AC34" i="20" s="1"/>
  <c r="AD34" i="20"/>
  <c r="AE34" i="20"/>
  <c r="AF34" i="20"/>
  <c r="U35" i="20"/>
  <c r="W35" i="20"/>
  <c r="AB35" i="20"/>
  <c r="AC35" i="20" s="1"/>
  <c r="AD35" i="20"/>
  <c r="AE35" i="20"/>
  <c r="AF35" i="20"/>
  <c r="U36" i="20"/>
  <c r="W36" i="20"/>
  <c r="AB36" i="20"/>
  <c r="AC36" i="20" s="1"/>
  <c r="AD36" i="20"/>
  <c r="AE36" i="20"/>
  <c r="AF36" i="20"/>
  <c r="U37" i="20"/>
  <c r="W37" i="20"/>
  <c r="AB37" i="20"/>
  <c r="AC37" i="20" s="1"/>
  <c r="AD37" i="20"/>
  <c r="AE37" i="20"/>
  <c r="AF37" i="20"/>
  <c r="U38" i="20"/>
  <c r="W38" i="20"/>
  <c r="AB38" i="20"/>
  <c r="AC38" i="20" s="1"/>
  <c r="AD38" i="20"/>
  <c r="AE38" i="20"/>
  <c r="AF38" i="20"/>
  <c r="U39" i="20"/>
  <c r="W39" i="20"/>
  <c r="AB39" i="20"/>
  <c r="AC39" i="20" s="1"/>
  <c r="AD39" i="20"/>
  <c r="AE39" i="20"/>
  <c r="AF39" i="20"/>
  <c r="U40" i="20"/>
  <c r="W40" i="20"/>
  <c r="AB40" i="20"/>
  <c r="AC40" i="20" s="1"/>
  <c r="AD40" i="20"/>
  <c r="AE40" i="20"/>
  <c r="AF40" i="20"/>
  <c r="U41" i="20"/>
  <c r="W41" i="20"/>
  <c r="AB41" i="20"/>
  <c r="AC41" i="20" s="1"/>
  <c r="AD41" i="20"/>
  <c r="AE41" i="20"/>
  <c r="AF41" i="20"/>
  <c r="U42" i="20"/>
  <c r="W42" i="20"/>
  <c r="AB42" i="20"/>
  <c r="AC42" i="20" s="1"/>
  <c r="AD42" i="20"/>
  <c r="AE42" i="20"/>
  <c r="AF42" i="20"/>
  <c r="U43" i="20"/>
  <c r="W43" i="20"/>
  <c r="AB43" i="20"/>
  <c r="AC43" i="20" s="1"/>
  <c r="AD43" i="20"/>
  <c r="AE43" i="20"/>
  <c r="AF43" i="20"/>
  <c r="U44" i="20"/>
  <c r="W44" i="20"/>
  <c r="AB44" i="20"/>
  <c r="AC44" i="20" s="1"/>
  <c r="AD44" i="20"/>
  <c r="AE44" i="20"/>
  <c r="AF44" i="20"/>
  <c r="U45" i="20"/>
  <c r="W45" i="20"/>
  <c r="AB45" i="20"/>
  <c r="AC45" i="20" s="1"/>
  <c r="AD45" i="20"/>
  <c r="AE45" i="20"/>
  <c r="AF45" i="20"/>
  <c r="U46" i="20"/>
  <c r="W46" i="20"/>
  <c r="AB46" i="20"/>
  <c r="AC46" i="20" s="1"/>
  <c r="AD46" i="20"/>
  <c r="AE46" i="20"/>
  <c r="AF46" i="20"/>
  <c r="U47" i="20"/>
  <c r="W47" i="20"/>
  <c r="AB47" i="20"/>
  <c r="AC47" i="20" s="1"/>
  <c r="AD47" i="20"/>
  <c r="AE47" i="20"/>
  <c r="AF47" i="20"/>
  <c r="U48" i="20"/>
  <c r="W48" i="20"/>
  <c r="AB48" i="20"/>
  <c r="AC48" i="20" s="1"/>
  <c r="AD48" i="20"/>
  <c r="AE48" i="20"/>
  <c r="AF48" i="20"/>
  <c r="U49" i="20"/>
  <c r="W49" i="20"/>
  <c r="AB49" i="20"/>
  <c r="AC49" i="20" s="1"/>
  <c r="AD49" i="20"/>
  <c r="AE49" i="20"/>
  <c r="AF49" i="20"/>
  <c r="U50" i="20"/>
  <c r="W50" i="20"/>
  <c r="AB50" i="20"/>
  <c r="AC50" i="20" s="1"/>
  <c r="AD50" i="20"/>
  <c r="AE50" i="20"/>
  <c r="AF50" i="20"/>
  <c r="U51" i="20"/>
  <c r="W51" i="20"/>
  <c r="AB51" i="20"/>
  <c r="AC51" i="20" s="1"/>
  <c r="AD51" i="20"/>
  <c r="AE51" i="20"/>
  <c r="AF51" i="20"/>
  <c r="U52" i="20"/>
  <c r="W52" i="20"/>
  <c r="AB52" i="20"/>
  <c r="AC52" i="20" s="1"/>
  <c r="AD52" i="20"/>
  <c r="AE52" i="20"/>
  <c r="AF52" i="20"/>
  <c r="U53" i="20"/>
  <c r="W53" i="20"/>
  <c r="AB53" i="20"/>
  <c r="AC53" i="20" s="1"/>
  <c r="AD53" i="20"/>
  <c r="AE53" i="20"/>
  <c r="AF53" i="20"/>
  <c r="U54" i="20"/>
  <c r="W54" i="20"/>
  <c r="AB54" i="20"/>
  <c r="AC54" i="20" s="1"/>
  <c r="AD54" i="20"/>
  <c r="AE54" i="20"/>
  <c r="AF54" i="20"/>
  <c r="U55" i="20"/>
  <c r="W55" i="20"/>
  <c r="AB55" i="20"/>
  <c r="AC55" i="20" s="1"/>
  <c r="AD55" i="20"/>
  <c r="AE55" i="20"/>
  <c r="AF55" i="20"/>
  <c r="U56" i="20"/>
  <c r="W56" i="20"/>
  <c r="AB56" i="20"/>
  <c r="AC56" i="20" s="1"/>
  <c r="AD56" i="20"/>
  <c r="AE56" i="20"/>
  <c r="AF56" i="20"/>
  <c r="U57" i="20"/>
  <c r="W57" i="20"/>
  <c r="AB57" i="20"/>
  <c r="AC57" i="20" s="1"/>
  <c r="AD57" i="20"/>
  <c r="AE57" i="20"/>
  <c r="AF57" i="20"/>
  <c r="U58" i="20"/>
  <c r="W58" i="20"/>
  <c r="AB58" i="20"/>
  <c r="AC58" i="20" s="1"/>
  <c r="AD58" i="20"/>
  <c r="AE58" i="20"/>
  <c r="AF58" i="20"/>
  <c r="U59" i="20"/>
  <c r="W59" i="20"/>
  <c r="AB59" i="20"/>
  <c r="AC59" i="20" s="1"/>
  <c r="AD59" i="20"/>
  <c r="AE59" i="20"/>
  <c r="AF59" i="20"/>
  <c r="U60" i="20"/>
  <c r="W60" i="20"/>
  <c r="AB60" i="20"/>
  <c r="AC60" i="20" s="1"/>
  <c r="AD60" i="20"/>
  <c r="AE60" i="20"/>
  <c r="AF60" i="20"/>
  <c r="U61" i="20"/>
  <c r="W61" i="20"/>
  <c r="AB61" i="20"/>
  <c r="AC61" i="20" s="1"/>
  <c r="AD61" i="20"/>
  <c r="AE61" i="20"/>
  <c r="AF61" i="20"/>
  <c r="U62" i="20"/>
  <c r="W62" i="20"/>
  <c r="AB62" i="20"/>
  <c r="AC62" i="20" s="1"/>
  <c r="AD62" i="20"/>
  <c r="AE62" i="20"/>
  <c r="AF62" i="20"/>
  <c r="U63" i="20"/>
  <c r="W63" i="20"/>
  <c r="AB63" i="20"/>
  <c r="AC63" i="20" s="1"/>
  <c r="AD63" i="20"/>
  <c r="AE63" i="20"/>
  <c r="AF63" i="20"/>
  <c r="U64" i="20"/>
  <c r="W64" i="20"/>
  <c r="AB64" i="20"/>
  <c r="AC64" i="20" s="1"/>
  <c r="AD64" i="20"/>
  <c r="AE64" i="20"/>
  <c r="AF64" i="20"/>
  <c r="U65" i="20"/>
  <c r="W65" i="20"/>
  <c r="AB65" i="20"/>
  <c r="AC65" i="20" s="1"/>
  <c r="AD65" i="20"/>
  <c r="AE65" i="20"/>
  <c r="AF65" i="20"/>
  <c r="U66" i="20"/>
  <c r="W66" i="20"/>
  <c r="AB66" i="20"/>
  <c r="AC66" i="20" s="1"/>
  <c r="AD66" i="20"/>
  <c r="AE66" i="20"/>
  <c r="AF66" i="20"/>
  <c r="U67" i="20"/>
  <c r="W67" i="20"/>
  <c r="AB67" i="20"/>
  <c r="AC67" i="20" s="1"/>
  <c r="AD67" i="20"/>
  <c r="AE67" i="20"/>
  <c r="AF67" i="20"/>
  <c r="U68" i="20"/>
  <c r="W68" i="20"/>
  <c r="AB68" i="20"/>
  <c r="AC68" i="20" s="1"/>
  <c r="AD68" i="20"/>
  <c r="AE68" i="20"/>
  <c r="AF68" i="20"/>
  <c r="U69" i="20"/>
  <c r="W69" i="20"/>
  <c r="AB69" i="20"/>
  <c r="AC69" i="20" s="1"/>
  <c r="AD69" i="20"/>
  <c r="AE69" i="20"/>
  <c r="AF69" i="20"/>
  <c r="U70" i="20"/>
  <c r="W70" i="20"/>
  <c r="AB70" i="20"/>
  <c r="AC70" i="20" s="1"/>
  <c r="AD70" i="20"/>
  <c r="AE70" i="20"/>
  <c r="AF70" i="20"/>
  <c r="U71" i="20"/>
  <c r="W71" i="20"/>
  <c r="AB71" i="20"/>
  <c r="AC71" i="20" s="1"/>
  <c r="AD71" i="20"/>
  <c r="AE71" i="20"/>
  <c r="AF71" i="20"/>
  <c r="U72" i="20"/>
  <c r="W72" i="20"/>
  <c r="AB72" i="20"/>
  <c r="AC72" i="20" s="1"/>
  <c r="AD72" i="20"/>
  <c r="AE72" i="20"/>
  <c r="AF72" i="20"/>
  <c r="U73" i="20"/>
  <c r="W73" i="20"/>
  <c r="AB73" i="20"/>
  <c r="AC73" i="20" s="1"/>
  <c r="AD73" i="20"/>
  <c r="AE73" i="20"/>
  <c r="AF73" i="20"/>
  <c r="U74" i="20"/>
  <c r="W74" i="20"/>
  <c r="AB74" i="20"/>
  <c r="AC74" i="20" s="1"/>
  <c r="AD74" i="20"/>
  <c r="AE74" i="20"/>
  <c r="AF74" i="20"/>
  <c r="U75" i="20"/>
  <c r="W75" i="20"/>
  <c r="AB75" i="20"/>
  <c r="AC75" i="20" s="1"/>
  <c r="AD75" i="20"/>
  <c r="AE75" i="20"/>
  <c r="AF75" i="20"/>
  <c r="U76" i="20"/>
  <c r="W76" i="20"/>
  <c r="AB76" i="20"/>
  <c r="AC76" i="20" s="1"/>
  <c r="AD76" i="20"/>
  <c r="AE76" i="20"/>
  <c r="AF76" i="20"/>
  <c r="U77" i="20"/>
  <c r="W77" i="20"/>
  <c r="AB77" i="20"/>
  <c r="AC77" i="20" s="1"/>
  <c r="AD77" i="20"/>
  <c r="AE77" i="20"/>
  <c r="AF77" i="20"/>
  <c r="U78" i="20"/>
  <c r="W78" i="20"/>
  <c r="AB78" i="20"/>
  <c r="AC78" i="20" s="1"/>
  <c r="AD78" i="20"/>
  <c r="AE78" i="20"/>
  <c r="AF78" i="20"/>
  <c r="U79" i="20"/>
  <c r="W79" i="20"/>
  <c r="AB79" i="20"/>
  <c r="AC79" i="20" s="1"/>
  <c r="AD79" i="20"/>
  <c r="AE79" i="20"/>
  <c r="AF79" i="20"/>
  <c r="U80" i="20"/>
  <c r="W80" i="20"/>
  <c r="AB80" i="20"/>
  <c r="AC80" i="20" s="1"/>
  <c r="AD80" i="20"/>
  <c r="AE80" i="20"/>
  <c r="AF80" i="20"/>
  <c r="U81" i="20"/>
  <c r="W81" i="20"/>
  <c r="AB81" i="20"/>
  <c r="AC81" i="20" s="1"/>
  <c r="AD81" i="20"/>
  <c r="AE81" i="20"/>
  <c r="AF81" i="20"/>
  <c r="U82" i="20"/>
  <c r="W82" i="20"/>
  <c r="AB82" i="20"/>
  <c r="AC82" i="20" s="1"/>
  <c r="AD82" i="20"/>
  <c r="AE82" i="20"/>
  <c r="AF82" i="20"/>
  <c r="U83" i="20"/>
  <c r="W83" i="20"/>
  <c r="AB83" i="20"/>
  <c r="AC83" i="20" s="1"/>
  <c r="AD83" i="20"/>
  <c r="AE83" i="20"/>
  <c r="AF83" i="20"/>
  <c r="U84" i="20"/>
  <c r="W84" i="20"/>
  <c r="AB84" i="20"/>
  <c r="AC84" i="20" s="1"/>
  <c r="AD84" i="20"/>
  <c r="AE84" i="20"/>
  <c r="AF84" i="20"/>
  <c r="U85" i="20"/>
  <c r="W85" i="20"/>
  <c r="AB85" i="20"/>
  <c r="AC85" i="20" s="1"/>
  <c r="AD85" i="20"/>
  <c r="AE85" i="20"/>
  <c r="AF85" i="20"/>
  <c r="U86" i="20"/>
  <c r="W86" i="20"/>
  <c r="AB86" i="20"/>
  <c r="AC86" i="20" s="1"/>
  <c r="AD86" i="20"/>
  <c r="AE86" i="20"/>
  <c r="AF86" i="20"/>
  <c r="U87" i="20"/>
  <c r="W87" i="20"/>
  <c r="AB87" i="20"/>
  <c r="AC87" i="20" s="1"/>
  <c r="AD87" i="20"/>
  <c r="AE87" i="20"/>
  <c r="AF87" i="20"/>
  <c r="U88" i="20"/>
  <c r="W88" i="20"/>
  <c r="AB88" i="20"/>
  <c r="AC88" i="20" s="1"/>
  <c r="AD88" i="20"/>
  <c r="AE88" i="20"/>
  <c r="AF88" i="20"/>
  <c r="U89" i="20"/>
  <c r="W89" i="20"/>
  <c r="AB89" i="20"/>
  <c r="AC89" i="20" s="1"/>
  <c r="AD89" i="20"/>
  <c r="AE89" i="20"/>
  <c r="AF89" i="20"/>
  <c r="U90" i="20"/>
  <c r="W90" i="20"/>
  <c r="AB90" i="20"/>
  <c r="AC90" i="20" s="1"/>
  <c r="AD90" i="20"/>
  <c r="AE90" i="20"/>
  <c r="AF90" i="20"/>
  <c r="U91" i="20"/>
  <c r="W91" i="20"/>
  <c r="AB91" i="20"/>
  <c r="AC91" i="20" s="1"/>
  <c r="AD91" i="20"/>
  <c r="AE91" i="20"/>
  <c r="AF91" i="20"/>
  <c r="U92" i="20"/>
  <c r="W92" i="20"/>
  <c r="AB92" i="20"/>
  <c r="AC92" i="20" s="1"/>
  <c r="AD92" i="20"/>
  <c r="AE92" i="20"/>
  <c r="AF92" i="20"/>
  <c r="U93" i="20"/>
  <c r="W93" i="20"/>
  <c r="AB93" i="20"/>
  <c r="AC93" i="20" s="1"/>
  <c r="AD93" i="20"/>
  <c r="AE93" i="20"/>
  <c r="AF93" i="20"/>
  <c r="U94" i="20"/>
  <c r="W94" i="20"/>
  <c r="AB94" i="20"/>
  <c r="AC94" i="20" s="1"/>
  <c r="AD94" i="20"/>
  <c r="AE94" i="20"/>
  <c r="AF94" i="20"/>
  <c r="U95" i="20"/>
  <c r="W95" i="20"/>
  <c r="AB95" i="20"/>
  <c r="AC95" i="20" s="1"/>
  <c r="AD95" i="20"/>
  <c r="AE95" i="20"/>
  <c r="AF95" i="20"/>
  <c r="U96" i="20"/>
  <c r="W96" i="20"/>
  <c r="AB96" i="20"/>
  <c r="AC96" i="20" s="1"/>
  <c r="AD96" i="20"/>
  <c r="AE96" i="20"/>
  <c r="AF96" i="20"/>
  <c r="U97" i="20"/>
  <c r="W97" i="20"/>
  <c r="AB97" i="20"/>
  <c r="AC97" i="20" s="1"/>
  <c r="AD97" i="20"/>
  <c r="AE97" i="20"/>
  <c r="AF97" i="20"/>
  <c r="U98" i="20"/>
  <c r="W98" i="20"/>
  <c r="AB98" i="20"/>
  <c r="AC98" i="20" s="1"/>
  <c r="AD98" i="20"/>
  <c r="AE98" i="20"/>
  <c r="AF98" i="20"/>
  <c r="U99" i="20"/>
  <c r="W99" i="20"/>
  <c r="AB99" i="20"/>
  <c r="AC99" i="20" s="1"/>
  <c r="AD99" i="20"/>
  <c r="AE99" i="20"/>
  <c r="AF99" i="20"/>
  <c r="U100" i="20"/>
  <c r="W100" i="20"/>
  <c r="AB100" i="20"/>
  <c r="AC100" i="20" s="1"/>
  <c r="AD100" i="20"/>
  <c r="AE100" i="20"/>
  <c r="AF100" i="20"/>
  <c r="AF6" i="20"/>
  <c r="AE6" i="20"/>
  <c r="AB6" i="20"/>
  <c r="W6" i="20"/>
  <c r="U6" i="20"/>
  <c r="AD6" i="20"/>
  <c r="V5" i="5" l="1"/>
  <c r="I72" i="20"/>
  <c r="CJ17" i="20" s="1"/>
  <c r="M72" i="20"/>
  <c r="L72" i="20"/>
  <c r="CJ21" i="20" s="1"/>
  <c r="J72" i="20"/>
  <c r="CJ19" i="20" s="1"/>
  <c r="K72" i="20"/>
  <c r="AF107" i="20"/>
  <c r="W33" i="5"/>
  <c r="W31" i="5"/>
  <c r="W35" i="5"/>
  <c r="W5" i="5"/>
  <c r="W29" i="5" s="1"/>
  <c r="R5" i="5"/>
  <c r="S5" i="5"/>
  <c r="T5" i="5"/>
  <c r="U5" i="5"/>
  <c r="AC103" i="20"/>
  <c r="AG54" i="20"/>
  <c r="AG38" i="20"/>
  <c r="AG73" i="20"/>
  <c r="AG65" i="20"/>
  <c r="AG84" i="20"/>
  <c r="AG39" i="20"/>
  <c r="AG31" i="20"/>
  <c r="AG7" i="20"/>
  <c r="AG48" i="20"/>
  <c r="AG94" i="20"/>
  <c r="AG90" i="20"/>
  <c r="AG86" i="20"/>
  <c r="AG82" i="20"/>
  <c r="AG78" i="20"/>
  <c r="AG70" i="20"/>
  <c r="AG14" i="20"/>
  <c r="AG98" i="20"/>
  <c r="AG46" i="20"/>
  <c r="AG30" i="20"/>
  <c r="AG26" i="20"/>
  <c r="AG22" i="20"/>
  <c r="AG18" i="20"/>
  <c r="AG27" i="20"/>
  <c r="AG56" i="20"/>
  <c r="AG45" i="20"/>
  <c r="AG21" i="20"/>
  <c r="AG62" i="20"/>
  <c r="AG61" i="20"/>
  <c r="AG8" i="20"/>
  <c r="AG99" i="20"/>
  <c r="AG95" i="20"/>
  <c r="AG91" i="20"/>
  <c r="AG87" i="20"/>
  <c r="AG83" i="20"/>
  <c r="AG74" i="20"/>
  <c r="AG57" i="20"/>
  <c r="AG53" i="20"/>
  <c r="AG40" i="20"/>
  <c r="AG37" i="20"/>
  <c r="AG36" i="20"/>
  <c r="AG23" i="20"/>
  <c r="AG19" i="20"/>
  <c r="AG10" i="20"/>
  <c r="AG79" i="20"/>
  <c r="AG75" i="20"/>
  <c r="AG66" i="20"/>
  <c r="AG49" i="20"/>
  <c r="AG32" i="20"/>
  <c r="AG29" i="20"/>
  <c r="AG28" i="20"/>
  <c r="AG20" i="20"/>
  <c r="AG15" i="20"/>
  <c r="AG100" i="20"/>
  <c r="AG88" i="20"/>
  <c r="AG76" i="20"/>
  <c r="AG71" i="20"/>
  <c r="AG67" i="20"/>
  <c r="AG58" i="20"/>
  <c r="AG41" i="20"/>
  <c r="AG24" i="20"/>
  <c r="AG11" i="20"/>
  <c r="AG96" i="20"/>
  <c r="AG80" i="20"/>
  <c r="AG68" i="20"/>
  <c r="AG63" i="20"/>
  <c r="AG59" i="20"/>
  <c r="AG50" i="20"/>
  <c r="AG33" i="20"/>
  <c r="AG16" i="20"/>
  <c r="AG97" i="20"/>
  <c r="AG93" i="20"/>
  <c r="AG89" i="20"/>
  <c r="AG85" i="20"/>
  <c r="AG72" i="20"/>
  <c r="AG60" i="20"/>
  <c r="AG55" i="20"/>
  <c r="AG51" i="20"/>
  <c r="AG42" i="20"/>
  <c r="AG25" i="20"/>
  <c r="AG12" i="20"/>
  <c r="AG92" i="20"/>
  <c r="AG81" i="20"/>
  <c r="AG77" i="20"/>
  <c r="AG64" i="20"/>
  <c r="AG52" i="20"/>
  <c r="AG47" i="20"/>
  <c r="AG43" i="20"/>
  <c r="AG34" i="20"/>
  <c r="AG17" i="20"/>
  <c r="AG13" i="20"/>
  <c r="AG69" i="20"/>
  <c r="AG44" i="20"/>
  <c r="AG35" i="20"/>
  <c r="AG9" i="20"/>
  <c r="C8" i="5"/>
  <c r="D24" i="5"/>
  <c r="C24" i="5"/>
  <c r="D22" i="5"/>
  <c r="C22" i="5"/>
  <c r="D20" i="5"/>
  <c r="C20" i="5"/>
  <c r="D18" i="5"/>
  <c r="C18" i="5"/>
  <c r="D16" i="5"/>
  <c r="C16" i="5"/>
  <c r="D14" i="5"/>
  <c r="C14" i="5"/>
  <c r="D12" i="5"/>
  <c r="C12" i="5"/>
  <c r="D10" i="5"/>
  <c r="C10" i="5"/>
  <c r="D8" i="5"/>
  <c r="P27" i="5"/>
  <c r="P25" i="5"/>
  <c r="P23" i="5"/>
  <c r="P21" i="5"/>
  <c r="P19" i="5"/>
  <c r="P17" i="5"/>
  <c r="P15" i="5"/>
  <c r="P13" i="5"/>
  <c r="P11" i="5"/>
  <c r="P9" i="5"/>
  <c r="P7" i="5"/>
  <c r="Q9" i="5"/>
  <c r="W37" i="5" l="1"/>
  <c r="Z9" i="5"/>
  <c r="R29" i="5"/>
  <c r="S29" i="5"/>
  <c r="U29" i="5"/>
  <c r="V29" i="5"/>
  <c r="T29" i="5"/>
  <c r="N6" i="20"/>
  <c r="N70" i="20"/>
  <c r="N72" i="20" s="1"/>
  <c r="E17" i="5" l="1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H24" i="5"/>
  <c r="H23" i="5"/>
  <c r="H22" i="5"/>
  <c r="H21" i="5"/>
  <c r="H20" i="5"/>
  <c r="H18" i="5"/>
  <c r="H17" i="5"/>
  <c r="H16" i="5"/>
  <c r="H15" i="5"/>
  <c r="H14" i="5"/>
  <c r="H13" i="5"/>
  <c r="H12" i="5"/>
  <c r="H11" i="5"/>
  <c r="H10" i="5"/>
  <c r="H8" i="5"/>
  <c r="G24" i="5"/>
  <c r="G23" i="5"/>
  <c r="G22" i="5"/>
  <c r="G20" i="5"/>
  <c r="G18" i="5"/>
  <c r="G17" i="5"/>
  <c r="G16" i="5"/>
  <c r="G15" i="5"/>
  <c r="G14" i="5"/>
  <c r="G13" i="5"/>
  <c r="G12" i="5"/>
  <c r="G10" i="5"/>
  <c r="G8" i="5"/>
  <c r="F24" i="5"/>
  <c r="F23" i="5"/>
  <c r="F22" i="5"/>
  <c r="F20" i="5"/>
  <c r="F18" i="5"/>
  <c r="F17" i="5"/>
  <c r="F16" i="5"/>
  <c r="F15" i="5"/>
  <c r="F14" i="5"/>
  <c r="F12" i="5"/>
  <c r="F10" i="5"/>
  <c r="F8" i="5"/>
  <c r="E24" i="5"/>
  <c r="E22" i="5"/>
  <c r="E20" i="5"/>
  <c r="E18" i="5"/>
  <c r="E16" i="5"/>
  <c r="E14" i="5"/>
  <c r="E12" i="5"/>
  <c r="E10" i="5"/>
  <c r="E8" i="5"/>
  <c r="I7" i="5"/>
  <c r="H19" i="5"/>
  <c r="H9" i="5"/>
  <c r="H7" i="5"/>
  <c r="N168" i="10"/>
  <c r="G21" i="5" s="1"/>
  <c r="M168" i="10"/>
  <c r="G19" i="5" s="1"/>
  <c r="L168" i="10"/>
  <c r="K168" i="10"/>
  <c r="BZ21" i="10" s="1"/>
  <c r="J168" i="10"/>
  <c r="BZ19" i="10" s="1"/>
  <c r="I168" i="10"/>
  <c r="BZ17" i="10" s="1"/>
  <c r="H168" i="10"/>
  <c r="N166" i="10"/>
  <c r="G11" i="5" s="1"/>
  <c r="M166" i="10"/>
  <c r="G9" i="5" s="1"/>
  <c r="L166" i="10"/>
  <c r="G7" i="5" s="1"/>
  <c r="K166" i="10"/>
  <c r="BZ11" i="10" s="1"/>
  <c r="J166" i="10"/>
  <c r="BZ9" i="10" s="1"/>
  <c r="I166" i="10"/>
  <c r="BZ7" i="10" s="1"/>
  <c r="H166" i="10"/>
  <c r="BZ5" i="10" s="1"/>
  <c r="S165" i="10"/>
  <c r="Q165" i="10"/>
  <c r="P165" i="10"/>
  <c r="O165" i="10"/>
  <c r="N165" i="10"/>
  <c r="S164" i="10"/>
  <c r="Q164" i="10"/>
  <c r="P164" i="10"/>
  <c r="O164" i="10"/>
  <c r="N164" i="10"/>
  <c r="S163" i="10"/>
  <c r="Q163" i="10"/>
  <c r="P163" i="10"/>
  <c r="O163" i="10"/>
  <c r="N163" i="10"/>
  <c r="S162" i="10"/>
  <c r="Q162" i="10"/>
  <c r="P162" i="10"/>
  <c r="O162" i="10"/>
  <c r="N162" i="10"/>
  <c r="S161" i="10"/>
  <c r="Q161" i="10"/>
  <c r="P161" i="10"/>
  <c r="O161" i="10"/>
  <c r="N161" i="10"/>
  <c r="S160" i="10"/>
  <c r="Q160" i="10"/>
  <c r="P160" i="10"/>
  <c r="O160" i="10"/>
  <c r="N160" i="10"/>
  <c r="S159" i="10"/>
  <c r="Q159" i="10"/>
  <c r="P159" i="10"/>
  <c r="O159" i="10"/>
  <c r="N159" i="10"/>
  <c r="S158" i="10"/>
  <c r="Q158" i="10"/>
  <c r="P158" i="10"/>
  <c r="O158" i="10"/>
  <c r="N158" i="10"/>
  <c r="S157" i="10"/>
  <c r="Q157" i="10"/>
  <c r="P157" i="10"/>
  <c r="O157" i="10"/>
  <c r="N157" i="10"/>
  <c r="S156" i="10"/>
  <c r="Q156" i="10"/>
  <c r="P156" i="10"/>
  <c r="O156" i="10"/>
  <c r="N156" i="10"/>
  <c r="S155" i="10"/>
  <c r="Q155" i="10"/>
  <c r="P155" i="10"/>
  <c r="O155" i="10"/>
  <c r="N155" i="10"/>
  <c r="S154" i="10"/>
  <c r="Q154" i="10"/>
  <c r="P154" i="10"/>
  <c r="O154" i="10"/>
  <c r="N154" i="10"/>
  <c r="S153" i="10"/>
  <c r="Q153" i="10"/>
  <c r="P153" i="10"/>
  <c r="O153" i="10"/>
  <c r="N153" i="10"/>
  <c r="S152" i="10"/>
  <c r="Q152" i="10"/>
  <c r="P152" i="10"/>
  <c r="O152" i="10"/>
  <c r="N152" i="10"/>
  <c r="S151" i="10"/>
  <c r="Q151" i="10"/>
  <c r="P151" i="10"/>
  <c r="O151" i="10"/>
  <c r="N151" i="10"/>
  <c r="S150" i="10"/>
  <c r="Q150" i="10"/>
  <c r="P150" i="10"/>
  <c r="O150" i="10"/>
  <c r="N150" i="10"/>
  <c r="S149" i="10"/>
  <c r="Q149" i="10"/>
  <c r="P149" i="10"/>
  <c r="O149" i="10"/>
  <c r="N149" i="10"/>
  <c r="S148" i="10"/>
  <c r="Q148" i="10"/>
  <c r="P148" i="10"/>
  <c r="O148" i="10"/>
  <c r="N148" i="10"/>
  <c r="S147" i="10"/>
  <c r="Q147" i="10"/>
  <c r="P147" i="10"/>
  <c r="O147" i="10"/>
  <c r="N147" i="10"/>
  <c r="DN146" i="10"/>
  <c r="S146" i="10"/>
  <c r="Q146" i="10"/>
  <c r="P146" i="10"/>
  <c r="O146" i="10"/>
  <c r="N146" i="10"/>
  <c r="DN145" i="10"/>
  <c r="Y145" i="10"/>
  <c r="S145" i="10"/>
  <c r="Q145" i="10"/>
  <c r="P145" i="10"/>
  <c r="O145" i="10"/>
  <c r="N145" i="10"/>
  <c r="DN144" i="10"/>
  <c r="AD144" i="10"/>
  <c r="AC144" i="10"/>
  <c r="AB144" i="10"/>
  <c r="Z144" i="10"/>
  <c r="AA144" i="10" s="1"/>
  <c r="V144" i="10"/>
  <c r="S144" i="10"/>
  <c r="Q144" i="10"/>
  <c r="P144" i="10"/>
  <c r="O144" i="10"/>
  <c r="N144" i="10"/>
  <c r="DN143" i="10"/>
  <c r="AD143" i="10"/>
  <c r="AC143" i="10"/>
  <c r="AB143" i="10"/>
  <c r="Z143" i="10"/>
  <c r="AA143" i="10" s="1"/>
  <c r="V143" i="10"/>
  <c r="S143" i="10"/>
  <c r="Q143" i="10"/>
  <c r="P143" i="10"/>
  <c r="O143" i="10"/>
  <c r="N143" i="10"/>
  <c r="DN142" i="10"/>
  <c r="AD142" i="10"/>
  <c r="AC142" i="10"/>
  <c r="AB142" i="10"/>
  <c r="Z142" i="10"/>
  <c r="AA142" i="10" s="1"/>
  <c r="V142" i="10"/>
  <c r="S142" i="10"/>
  <c r="Q142" i="10"/>
  <c r="P142" i="10"/>
  <c r="O142" i="10"/>
  <c r="N142" i="10"/>
  <c r="DN141" i="10"/>
  <c r="AD141" i="10"/>
  <c r="AC141" i="10"/>
  <c r="AB141" i="10"/>
  <c r="Z141" i="10"/>
  <c r="AA141" i="10" s="1"/>
  <c r="V141" i="10"/>
  <c r="S141" i="10"/>
  <c r="Q141" i="10"/>
  <c r="P141" i="10"/>
  <c r="O141" i="10"/>
  <c r="N141" i="10"/>
  <c r="DN140" i="10"/>
  <c r="AD140" i="10"/>
  <c r="AC140" i="10"/>
  <c r="AB140" i="10"/>
  <c r="Z140" i="10"/>
  <c r="AA140" i="10" s="1"/>
  <c r="V140" i="10"/>
  <c r="S140" i="10"/>
  <c r="Q140" i="10"/>
  <c r="P140" i="10"/>
  <c r="O140" i="10"/>
  <c r="N140" i="10"/>
  <c r="DN139" i="10"/>
  <c r="AD139" i="10"/>
  <c r="AC139" i="10"/>
  <c r="AB139" i="10"/>
  <c r="Z139" i="10"/>
  <c r="AA139" i="10" s="1"/>
  <c r="V139" i="10"/>
  <c r="S139" i="10"/>
  <c r="Q139" i="10"/>
  <c r="P139" i="10"/>
  <c r="O139" i="10"/>
  <c r="N139" i="10"/>
  <c r="DN138" i="10"/>
  <c r="AD138" i="10"/>
  <c r="AC138" i="10"/>
  <c r="AB138" i="10"/>
  <c r="Z138" i="10"/>
  <c r="AA138" i="10" s="1"/>
  <c r="V138" i="10"/>
  <c r="S138" i="10"/>
  <c r="Q138" i="10"/>
  <c r="P138" i="10"/>
  <c r="O138" i="10"/>
  <c r="N138" i="10"/>
  <c r="AD137" i="10"/>
  <c r="AC137" i="10"/>
  <c r="AB137" i="10"/>
  <c r="Z137" i="10"/>
  <c r="AA137" i="10" s="1"/>
  <c r="V137" i="10"/>
  <c r="S137" i="10"/>
  <c r="Q137" i="10"/>
  <c r="P137" i="10"/>
  <c r="O137" i="10"/>
  <c r="N137" i="10"/>
  <c r="AD136" i="10"/>
  <c r="AC136" i="10"/>
  <c r="AB136" i="10"/>
  <c r="Z136" i="10"/>
  <c r="AA136" i="10" s="1"/>
  <c r="V136" i="10"/>
  <c r="S136" i="10"/>
  <c r="Q136" i="10"/>
  <c r="P136" i="10"/>
  <c r="O136" i="10"/>
  <c r="N136" i="10"/>
  <c r="AD135" i="10"/>
  <c r="AC135" i="10"/>
  <c r="AB135" i="10"/>
  <c r="Z135" i="10"/>
  <c r="AA135" i="10" s="1"/>
  <c r="V135" i="10"/>
  <c r="S135" i="10"/>
  <c r="Q135" i="10"/>
  <c r="P135" i="10"/>
  <c r="O135" i="10"/>
  <c r="N135" i="10"/>
  <c r="AD134" i="10"/>
  <c r="AC134" i="10"/>
  <c r="AB134" i="10"/>
  <c r="Z134" i="10"/>
  <c r="AA134" i="10" s="1"/>
  <c r="V134" i="10"/>
  <c r="S134" i="10"/>
  <c r="Q134" i="10"/>
  <c r="P134" i="10"/>
  <c r="O134" i="10"/>
  <c r="N134" i="10"/>
  <c r="DN133" i="10"/>
  <c r="AD133" i="10"/>
  <c r="AC133" i="10"/>
  <c r="AB133" i="10"/>
  <c r="Z133" i="10"/>
  <c r="AA133" i="10" s="1"/>
  <c r="V133" i="10"/>
  <c r="S133" i="10"/>
  <c r="Q133" i="10"/>
  <c r="P133" i="10"/>
  <c r="O133" i="10"/>
  <c r="N133" i="10"/>
  <c r="DN132" i="10"/>
  <c r="AD132" i="10"/>
  <c r="AC132" i="10"/>
  <c r="AB132" i="10"/>
  <c r="Z132" i="10"/>
  <c r="AA132" i="10" s="1"/>
  <c r="V132" i="10"/>
  <c r="S132" i="10"/>
  <c r="Q132" i="10"/>
  <c r="P132" i="10"/>
  <c r="O132" i="10"/>
  <c r="N132" i="10"/>
  <c r="DN131" i="10"/>
  <c r="AD131" i="10"/>
  <c r="AC131" i="10"/>
  <c r="AB131" i="10"/>
  <c r="Z131" i="10"/>
  <c r="AA131" i="10" s="1"/>
  <c r="V131" i="10"/>
  <c r="S131" i="10"/>
  <c r="Q131" i="10"/>
  <c r="P131" i="10"/>
  <c r="O131" i="10"/>
  <c r="N131" i="10"/>
  <c r="DN130" i="10"/>
  <c r="AD130" i="10"/>
  <c r="AC130" i="10"/>
  <c r="AB130" i="10"/>
  <c r="Z130" i="10"/>
  <c r="AA130" i="10" s="1"/>
  <c r="V130" i="10"/>
  <c r="S130" i="10"/>
  <c r="Q130" i="10"/>
  <c r="P130" i="10"/>
  <c r="O130" i="10"/>
  <c r="N130" i="10"/>
  <c r="DN129" i="10"/>
  <c r="AD129" i="10"/>
  <c r="AC129" i="10"/>
  <c r="AB129" i="10"/>
  <c r="Z129" i="10"/>
  <c r="AA129" i="10" s="1"/>
  <c r="V129" i="10"/>
  <c r="S129" i="10"/>
  <c r="Q129" i="10"/>
  <c r="P129" i="10"/>
  <c r="O129" i="10"/>
  <c r="N129" i="10"/>
  <c r="DN128" i="10"/>
  <c r="AD128" i="10"/>
  <c r="AC128" i="10"/>
  <c r="AB128" i="10"/>
  <c r="Z128" i="10"/>
  <c r="AA128" i="10" s="1"/>
  <c r="V128" i="10"/>
  <c r="S128" i="10"/>
  <c r="Q128" i="10"/>
  <c r="P128" i="10"/>
  <c r="O128" i="10"/>
  <c r="N128" i="10"/>
  <c r="DN127" i="10"/>
  <c r="AD127" i="10"/>
  <c r="AC127" i="10"/>
  <c r="AB127" i="10"/>
  <c r="Z127" i="10"/>
  <c r="AA127" i="10" s="1"/>
  <c r="V127" i="10"/>
  <c r="S127" i="10"/>
  <c r="Q127" i="10"/>
  <c r="P127" i="10"/>
  <c r="O127" i="10"/>
  <c r="N127" i="10"/>
  <c r="DN126" i="10"/>
  <c r="AD126" i="10"/>
  <c r="AC126" i="10"/>
  <c r="AB126" i="10"/>
  <c r="Z126" i="10"/>
  <c r="AA126" i="10" s="1"/>
  <c r="V126" i="10"/>
  <c r="S126" i="10"/>
  <c r="Q126" i="10"/>
  <c r="P126" i="10"/>
  <c r="O126" i="10"/>
  <c r="N126" i="10"/>
  <c r="DN125" i="10"/>
  <c r="AD125" i="10"/>
  <c r="AC125" i="10"/>
  <c r="AB125" i="10"/>
  <c r="Z125" i="10"/>
  <c r="AA125" i="10" s="1"/>
  <c r="V125" i="10"/>
  <c r="S125" i="10"/>
  <c r="Q125" i="10"/>
  <c r="P125" i="10"/>
  <c r="O125" i="10"/>
  <c r="N125" i="10"/>
  <c r="DN124" i="10"/>
  <c r="AD124" i="10"/>
  <c r="AC124" i="10"/>
  <c r="AB124" i="10"/>
  <c r="Z124" i="10"/>
  <c r="AA124" i="10" s="1"/>
  <c r="V124" i="10"/>
  <c r="S124" i="10"/>
  <c r="Q124" i="10"/>
  <c r="P124" i="10"/>
  <c r="O124" i="10"/>
  <c r="N124" i="10"/>
  <c r="DN123" i="10"/>
  <c r="AD123" i="10"/>
  <c r="AC123" i="10"/>
  <c r="AB123" i="10"/>
  <c r="Z123" i="10"/>
  <c r="AA123" i="10" s="1"/>
  <c r="V123" i="10"/>
  <c r="S123" i="10"/>
  <c r="Q123" i="10"/>
  <c r="P123" i="10"/>
  <c r="O123" i="10"/>
  <c r="N123" i="10"/>
  <c r="DN122" i="10"/>
  <c r="AD122" i="10"/>
  <c r="AC122" i="10"/>
  <c r="AB122" i="10"/>
  <c r="Z122" i="10"/>
  <c r="AA122" i="10" s="1"/>
  <c r="V122" i="10"/>
  <c r="S122" i="10"/>
  <c r="Q122" i="10"/>
  <c r="P122" i="10"/>
  <c r="O122" i="10"/>
  <c r="N122" i="10"/>
  <c r="DN121" i="10"/>
  <c r="AD121" i="10"/>
  <c r="AC121" i="10"/>
  <c r="AB121" i="10"/>
  <c r="Z121" i="10"/>
  <c r="AA121" i="10" s="1"/>
  <c r="V121" i="10"/>
  <c r="S121" i="10"/>
  <c r="Q121" i="10"/>
  <c r="P121" i="10"/>
  <c r="O121" i="10"/>
  <c r="N121" i="10"/>
  <c r="DN120" i="10"/>
  <c r="AD120" i="10"/>
  <c r="AC120" i="10"/>
  <c r="AB120" i="10"/>
  <c r="Z120" i="10"/>
  <c r="AA120" i="10" s="1"/>
  <c r="V120" i="10"/>
  <c r="S120" i="10"/>
  <c r="Q120" i="10"/>
  <c r="P120" i="10"/>
  <c r="O120" i="10"/>
  <c r="N120" i="10"/>
  <c r="DN119" i="10"/>
  <c r="AD119" i="10"/>
  <c r="AC119" i="10"/>
  <c r="AB119" i="10"/>
  <c r="Z119" i="10"/>
  <c r="AA119" i="10" s="1"/>
  <c r="V119" i="10"/>
  <c r="S119" i="10"/>
  <c r="Q119" i="10"/>
  <c r="P119" i="10"/>
  <c r="O119" i="10"/>
  <c r="N119" i="10"/>
  <c r="DN118" i="10"/>
  <c r="AD118" i="10"/>
  <c r="AC118" i="10"/>
  <c r="AB118" i="10"/>
  <c r="Z118" i="10"/>
  <c r="AA118" i="10" s="1"/>
  <c r="V118" i="10"/>
  <c r="S118" i="10"/>
  <c r="Q118" i="10"/>
  <c r="P118" i="10"/>
  <c r="O118" i="10"/>
  <c r="N118" i="10"/>
  <c r="DN117" i="10"/>
  <c r="AD117" i="10"/>
  <c r="AC117" i="10"/>
  <c r="AB117" i="10"/>
  <c r="Z117" i="10"/>
  <c r="AA117" i="10" s="1"/>
  <c r="V117" i="10"/>
  <c r="S117" i="10"/>
  <c r="Q117" i="10"/>
  <c r="P117" i="10"/>
  <c r="O117" i="10"/>
  <c r="N117" i="10"/>
  <c r="DN116" i="10"/>
  <c r="AD116" i="10"/>
  <c r="AC116" i="10"/>
  <c r="AB116" i="10"/>
  <c r="Z116" i="10"/>
  <c r="AA116" i="10" s="1"/>
  <c r="V116" i="10"/>
  <c r="S116" i="10"/>
  <c r="Q116" i="10"/>
  <c r="P116" i="10"/>
  <c r="O116" i="10"/>
  <c r="N116" i="10"/>
  <c r="DN115" i="10"/>
  <c r="AD115" i="10"/>
  <c r="AC115" i="10"/>
  <c r="AB115" i="10"/>
  <c r="Z115" i="10"/>
  <c r="AA115" i="10" s="1"/>
  <c r="V115" i="10"/>
  <c r="S115" i="10"/>
  <c r="Q115" i="10"/>
  <c r="P115" i="10"/>
  <c r="O115" i="10"/>
  <c r="N115" i="10"/>
  <c r="DN114" i="10"/>
  <c r="AD114" i="10"/>
  <c r="AC114" i="10"/>
  <c r="AB114" i="10"/>
  <c r="Z114" i="10"/>
  <c r="AA114" i="10" s="1"/>
  <c r="V114" i="10"/>
  <c r="S114" i="10"/>
  <c r="Q114" i="10"/>
  <c r="P114" i="10"/>
  <c r="O114" i="10"/>
  <c r="N114" i="10"/>
  <c r="DN113" i="10"/>
  <c r="AD113" i="10"/>
  <c r="AC113" i="10"/>
  <c r="AB113" i="10"/>
  <c r="Z113" i="10"/>
  <c r="AA113" i="10" s="1"/>
  <c r="V113" i="10"/>
  <c r="S113" i="10"/>
  <c r="Q113" i="10"/>
  <c r="P113" i="10"/>
  <c r="O113" i="10"/>
  <c r="N113" i="10"/>
  <c r="DN112" i="10"/>
  <c r="AD112" i="10"/>
  <c r="AC112" i="10"/>
  <c r="AB112" i="10"/>
  <c r="Z112" i="10"/>
  <c r="AA112" i="10" s="1"/>
  <c r="V112" i="10"/>
  <c r="S112" i="10"/>
  <c r="Q112" i="10"/>
  <c r="P112" i="10"/>
  <c r="O112" i="10"/>
  <c r="N112" i="10"/>
  <c r="DN111" i="10"/>
  <c r="AD111" i="10"/>
  <c r="AC111" i="10"/>
  <c r="AB111" i="10"/>
  <c r="Z111" i="10"/>
  <c r="AA111" i="10" s="1"/>
  <c r="V111" i="10"/>
  <c r="S111" i="10"/>
  <c r="Q111" i="10"/>
  <c r="P111" i="10"/>
  <c r="O111" i="10"/>
  <c r="N111" i="10"/>
  <c r="DN110" i="10"/>
  <c r="AD110" i="10"/>
  <c r="AC110" i="10"/>
  <c r="AB110" i="10"/>
  <c r="Z110" i="10"/>
  <c r="AA110" i="10" s="1"/>
  <c r="V110" i="10"/>
  <c r="S110" i="10"/>
  <c r="Q110" i="10"/>
  <c r="P110" i="10"/>
  <c r="O110" i="10"/>
  <c r="N110" i="10"/>
  <c r="DN109" i="10"/>
  <c r="AD109" i="10"/>
  <c r="AC109" i="10"/>
  <c r="AB109" i="10"/>
  <c r="Z109" i="10"/>
  <c r="AA109" i="10" s="1"/>
  <c r="V109" i="10"/>
  <c r="S109" i="10"/>
  <c r="Q109" i="10"/>
  <c r="P109" i="10"/>
  <c r="O109" i="10"/>
  <c r="N109" i="10"/>
  <c r="DN108" i="10"/>
  <c r="AD108" i="10"/>
  <c r="AC108" i="10"/>
  <c r="AB108" i="10"/>
  <c r="Z108" i="10"/>
  <c r="AA108" i="10" s="1"/>
  <c r="V108" i="10"/>
  <c r="S108" i="10"/>
  <c r="Q108" i="10"/>
  <c r="P108" i="10"/>
  <c r="O108" i="10"/>
  <c r="N108" i="10"/>
  <c r="DN107" i="10"/>
  <c r="AD107" i="10"/>
  <c r="AC107" i="10"/>
  <c r="AB107" i="10"/>
  <c r="Z107" i="10"/>
  <c r="AA107" i="10" s="1"/>
  <c r="V107" i="10"/>
  <c r="S107" i="10"/>
  <c r="Q107" i="10"/>
  <c r="P107" i="10"/>
  <c r="O107" i="10"/>
  <c r="N107" i="10"/>
  <c r="DN106" i="10"/>
  <c r="AD106" i="10"/>
  <c r="AC106" i="10"/>
  <c r="AB106" i="10"/>
  <c r="Z106" i="10"/>
  <c r="AA106" i="10" s="1"/>
  <c r="V106" i="10"/>
  <c r="S106" i="10"/>
  <c r="Q106" i="10"/>
  <c r="P106" i="10"/>
  <c r="O106" i="10"/>
  <c r="N106" i="10"/>
  <c r="DN105" i="10"/>
  <c r="AD105" i="10"/>
  <c r="AC105" i="10"/>
  <c r="AB105" i="10"/>
  <c r="Z105" i="10"/>
  <c r="AA105" i="10" s="1"/>
  <c r="V105" i="10"/>
  <c r="S105" i="10"/>
  <c r="Q105" i="10"/>
  <c r="P105" i="10"/>
  <c r="O105" i="10"/>
  <c r="N105" i="10"/>
  <c r="DN104" i="10"/>
  <c r="AD104" i="10"/>
  <c r="AC104" i="10"/>
  <c r="AB104" i="10"/>
  <c r="Z104" i="10"/>
  <c r="AA104" i="10" s="1"/>
  <c r="V104" i="10"/>
  <c r="S104" i="10"/>
  <c r="Q104" i="10"/>
  <c r="P104" i="10"/>
  <c r="O104" i="10"/>
  <c r="N104" i="10"/>
  <c r="DN103" i="10"/>
  <c r="AD103" i="10"/>
  <c r="AC103" i="10"/>
  <c r="AB103" i="10"/>
  <c r="Z103" i="10"/>
  <c r="AA103" i="10" s="1"/>
  <c r="V103" i="10"/>
  <c r="S103" i="10"/>
  <c r="Q103" i="10"/>
  <c r="P103" i="10"/>
  <c r="O103" i="10"/>
  <c r="N103" i="10"/>
  <c r="DN102" i="10"/>
  <c r="AD102" i="10"/>
  <c r="AC102" i="10"/>
  <c r="AB102" i="10"/>
  <c r="Z102" i="10"/>
  <c r="AA102" i="10" s="1"/>
  <c r="V102" i="10"/>
  <c r="S102" i="10"/>
  <c r="Q102" i="10"/>
  <c r="P102" i="10"/>
  <c r="O102" i="10"/>
  <c r="N102" i="10"/>
  <c r="DN101" i="10"/>
  <c r="AD101" i="10"/>
  <c r="AC101" i="10"/>
  <c r="AB101" i="10"/>
  <c r="Z101" i="10"/>
  <c r="AA101" i="10" s="1"/>
  <c r="V101" i="10"/>
  <c r="S101" i="10"/>
  <c r="Q101" i="10"/>
  <c r="P101" i="10"/>
  <c r="O101" i="10"/>
  <c r="N101" i="10"/>
  <c r="DN100" i="10"/>
  <c r="AD100" i="10"/>
  <c r="AC100" i="10"/>
  <c r="AB100" i="10"/>
  <c r="Z100" i="10"/>
  <c r="AA100" i="10" s="1"/>
  <c r="V100" i="10"/>
  <c r="S100" i="10"/>
  <c r="Q100" i="10"/>
  <c r="P100" i="10"/>
  <c r="O100" i="10"/>
  <c r="N100" i="10"/>
  <c r="DN99" i="10"/>
  <c r="AD99" i="10"/>
  <c r="AC99" i="10"/>
  <c r="AB99" i="10"/>
  <c r="Z99" i="10"/>
  <c r="AA99" i="10" s="1"/>
  <c r="V99" i="10"/>
  <c r="S99" i="10"/>
  <c r="Q99" i="10"/>
  <c r="P99" i="10"/>
  <c r="O99" i="10"/>
  <c r="N99" i="10"/>
  <c r="DN98" i="10"/>
  <c r="AD98" i="10"/>
  <c r="AC98" i="10"/>
  <c r="AB98" i="10"/>
  <c r="Z98" i="10"/>
  <c r="AA98" i="10" s="1"/>
  <c r="V98" i="10"/>
  <c r="S98" i="10"/>
  <c r="Q98" i="10"/>
  <c r="P98" i="10"/>
  <c r="O98" i="10"/>
  <c r="N98" i="10"/>
  <c r="DN97" i="10"/>
  <c r="AD97" i="10"/>
  <c r="AC97" i="10"/>
  <c r="AB97" i="10"/>
  <c r="Z97" i="10"/>
  <c r="AA97" i="10" s="1"/>
  <c r="V97" i="10"/>
  <c r="S97" i="10"/>
  <c r="Q97" i="10"/>
  <c r="P97" i="10"/>
  <c r="O97" i="10"/>
  <c r="N97" i="10"/>
  <c r="DN96" i="10"/>
  <c r="AD96" i="10"/>
  <c r="AC96" i="10"/>
  <c r="AB96" i="10"/>
  <c r="Z96" i="10"/>
  <c r="AA96" i="10" s="1"/>
  <c r="V96" i="10"/>
  <c r="S96" i="10"/>
  <c r="Q96" i="10"/>
  <c r="P96" i="10"/>
  <c r="O96" i="10"/>
  <c r="N96" i="10"/>
  <c r="DN95" i="10"/>
  <c r="AD95" i="10"/>
  <c r="AC95" i="10"/>
  <c r="AB95" i="10"/>
  <c r="Z95" i="10"/>
  <c r="AA95" i="10" s="1"/>
  <c r="V95" i="10"/>
  <c r="S95" i="10"/>
  <c r="Q95" i="10"/>
  <c r="P95" i="10"/>
  <c r="O95" i="10"/>
  <c r="N95" i="10"/>
  <c r="DN94" i="10"/>
  <c r="AD94" i="10"/>
  <c r="AC94" i="10"/>
  <c r="AB94" i="10"/>
  <c r="Z94" i="10"/>
  <c r="AA94" i="10" s="1"/>
  <c r="V94" i="10"/>
  <c r="S94" i="10"/>
  <c r="Q94" i="10"/>
  <c r="P94" i="10"/>
  <c r="O94" i="10"/>
  <c r="N94" i="10"/>
  <c r="DN93" i="10"/>
  <c r="AD93" i="10"/>
  <c r="AC93" i="10"/>
  <c r="AB93" i="10"/>
  <c r="Z93" i="10"/>
  <c r="AA93" i="10" s="1"/>
  <c r="V93" i="10"/>
  <c r="S93" i="10"/>
  <c r="Q93" i="10"/>
  <c r="P93" i="10"/>
  <c r="O93" i="10"/>
  <c r="N93" i="10"/>
  <c r="DN92" i="10"/>
  <c r="AD92" i="10"/>
  <c r="AC92" i="10"/>
  <c r="AB92" i="10"/>
  <c r="Z92" i="10"/>
  <c r="AA92" i="10" s="1"/>
  <c r="V92" i="10"/>
  <c r="S92" i="10"/>
  <c r="Q92" i="10"/>
  <c r="P92" i="10"/>
  <c r="O92" i="10"/>
  <c r="N92" i="10"/>
  <c r="DN91" i="10"/>
  <c r="AD91" i="10"/>
  <c r="AC91" i="10"/>
  <c r="AB91" i="10"/>
  <c r="Z91" i="10"/>
  <c r="AA91" i="10" s="1"/>
  <c r="V91" i="10"/>
  <c r="S91" i="10"/>
  <c r="Q91" i="10"/>
  <c r="P91" i="10"/>
  <c r="O91" i="10"/>
  <c r="N91" i="10"/>
  <c r="DN90" i="10"/>
  <c r="AD90" i="10"/>
  <c r="AC90" i="10"/>
  <c r="AB90" i="10"/>
  <c r="Z90" i="10"/>
  <c r="AA90" i="10" s="1"/>
  <c r="V90" i="10"/>
  <c r="S90" i="10"/>
  <c r="Q90" i="10"/>
  <c r="P90" i="10"/>
  <c r="O90" i="10"/>
  <c r="N90" i="10"/>
  <c r="DN89" i="10"/>
  <c r="AD89" i="10"/>
  <c r="AC89" i="10"/>
  <c r="AB89" i="10"/>
  <c r="Z89" i="10"/>
  <c r="AA89" i="10" s="1"/>
  <c r="V89" i="10"/>
  <c r="S89" i="10"/>
  <c r="Q89" i="10"/>
  <c r="P89" i="10"/>
  <c r="O89" i="10"/>
  <c r="N89" i="10"/>
  <c r="DN88" i="10"/>
  <c r="AD88" i="10"/>
  <c r="AC88" i="10"/>
  <c r="AB88" i="10"/>
  <c r="Z88" i="10"/>
  <c r="AA88" i="10" s="1"/>
  <c r="V88" i="10"/>
  <c r="S88" i="10"/>
  <c r="Q88" i="10"/>
  <c r="P88" i="10"/>
  <c r="O88" i="10"/>
  <c r="N88" i="10"/>
  <c r="DN87" i="10"/>
  <c r="AD87" i="10"/>
  <c r="AC87" i="10"/>
  <c r="AB87" i="10"/>
  <c r="Z87" i="10"/>
  <c r="AA87" i="10" s="1"/>
  <c r="V87" i="10"/>
  <c r="S87" i="10"/>
  <c r="Q87" i="10"/>
  <c r="P87" i="10"/>
  <c r="O87" i="10"/>
  <c r="N87" i="10"/>
  <c r="DN86" i="10"/>
  <c r="AD86" i="10"/>
  <c r="AC86" i="10"/>
  <c r="AB86" i="10"/>
  <c r="Z86" i="10"/>
  <c r="AA86" i="10" s="1"/>
  <c r="V86" i="10"/>
  <c r="S86" i="10"/>
  <c r="Q86" i="10"/>
  <c r="P86" i="10"/>
  <c r="O86" i="10"/>
  <c r="N86" i="10"/>
  <c r="DN85" i="10"/>
  <c r="AD85" i="10"/>
  <c r="AC85" i="10"/>
  <c r="AB85" i="10"/>
  <c r="Z85" i="10"/>
  <c r="AA85" i="10" s="1"/>
  <c r="V85" i="10"/>
  <c r="S85" i="10"/>
  <c r="Q85" i="10"/>
  <c r="P85" i="10"/>
  <c r="O85" i="10"/>
  <c r="N85" i="10"/>
  <c r="DN84" i="10"/>
  <c r="AD84" i="10"/>
  <c r="AC84" i="10"/>
  <c r="AB84" i="10"/>
  <c r="Z84" i="10"/>
  <c r="AA84" i="10" s="1"/>
  <c r="V84" i="10"/>
  <c r="S84" i="10"/>
  <c r="Q84" i="10"/>
  <c r="P84" i="10"/>
  <c r="O84" i="10"/>
  <c r="N84" i="10"/>
  <c r="DN83" i="10"/>
  <c r="AD83" i="10"/>
  <c r="AC83" i="10"/>
  <c r="AB83" i="10"/>
  <c r="Z83" i="10"/>
  <c r="AA83" i="10" s="1"/>
  <c r="V83" i="10"/>
  <c r="S83" i="10"/>
  <c r="Q83" i="10"/>
  <c r="P83" i="10"/>
  <c r="O83" i="10"/>
  <c r="N83" i="10"/>
  <c r="DN82" i="10"/>
  <c r="AD82" i="10"/>
  <c r="AC82" i="10"/>
  <c r="AB82" i="10"/>
  <c r="Z82" i="10"/>
  <c r="AA82" i="10" s="1"/>
  <c r="V82" i="10"/>
  <c r="S82" i="10"/>
  <c r="Q82" i="10"/>
  <c r="P82" i="10"/>
  <c r="O82" i="10"/>
  <c r="N82" i="10"/>
  <c r="DN81" i="10"/>
  <c r="AD81" i="10"/>
  <c r="AC81" i="10"/>
  <c r="AB81" i="10"/>
  <c r="Z81" i="10"/>
  <c r="AA81" i="10" s="1"/>
  <c r="V81" i="10"/>
  <c r="S81" i="10"/>
  <c r="Q81" i="10"/>
  <c r="P81" i="10"/>
  <c r="O81" i="10"/>
  <c r="N81" i="10"/>
  <c r="DN80" i="10"/>
  <c r="AD80" i="10"/>
  <c r="AC80" i="10"/>
  <c r="AB80" i="10"/>
  <c r="Z80" i="10"/>
  <c r="AA80" i="10" s="1"/>
  <c r="V80" i="10"/>
  <c r="S80" i="10"/>
  <c r="Q80" i="10"/>
  <c r="P80" i="10"/>
  <c r="O80" i="10"/>
  <c r="N80" i="10"/>
  <c r="DN79" i="10"/>
  <c r="AD79" i="10"/>
  <c r="AC79" i="10"/>
  <c r="AB79" i="10"/>
  <c r="Z79" i="10"/>
  <c r="AA79" i="10" s="1"/>
  <c r="V79" i="10"/>
  <c r="S79" i="10"/>
  <c r="Q79" i="10"/>
  <c r="P79" i="10"/>
  <c r="O79" i="10"/>
  <c r="N79" i="10"/>
  <c r="DN78" i="10"/>
  <c r="AD78" i="10"/>
  <c r="AC78" i="10"/>
  <c r="AB78" i="10"/>
  <c r="Z78" i="10"/>
  <c r="AA78" i="10" s="1"/>
  <c r="V78" i="10"/>
  <c r="S78" i="10"/>
  <c r="Q78" i="10"/>
  <c r="P78" i="10"/>
  <c r="O78" i="10"/>
  <c r="N78" i="10"/>
  <c r="DN77" i="10"/>
  <c r="AD77" i="10"/>
  <c r="AC77" i="10"/>
  <c r="AB77" i="10"/>
  <c r="Z77" i="10"/>
  <c r="AA77" i="10" s="1"/>
  <c r="V77" i="10"/>
  <c r="S77" i="10"/>
  <c r="Q77" i="10"/>
  <c r="P77" i="10"/>
  <c r="O77" i="10"/>
  <c r="N77" i="10"/>
  <c r="DN76" i="10"/>
  <c r="AD76" i="10"/>
  <c r="AC76" i="10"/>
  <c r="AB76" i="10"/>
  <c r="Z76" i="10"/>
  <c r="AA76" i="10" s="1"/>
  <c r="V76" i="10"/>
  <c r="S76" i="10"/>
  <c r="Q76" i="10"/>
  <c r="P76" i="10"/>
  <c r="O76" i="10"/>
  <c r="N76" i="10"/>
  <c r="DN75" i="10"/>
  <c r="AD75" i="10"/>
  <c r="AC75" i="10"/>
  <c r="AB75" i="10"/>
  <c r="Z75" i="10"/>
  <c r="AA75" i="10" s="1"/>
  <c r="V75" i="10"/>
  <c r="S75" i="10"/>
  <c r="Q75" i="10"/>
  <c r="P75" i="10"/>
  <c r="O75" i="10"/>
  <c r="N75" i="10"/>
  <c r="AD74" i="10"/>
  <c r="AC74" i="10"/>
  <c r="AB74" i="10"/>
  <c r="Z74" i="10"/>
  <c r="AA74" i="10" s="1"/>
  <c r="V74" i="10"/>
  <c r="S74" i="10"/>
  <c r="Q74" i="10"/>
  <c r="P74" i="10"/>
  <c r="O74" i="10"/>
  <c r="N74" i="10"/>
  <c r="BL73" i="10"/>
  <c r="AD73" i="10"/>
  <c r="AC73" i="10"/>
  <c r="AB73" i="10"/>
  <c r="Z73" i="10"/>
  <c r="AA73" i="10" s="1"/>
  <c r="V73" i="10"/>
  <c r="S73" i="10"/>
  <c r="Q73" i="10"/>
  <c r="P73" i="10"/>
  <c r="O73" i="10"/>
  <c r="N73" i="10"/>
  <c r="BK72" i="10"/>
  <c r="AD72" i="10"/>
  <c r="AC72" i="10"/>
  <c r="AB72" i="10"/>
  <c r="Z72" i="10"/>
  <c r="AA72" i="10" s="1"/>
  <c r="V72" i="10"/>
  <c r="S72" i="10"/>
  <c r="Q72" i="10"/>
  <c r="P72" i="10"/>
  <c r="O72" i="10"/>
  <c r="N72" i="10"/>
  <c r="BJ71" i="10"/>
  <c r="AD71" i="10"/>
  <c r="AC71" i="10"/>
  <c r="AB71" i="10"/>
  <c r="Z71" i="10"/>
  <c r="AA71" i="10" s="1"/>
  <c r="V71" i="10"/>
  <c r="S71" i="10"/>
  <c r="Q71" i="10"/>
  <c r="P71" i="10"/>
  <c r="O71" i="10"/>
  <c r="N71" i="10"/>
  <c r="DN70" i="10"/>
  <c r="BI70" i="10"/>
  <c r="AT70" i="10"/>
  <c r="AS70" i="10"/>
  <c r="AR70" i="10"/>
  <c r="AQ70" i="10"/>
  <c r="AP70" i="10"/>
  <c r="AO70" i="10"/>
  <c r="AD70" i="10"/>
  <c r="AC70" i="10"/>
  <c r="AB70" i="10"/>
  <c r="Z70" i="10"/>
  <c r="AA70" i="10" s="1"/>
  <c r="V70" i="10"/>
  <c r="S70" i="10"/>
  <c r="Q70" i="10"/>
  <c r="P70" i="10"/>
  <c r="O70" i="10"/>
  <c r="N70" i="10"/>
  <c r="DN69" i="10"/>
  <c r="BH69" i="10"/>
  <c r="AT69" i="10"/>
  <c r="AS69" i="10"/>
  <c r="AR69" i="10"/>
  <c r="AQ69" i="10"/>
  <c r="AP69" i="10"/>
  <c r="AO69" i="10"/>
  <c r="AD69" i="10"/>
  <c r="AC69" i="10"/>
  <c r="AB69" i="10"/>
  <c r="Z69" i="10"/>
  <c r="AA69" i="10" s="1"/>
  <c r="V69" i="10"/>
  <c r="S69" i="10"/>
  <c r="Q69" i="10"/>
  <c r="P69" i="10"/>
  <c r="O69" i="10"/>
  <c r="N69" i="10"/>
  <c r="DN68" i="10"/>
  <c r="BG68" i="10"/>
  <c r="AV68" i="10"/>
  <c r="AU68" i="10"/>
  <c r="AM68" i="10"/>
  <c r="AL68" i="10"/>
  <c r="AK68" i="10"/>
  <c r="AJ68" i="10"/>
  <c r="AI68" i="10"/>
  <c r="AH68" i="10"/>
  <c r="AD68" i="10"/>
  <c r="AC68" i="10"/>
  <c r="AB68" i="10"/>
  <c r="Z68" i="10"/>
  <c r="AA68" i="10" s="1"/>
  <c r="V68" i="10"/>
  <c r="S68" i="10"/>
  <c r="Q68" i="10"/>
  <c r="P68" i="10"/>
  <c r="O68" i="10"/>
  <c r="N68" i="10"/>
  <c r="DN67" i="10"/>
  <c r="BF67" i="10"/>
  <c r="AV67" i="10"/>
  <c r="AU67" i="10"/>
  <c r="AM67" i="10"/>
  <c r="AL67" i="10"/>
  <c r="AK67" i="10"/>
  <c r="AJ67" i="10"/>
  <c r="AI67" i="10"/>
  <c r="AH67" i="10"/>
  <c r="AD67" i="10"/>
  <c r="AC67" i="10"/>
  <c r="AB67" i="10"/>
  <c r="Z67" i="10"/>
  <c r="AA67" i="10" s="1"/>
  <c r="V67" i="10"/>
  <c r="S67" i="10"/>
  <c r="Q67" i="10"/>
  <c r="P67" i="10"/>
  <c r="O67" i="10"/>
  <c r="N67" i="10"/>
  <c r="DN66" i="10"/>
  <c r="BE66" i="10"/>
  <c r="AV66" i="10"/>
  <c r="AU66" i="10"/>
  <c r="AM66" i="10"/>
  <c r="AL66" i="10"/>
  <c r="AK66" i="10"/>
  <c r="AJ66" i="10"/>
  <c r="AI66" i="10"/>
  <c r="AH66" i="10"/>
  <c r="AD66" i="10"/>
  <c r="AC66" i="10"/>
  <c r="AB66" i="10"/>
  <c r="Z66" i="10"/>
  <c r="AA66" i="10" s="1"/>
  <c r="V66" i="10"/>
  <c r="S66" i="10"/>
  <c r="Q66" i="10"/>
  <c r="P66" i="10"/>
  <c r="O66" i="10"/>
  <c r="N66" i="10"/>
  <c r="DN65" i="10"/>
  <c r="BD65" i="10"/>
  <c r="AV65" i="10"/>
  <c r="AU65" i="10"/>
  <c r="AM65" i="10"/>
  <c r="AL65" i="10"/>
  <c r="AK65" i="10"/>
  <c r="AJ65" i="10"/>
  <c r="AI65" i="10"/>
  <c r="AH65" i="10"/>
  <c r="AD65" i="10"/>
  <c r="AC65" i="10"/>
  <c r="AB65" i="10"/>
  <c r="Z65" i="10"/>
  <c r="AA65" i="10" s="1"/>
  <c r="V65" i="10"/>
  <c r="S65" i="10"/>
  <c r="Q65" i="10"/>
  <c r="P65" i="10"/>
  <c r="O65" i="10"/>
  <c r="N65" i="10"/>
  <c r="DN64" i="10"/>
  <c r="BC64" i="10"/>
  <c r="AV64" i="10"/>
  <c r="AU64" i="10"/>
  <c r="AM64" i="10"/>
  <c r="AL64" i="10"/>
  <c r="AK64" i="10"/>
  <c r="AJ64" i="10"/>
  <c r="AI64" i="10"/>
  <c r="AH64" i="10"/>
  <c r="AD64" i="10"/>
  <c r="AC64" i="10"/>
  <c r="AB64" i="10"/>
  <c r="Z64" i="10"/>
  <c r="AA64" i="10" s="1"/>
  <c r="V64" i="10"/>
  <c r="S64" i="10"/>
  <c r="Q64" i="10"/>
  <c r="P64" i="10"/>
  <c r="O64" i="10"/>
  <c r="N64" i="10"/>
  <c r="DN63" i="10"/>
  <c r="BB63" i="10"/>
  <c r="AV63" i="10"/>
  <c r="AU63" i="10"/>
  <c r="AM63" i="10"/>
  <c r="AL63" i="10"/>
  <c r="AK63" i="10"/>
  <c r="AJ63" i="10"/>
  <c r="AI63" i="10"/>
  <c r="AH63" i="10"/>
  <c r="AD63" i="10"/>
  <c r="AC63" i="10"/>
  <c r="AB63" i="10"/>
  <c r="Z63" i="10"/>
  <c r="AA63" i="10" s="1"/>
  <c r="V63" i="10"/>
  <c r="S63" i="10"/>
  <c r="Q63" i="10"/>
  <c r="P63" i="10"/>
  <c r="O63" i="10"/>
  <c r="N63" i="10"/>
  <c r="DN62" i="10"/>
  <c r="BA62" i="10"/>
  <c r="AV62" i="10"/>
  <c r="AU62" i="10"/>
  <c r="AM62" i="10"/>
  <c r="AL62" i="10"/>
  <c r="AK62" i="10"/>
  <c r="AJ62" i="10"/>
  <c r="AI62" i="10"/>
  <c r="AH62" i="10"/>
  <c r="AD62" i="10"/>
  <c r="AC62" i="10"/>
  <c r="AB62" i="10"/>
  <c r="Z62" i="10"/>
  <c r="AA62" i="10" s="1"/>
  <c r="V62" i="10"/>
  <c r="S62" i="10"/>
  <c r="Q62" i="10"/>
  <c r="P62" i="10"/>
  <c r="O62" i="10"/>
  <c r="N62" i="10"/>
  <c r="DN61" i="10"/>
  <c r="BN61" i="10"/>
  <c r="BM61" i="10"/>
  <c r="AV61" i="10"/>
  <c r="AU61" i="10"/>
  <c r="AM61" i="10"/>
  <c r="AL61" i="10"/>
  <c r="AK61" i="10"/>
  <c r="AJ61" i="10"/>
  <c r="AI61" i="10"/>
  <c r="AH61" i="10"/>
  <c r="AD61" i="10"/>
  <c r="AC61" i="10"/>
  <c r="AB61" i="10"/>
  <c r="Z61" i="10"/>
  <c r="AA61" i="10" s="1"/>
  <c r="V61" i="10"/>
  <c r="S61" i="10"/>
  <c r="Q61" i="10"/>
  <c r="P61" i="10"/>
  <c r="O61" i="10"/>
  <c r="N61" i="10"/>
  <c r="DN60" i="10"/>
  <c r="BN60" i="10"/>
  <c r="BM60" i="10"/>
  <c r="AV60" i="10"/>
  <c r="AU60" i="10"/>
  <c r="AM60" i="10"/>
  <c r="AL60" i="10"/>
  <c r="AK60" i="10"/>
  <c r="AJ60" i="10"/>
  <c r="AI60" i="10"/>
  <c r="AH60" i="10"/>
  <c r="AD60" i="10"/>
  <c r="AC60" i="10"/>
  <c r="AB60" i="10"/>
  <c r="Z60" i="10"/>
  <c r="AA60" i="10" s="1"/>
  <c r="V60" i="10"/>
  <c r="S60" i="10"/>
  <c r="Q60" i="10"/>
  <c r="P60" i="10"/>
  <c r="O60" i="10"/>
  <c r="N60" i="10"/>
  <c r="DN59" i="10"/>
  <c r="BN59" i="10"/>
  <c r="BM59" i="10"/>
  <c r="AV59" i="10"/>
  <c r="AU59" i="10"/>
  <c r="AM59" i="10"/>
  <c r="AL59" i="10"/>
  <c r="AK59" i="10"/>
  <c r="AJ59" i="10"/>
  <c r="AI59" i="10"/>
  <c r="AH59" i="10"/>
  <c r="AD59" i="10"/>
  <c r="AC59" i="10"/>
  <c r="AB59" i="10"/>
  <c r="Z59" i="10"/>
  <c r="AA59" i="10" s="1"/>
  <c r="V59" i="10"/>
  <c r="S59" i="10"/>
  <c r="Q59" i="10"/>
  <c r="P59" i="10"/>
  <c r="O59" i="10"/>
  <c r="N59" i="10"/>
  <c r="DN58" i="10"/>
  <c r="BN58" i="10"/>
  <c r="BM58" i="10"/>
  <c r="AV58" i="10"/>
  <c r="AU58" i="10"/>
  <c r="AM58" i="10"/>
  <c r="AL58" i="10"/>
  <c r="AK58" i="10"/>
  <c r="AJ58" i="10"/>
  <c r="AI58" i="10"/>
  <c r="AH58" i="10"/>
  <c r="AD58" i="10"/>
  <c r="AC58" i="10"/>
  <c r="AB58" i="10"/>
  <c r="Z58" i="10"/>
  <c r="AA58" i="10" s="1"/>
  <c r="V58" i="10"/>
  <c r="S58" i="10"/>
  <c r="Q58" i="10"/>
  <c r="P58" i="10"/>
  <c r="O58" i="10"/>
  <c r="N58" i="10"/>
  <c r="DN57" i="10"/>
  <c r="BN57" i="10"/>
  <c r="BM57" i="10"/>
  <c r="AV57" i="10"/>
  <c r="AU57" i="10"/>
  <c r="AM57" i="10"/>
  <c r="AL57" i="10"/>
  <c r="AK57" i="10"/>
  <c r="AJ57" i="10"/>
  <c r="AI57" i="10"/>
  <c r="AH57" i="10"/>
  <c r="AD57" i="10"/>
  <c r="AC57" i="10"/>
  <c r="AB57" i="10"/>
  <c r="Z57" i="10"/>
  <c r="AA57" i="10" s="1"/>
  <c r="V57" i="10"/>
  <c r="S57" i="10"/>
  <c r="Q57" i="10"/>
  <c r="P57" i="10"/>
  <c r="O57" i="10"/>
  <c r="N57" i="10"/>
  <c r="DN56" i="10"/>
  <c r="BN56" i="10"/>
  <c r="BM56" i="10"/>
  <c r="AV56" i="10"/>
  <c r="AU56" i="10"/>
  <c r="AM56" i="10"/>
  <c r="AL56" i="10"/>
  <c r="AK56" i="10"/>
  <c r="AJ56" i="10"/>
  <c r="AI56" i="10"/>
  <c r="AH56" i="10"/>
  <c r="AD56" i="10"/>
  <c r="AC56" i="10"/>
  <c r="AB56" i="10"/>
  <c r="Z56" i="10"/>
  <c r="AA56" i="10" s="1"/>
  <c r="V56" i="10"/>
  <c r="S56" i="10"/>
  <c r="Q56" i="10"/>
  <c r="P56" i="10"/>
  <c r="O56" i="10"/>
  <c r="N56" i="10"/>
  <c r="DN55" i="10"/>
  <c r="BN55" i="10"/>
  <c r="BM55" i="10"/>
  <c r="AV55" i="10"/>
  <c r="AU55" i="10"/>
  <c r="AM55" i="10"/>
  <c r="AL55" i="10"/>
  <c r="AK55" i="10"/>
  <c r="AJ55" i="10"/>
  <c r="AI55" i="10"/>
  <c r="AH55" i="10"/>
  <c r="AD55" i="10"/>
  <c r="AC55" i="10"/>
  <c r="AB55" i="10"/>
  <c r="Z55" i="10"/>
  <c r="AA55" i="10" s="1"/>
  <c r="V55" i="10"/>
  <c r="S55" i="10"/>
  <c r="Q55" i="10"/>
  <c r="P55" i="10"/>
  <c r="O55" i="10"/>
  <c r="N55" i="10"/>
  <c r="DN54" i="10"/>
  <c r="BN54" i="10"/>
  <c r="BM54" i="10"/>
  <c r="AV54" i="10"/>
  <c r="AU54" i="10"/>
  <c r="AM54" i="10"/>
  <c r="AL54" i="10"/>
  <c r="AK54" i="10"/>
  <c r="AJ54" i="10"/>
  <c r="AI54" i="10"/>
  <c r="AH54" i="10"/>
  <c r="AD54" i="10"/>
  <c r="AC54" i="10"/>
  <c r="AB54" i="10"/>
  <c r="Z54" i="10"/>
  <c r="AA54" i="10" s="1"/>
  <c r="V54" i="10"/>
  <c r="S54" i="10"/>
  <c r="Q54" i="10"/>
  <c r="P54" i="10"/>
  <c r="O54" i="10"/>
  <c r="N54" i="10"/>
  <c r="DN53" i="10"/>
  <c r="BN53" i="10"/>
  <c r="BM53" i="10"/>
  <c r="AV53" i="10"/>
  <c r="AU53" i="10"/>
  <c r="AM53" i="10"/>
  <c r="AL53" i="10"/>
  <c r="AK53" i="10"/>
  <c r="AJ53" i="10"/>
  <c r="AI53" i="10"/>
  <c r="AH53" i="10"/>
  <c r="AD53" i="10"/>
  <c r="AC53" i="10"/>
  <c r="AB53" i="10"/>
  <c r="Z53" i="10"/>
  <c r="AA53" i="10" s="1"/>
  <c r="V53" i="10"/>
  <c r="S53" i="10"/>
  <c r="Q53" i="10"/>
  <c r="P53" i="10"/>
  <c r="O53" i="10"/>
  <c r="N53" i="10"/>
  <c r="DN52" i="10"/>
  <c r="BN52" i="10"/>
  <c r="BM52" i="10"/>
  <c r="AV52" i="10"/>
  <c r="AU52" i="10"/>
  <c r="AM52" i="10"/>
  <c r="AL52" i="10"/>
  <c r="AK52" i="10"/>
  <c r="AJ52" i="10"/>
  <c r="AI52" i="10"/>
  <c r="AH52" i="10"/>
  <c r="AD52" i="10"/>
  <c r="AC52" i="10"/>
  <c r="AB52" i="10"/>
  <c r="Z52" i="10"/>
  <c r="AA52" i="10" s="1"/>
  <c r="V52" i="10"/>
  <c r="S52" i="10"/>
  <c r="Q52" i="10"/>
  <c r="P52" i="10"/>
  <c r="O52" i="10"/>
  <c r="N52" i="10"/>
  <c r="DN51" i="10"/>
  <c r="BN51" i="10"/>
  <c r="BM51" i="10"/>
  <c r="AV51" i="10"/>
  <c r="AU51" i="10"/>
  <c r="AM51" i="10"/>
  <c r="AL51" i="10"/>
  <c r="AK51" i="10"/>
  <c r="AJ51" i="10"/>
  <c r="AI51" i="10"/>
  <c r="AH51" i="10"/>
  <c r="AD51" i="10"/>
  <c r="AC51" i="10"/>
  <c r="AB51" i="10"/>
  <c r="Z51" i="10"/>
  <c r="AA51" i="10" s="1"/>
  <c r="V51" i="10"/>
  <c r="S51" i="10"/>
  <c r="Q51" i="10"/>
  <c r="P51" i="10"/>
  <c r="O51" i="10"/>
  <c r="N51" i="10"/>
  <c r="DN50" i="10"/>
  <c r="BN50" i="10"/>
  <c r="BM50" i="10"/>
  <c r="AV50" i="10"/>
  <c r="AU50" i="10"/>
  <c r="AM50" i="10"/>
  <c r="AL50" i="10"/>
  <c r="AK50" i="10"/>
  <c r="AJ50" i="10"/>
  <c r="AI50" i="10"/>
  <c r="AH50" i="10"/>
  <c r="AD50" i="10"/>
  <c r="AC50" i="10"/>
  <c r="AB50" i="10"/>
  <c r="Z50" i="10"/>
  <c r="AA50" i="10" s="1"/>
  <c r="V50" i="10"/>
  <c r="S50" i="10"/>
  <c r="Q50" i="10"/>
  <c r="P50" i="10"/>
  <c r="O50" i="10"/>
  <c r="N50" i="10"/>
  <c r="DN49" i="10"/>
  <c r="BN49" i="10"/>
  <c r="BM49" i="10"/>
  <c r="AV49" i="10"/>
  <c r="AU49" i="10"/>
  <c r="AM49" i="10"/>
  <c r="AL49" i="10"/>
  <c r="AK49" i="10"/>
  <c r="AJ49" i="10"/>
  <c r="AI49" i="10"/>
  <c r="AH49" i="10"/>
  <c r="AD49" i="10"/>
  <c r="AC49" i="10"/>
  <c r="AB49" i="10"/>
  <c r="Z49" i="10"/>
  <c r="AA49" i="10" s="1"/>
  <c r="V49" i="10"/>
  <c r="S49" i="10"/>
  <c r="Q49" i="10"/>
  <c r="P49" i="10"/>
  <c r="O49" i="10"/>
  <c r="N49" i="10"/>
  <c r="DN48" i="10"/>
  <c r="BN48" i="10"/>
  <c r="BM48" i="10"/>
  <c r="AV48" i="10"/>
  <c r="AU48" i="10"/>
  <c r="AM48" i="10"/>
  <c r="AL48" i="10"/>
  <c r="AK48" i="10"/>
  <c r="AJ48" i="10"/>
  <c r="AI48" i="10"/>
  <c r="AH48" i="10"/>
  <c r="AD48" i="10"/>
  <c r="AC48" i="10"/>
  <c r="AB48" i="10"/>
  <c r="Z48" i="10"/>
  <c r="AA48" i="10" s="1"/>
  <c r="V48" i="10"/>
  <c r="S48" i="10"/>
  <c r="Q48" i="10"/>
  <c r="P48" i="10"/>
  <c r="O48" i="10"/>
  <c r="N48" i="10"/>
  <c r="DN47" i="10"/>
  <c r="BN47" i="10"/>
  <c r="BM47" i="10"/>
  <c r="AV47" i="10"/>
  <c r="AU47" i="10"/>
  <c r="AM47" i="10"/>
  <c r="AL47" i="10"/>
  <c r="AK47" i="10"/>
  <c r="AJ47" i="10"/>
  <c r="AI47" i="10"/>
  <c r="AH47" i="10"/>
  <c r="AD47" i="10"/>
  <c r="AC47" i="10"/>
  <c r="AB47" i="10"/>
  <c r="Z47" i="10"/>
  <c r="AA47" i="10" s="1"/>
  <c r="V47" i="10"/>
  <c r="S47" i="10"/>
  <c r="Q47" i="10"/>
  <c r="P47" i="10"/>
  <c r="O47" i="10"/>
  <c r="N47" i="10"/>
  <c r="DN46" i="10"/>
  <c r="BN46" i="10"/>
  <c r="BM46" i="10"/>
  <c r="AV46" i="10"/>
  <c r="AU46" i="10"/>
  <c r="AM46" i="10"/>
  <c r="AL46" i="10"/>
  <c r="AK46" i="10"/>
  <c r="AJ46" i="10"/>
  <c r="AI46" i="10"/>
  <c r="AH46" i="10"/>
  <c r="AD46" i="10"/>
  <c r="AC46" i="10"/>
  <c r="AB46" i="10"/>
  <c r="Z46" i="10"/>
  <c r="AA46" i="10" s="1"/>
  <c r="V46" i="10"/>
  <c r="S46" i="10"/>
  <c r="Q46" i="10"/>
  <c r="P46" i="10"/>
  <c r="O46" i="10"/>
  <c r="N46" i="10"/>
  <c r="DN45" i="10"/>
  <c r="BN45" i="10"/>
  <c r="BM45" i="10"/>
  <c r="AV45" i="10"/>
  <c r="AU45" i="10"/>
  <c r="AM45" i="10"/>
  <c r="AL45" i="10"/>
  <c r="AK45" i="10"/>
  <c r="AJ45" i="10"/>
  <c r="AI45" i="10"/>
  <c r="AH45" i="10"/>
  <c r="AD45" i="10"/>
  <c r="AC45" i="10"/>
  <c r="AB45" i="10"/>
  <c r="Z45" i="10"/>
  <c r="AA45" i="10" s="1"/>
  <c r="V45" i="10"/>
  <c r="S45" i="10"/>
  <c r="Q45" i="10"/>
  <c r="P45" i="10"/>
  <c r="O45" i="10"/>
  <c r="N45" i="10"/>
  <c r="DN44" i="10"/>
  <c r="BN44" i="10"/>
  <c r="BM44" i="10"/>
  <c r="AV44" i="10"/>
  <c r="AU44" i="10"/>
  <c r="AM44" i="10"/>
  <c r="AL44" i="10"/>
  <c r="AK44" i="10"/>
  <c r="AJ44" i="10"/>
  <c r="AI44" i="10"/>
  <c r="AH44" i="10"/>
  <c r="AD44" i="10"/>
  <c r="AC44" i="10"/>
  <c r="AB44" i="10"/>
  <c r="Z44" i="10"/>
  <c r="AA44" i="10" s="1"/>
  <c r="V44" i="10"/>
  <c r="S44" i="10"/>
  <c r="Q44" i="10"/>
  <c r="P44" i="10"/>
  <c r="O44" i="10"/>
  <c r="N44" i="10"/>
  <c r="DN43" i="10"/>
  <c r="BN43" i="10"/>
  <c r="BM43" i="10"/>
  <c r="AV43" i="10"/>
  <c r="AU43" i="10"/>
  <c r="AM43" i="10"/>
  <c r="AL43" i="10"/>
  <c r="AK43" i="10"/>
  <c r="AJ43" i="10"/>
  <c r="AI43" i="10"/>
  <c r="AH43" i="10"/>
  <c r="AD43" i="10"/>
  <c r="AC43" i="10"/>
  <c r="AB43" i="10"/>
  <c r="Z43" i="10"/>
  <c r="AA43" i="10" s="1"/>
  <c r="V43" i="10"/>
  <c r="S43" i="10"/>
  <c r="Q43" i="10"/>
  <c r="P43" i="10"/>
  <c r="O43" i="10"/>
  <c r="N43" i="10"/>
  <c r="DN42" i="10"/>
  <c r="BN42" i="10"/>
  <c r="BM42" i="10"/>
  <c r="AV42" i="10"/>
  <c r="AU42" i="10"/>
  <c r="AM42" i="10"/>
  <c r="AL42" i="10"/>
  <c r="AK42" i="10"/>
  <c r="AJ42" i="10"/>
  <c r="AI42" i="10"/>
  <c r="AH42" i="10"/>
  <c r="AD42" i="10"/>
  <c r="AC42" i="10"/>
  <c r="AB42" i="10"/>
  <c r="Z42" i="10"/>
  <c r="AA42" i="10" s="1"/>
  <c r="V42" i="10"/>
  <c r="S42" i="10"/>
  <c r="Q42" i="10"/>
  <c r="P42" i="10"/>
  <c r="O42" i="10"/>
  <c r="N42" i="10"/>
  <c r="DX41" i="10"/>
  <c r="DN41" i="10"/>
  <c r="BN41" i="10"/>
  <c r="BM41" i="10"/>
  <c r="AV41" i="10"/>
  <c r="AU41" i="10"/>
  <c r="AM41" i="10"/>
  <c r="AL41" i="10"/>
  <c r="AK41" i="10"/>
  <c r="AJ41" i="10"/>
  <c r="AI41" i="10"/>
  <c r="AH41" i="10"/>
  <c r="AD41" i="10"/>
  <c r="AC41" i="10"/>
  <c r="AB41" i="10"/>
  <c r="Z41" i="10"/>
  <c r="AA41" i="10" s="1"/>
  <c r="V41" i="10"/>
  <c r="S41" i="10"/>
  <c r="Q41" i="10"/>
  <c r="P41" i="10"/>
  <c r="O41" i="10"/>
  <c r="N41" i="10"/>
  <c r="DW40" i="10"/>
  <c r="DN40" i="10"/>
  <c r="BN40" i="10"/>
  <c r="BM40" i="10"/>
  <c r="AV40" i="10"/>
  <c r="AU40" i="10"/>
  <c r="AM40" i="10"/>
  <c r="AL40" i="10"/>
  <c r="AK40" i="10"/>
  <c r="AJ40" i="10"/>
  <c r="AI40" i="10"/>
  <c r="AH40" i="10"/>
  <c r="AD40" i="10"/>
  <c r="AC40" i="10"/>
  <c r="AB40" i="10"/>
  <c r="Z40" i="10"/>
  <c r="AA40" i="10" s="1"/>
  <c r="V40" i="10"/>
  <c r="S40" i="10"/>
  <c r="Q40" i="10"/>
  <c r="P40" i="10"/>
  <c r="O40" i="10"/>
  <c r="N40" i="10"/>
  <c r="DV39" i="10"/>
  <c r="DN39" i="10"/>
  <c r="BN39" i="10"/>
  <c r="BM39" i="10"/>
  <c r="AV39" i="10"/>
  <c r="AU39" i="10"/>
  <c r="AM39" i="10"/>
  <c r="AL39" i="10"/>
  <c r="AK39" i="10"/>
  <c r="AJ39" i="10"/>
  <c r="AI39" i="10"/>
  <c r="AH39" i="10"/>
  <c r="AD39" i="10"/>
  <c r="AC39" i="10"/>
  <c r="AB39" i="10"/>
  <c r="Z39" i="10"/>
  <c r="AA39" i="10" s="1"/>
  <c r="V39" i="10"/>
  <c r="S39" i="10"/>
  <c r="Q39" i="10"/>
  <c r="P39" i="10"/>
  <c r="O39" i="10"/>
  <c r="N39" i="10"/>
  <c r="DV38" i="10"/>
  <c r="DN38" i="10"/>
  <c r="BN38" i="10"/>
  <c r="BM38" i="10"/>
  <c r="AV38" i="10"/>
  <c r="AU38" i="10"/>
  <c r="AM38" i="10"/>
  <c r="AL38" i="10"/>
  <c r="AK38" i="10"/>
  <c r="AJ38" i="10"/>
  <c r="AI38" i="10"/>
  <c r="AH38" i="10"/>
  <c r="AD38" i="10"/>
  <c r="AC38" i="10"/>
  <c r="AB38" i="10"/>
  <c r="Z38" i="10"/>
  <c r="AA38" i="10" s="1"/>
  <c r="V38" i="10"/>
  <c r="S38" i="10"/>
  <c r="Q38" i="10"/>
  <c r="P38" i="10"/>
  <c r="O38" i="10"/>
  <c r="N38" i="10"/>
  <c r="DU37" i="10"/>
  <c r="DN37" i="10"/>
  <c r="BN37" i="10"/>
  <c r="BM37" i="10"/>
  <c r="AV37" i="10"/>
  <c r="AU37" i="10"/>
  <c r="AM37" i="10"/>
  <c r="AL37" i="10"/>
  <c r="AK37" i="10"/>
  <c r="AJ37" i="10"/>
  <c r="AI37" i="10"/>
  <c r="AH37" i="10"/>
  <c r="AD37" i="10"/>
  <c r="AC37" i="10"/>
  <c r="AB37" i="10"/>
  <c r="Z37" i="10"/>
  <c r="AA37" i="10" s="1"/>
  <c r="V37" i="10"/>
  <c r="S37" i="10"/>
  <c r="Q37" i="10"/>
  <c r="P37" i="10"/>
  <c r="O37" i="10"/>
  <c r="N37" i="10"/>
  <c r="DN36" i="10"/>
  <c r="BN36" i="10"/>
  <c r="BM36" i="10"/>
  <c r="AV36" i="10"/>
  <c r="AU36" i="10"/>
  <c r="AM36" i="10"/>
  <c r="AL36" i="10"/>
  <c r="AK36" i="10"/>
  <c r="AJ36" i="10"/>
  <c r="AI36" i="10"/>
  <c r="AH36" i="10"/>
  <c r="AD36" i="10"/>
  <c r="AC36" i="10"/>
  <c r="AB36" i="10"/>
  <c r="Z36" i="10"/>
  <c r="AA36" i="10" s="1"/>
  <c r="V36" i="10"/>
  <c r="S36" i="10"/>
  <c r="Q36" i="10"/>
  <c r="P36" i="10"/>
  <c r="O36" i="10"/>
  <c r="N36" i="10"/>
  <c r="DN35" i="10"/>
  <c r="BN35" i="10"/>
  <c r="BM35" i="10"/>
  <c r="AV35" i="10"/>
  <c r="AU35" i="10"/>
  <c r="AM35" i="10"/>
  <c r="AL35" i="10"/>
  <c r="AK35" i="10"/>
  <c r="AJ35" i="10"/>
  <c r="AI35" i="10"/>
  <c r="AH35" i="10"/>
  <c r="AD35" i="10"/>
  <c r="AC35" i="10"/>
  <c r="AB35" i="10"/>
  <c r="Z35" i="10"/>
  <c r="AA35" i="10" s="1"/>
  <c r="V35" i="10"/>
  <c r="S35" i="10"/>
  <c r="Q35" i="10"/>
  <c r="P35" i="10"/>
  <c r="O35" i="10"/>
  <c r="N35" i="10"/>
  <c r="BN34" i="10"/>
  <c r="BM34" i="10"/>
  <c r="AV34" i="10"/>
  <c r="AU34" i="10"/>
  <c r="AM34" i="10"/>
  <c r="AL34" i="10"/>
  <c r="AK34" i="10"/>
  <c r="AJ34" i="10"/>
  <c r="AI34" i="10"/>
  <c r="AH34" i="10"/>
  <c r="AD34" i="10"/>
  <c r="AC34" i="10"/>
  <c r="AB34" i="10"/>
  <c r="Z34" i="10"/>
  <c r="AA34" i="10" s="1"/>
  <c r="V34" i="10"/>
  <c r="S34" i="10"/>
  <c r="Q34" i="10"/>
  <c r="P34" i="10"/>
  <c r="O34" i="10"/>
  <c r="N34" i="10"/>
  <c r="BN33" i="10"/>
  <c r="BM33" i="10"/>
  <c r="AV33" i="10"/>
  <c r="AU33" i="10"/>
  <c r="AM33" i="10"/>
  <c r="AL33" i="10"/>
  <c r="AK33" i="10"/>
  <c r="AJ33" i="10"/>
  <c r="AI33" i="10"/>
  <c r="AH33" i="10"/>
  <c r="AD33" i="10"/>
  <c r="AC33" i="10"/>
  <c r="AB33" i="10"/>
  <c r="Z33" i="10"/>
  <c r="AA33" i="10" s="1"/>
  <c r="V33" i="10"/>
  <c r="S33" i="10"/>
  <c r="Q33" i="10"/>
  <c r="P33" i="10"/>
  <c r="O33" i="10"/>
  <c r="N33" i="10"/>
  <c r="DI32" i="10"/>
  <c r="DH32" i="10"/>
  <c r="DG32" i="10"/>
  <c r="DF32" i="10"/>
  <c r="DE32" i="10"/>
  <c r="DD32" i="10"/>
  <c r="DC32" i="10"/>
  <c r="BN32" i="10"/>
  <c r="BM32" i="10"/>
  <c r="AV32" i="10"/>
  <c r="AU32" i="10"/>
  <c r="AM32" i="10"/>
  <c r="AL32" i="10"/>
  <c r="AK32" i="10"/>
  <c r="AJ32" i="10"/>
  <c r="AI32" i="10"/>
  <c r="AH32" i="10"/>
  <c r="AD32" i="10"/>
  <c r="AC32" i="10"/>
  <c r="AB32" i="10"/>
  <c r="Z32" i="10"/>
  <c r="AA32" i="10" s="1"/>
  <c r="V32" i="10"/>
  <c r="S32" i="10"/>
  <c r="Q32" i="10"/>
  <c r="P32" i="10"/>
  <c r="O32" i="10"/>
  <c r="N32" i="10"/>
  <c r="BN31" i="10"/>
  <c r="BM31" i="10"/>
  <c r="AV31" i="10"/>
  <c r="AU31" i="10"/>
  <c r="AM31" i="10"/>
  <c r="AL31" i="10"/>
  <c r="AK31" i="10"/>
  <c r="AJ31" i="10"/>
  <c r="AI31" i="10"/>
  <c r="AH31" i="10"/>
  <c r="AD31" i="10"/>
  <c r="AC31" i="10"/>
  <c r="AB31" i="10"/>
  <c r="Z31" i="10"/>
  <c r="AA31" i="10" s="1"/>
  <c r="V31" i="10"/>
  <c r="S31" i="10"/>
  <c r="Q31" i="10"/>
  <c r="P31" i="10"/>
  <c r="O31" i="10"/>
  <c r="N31" i="10"/>
  <c r="DI30" i="10"/>
  <c r="DH30" i="10"/>
  <c r="DG30" i="10"/>
  <c r="DF30" i="10"/>
  <c r="DE30" i="10"/>
  <c r="DD30" i="10"/>
  <c r="DC30" i="10"/>
  <c r="BN30" i="10"/>
  <c r="BM30" i="10"/>
  <c r="AV30" i="10"/>
  <c r="AU30" i="10"/>
  <c r="AM30" i="10"/>
  <c r="AL30" i="10"/>
  <c r="AK30" i="10"/>
  <c r="AJ30" i="10"/>
  <c r="AI30" i="10"/>
  <c r="AH30" i="10"/>
  <c r="AD30" i="10"/>
  <c r="AC30" i="10"/>
  <c r="AB30" i="10"/>
  <c r="Z30" i="10"/>
  <c r="AA30" i="10" s="1"/>
  <c r="V30" i="10"/>
  <c r="S30" i="10"/>
  <c r="Q30" i="10"/>
  <c r="P30" i="10"/>
  <c r="O30" i="10"/>
  <c r="N30" i="10"/>
  <c r="DL29" i="10"/>
  <c r="DK29" i="10"/>
  <c r="DJ29" i="10"/>
  <c r="DI29" i="10"/>
  <c r="BN29" i="10"/>
  <c r="BM29" i="10"/>
  <c r="AV29" i="10"/>
  <c r="AU29" i="10"/>
  <c r="AM29" i="10"/>
  <c r="AL29" i="10"/>
  <c r="AK29" i="10"/>
  <c r="AJ29" i="10"/>
  <c r="AI29" i="10"/>
  <c r="AH29" i="10"/>
  <c r="AD29" i="10"/>
  <c r="AC29" i="10"/>
  <c r="AB29" i="10"/>
  <c r="Z29" i="10"/>
  <c r="AA29" i="10" s="1"/>
  <c r="V29" i="10"/>
  <c r="S29" i="10"/>
  <c r="Q29" i="10"/>
  <c r="P29" i="10"/>
  <c r="O29" i="10"/>
  <c r="N29" i="10"/>
  <c r="DN28" i="10"/>
  <c r="DL28" i="10"/>
  <c r="DK28" i="10"/>
  <c r="DJ28" i="10"/>
  <c r="DI28" i="10"/>
  <c r="BN28" i="10"/>
  <c r="BM28" i="10"/>
  <c r="AV28" i="10"/>
  <c r="AU28" i="10"/>
  <c r="AM28" i="10"/>
  <c r="AL28" i="10"/>
  <c r="AK28" i="10"/>
  <c r="AJ28" i="10"/>
  <c r="AI28" i="10"/>
  <c r="AH28" i="10"/>
  <c r="AD28" i="10"/>
  <c r="AC28" i="10"/>
  <c r="AB28" i="10"/>
  <c r="Z28" i="10"/>
  <c r="AA28" i="10" s="1"/>
  <c r="V28" i="10"/>
  <c r="S28" i="10"/>
  <c r="Q28" i="10"/>
  <c r="P28" i="10"/>
  <c r="O28" i="10"/>
  <c r="N28" i="10"/>
  <c r="DN27" i="10"/>
  <c r="DL27" i="10"/>
  <c r="DK27" i="10"/>
  <c r="DJ27" i="10"/>
  <c r="DI27" i="10"/>
  <c r="BN27" i="10"/>
  <c r="BM27" i="10"/>
  <c r="AV27" i="10"/>
  <c r="AU27" i="10"/>
  <c r="AM27" i="10"/>
  <c r="AL27" i="10"/>
  <c r="AK27" i="10"/>
  <c r="AJ27" i="10"/>
  <c r="AI27" i="10"/>
  <c r="AH27" i="10"/>
  <c r="AD27" i="10"/>
  <c r="AC27" i="10"/>
  <c r="AB27" i="10"/>
  <c r="Z27" i="10"/>
  <c r="AA27" i="10" s="1"/>
  <c r="V27" i="10"/>
  <c r="S27" i="10"/>
  <c r="Q27" i="10"/>
  <c r="P27" i="10"/>
  <c r="O27" i="10"/>
  <c r="N27" i="10"/>
  <c r="DN26" i="10"/>
  <c r="DL26" i="10"/>
  <c r="DK26" i="10"/>
  <c r="DJ26" i="10"/>
  <c r="DI26" i="10"/>
  <c r="BN26" i="10"/>
  <c r="BM26" i="10"/>
  <c r="AV26" i="10"/>
  <c r="AU26" i="10"/>
  <c r="AM26" i="10"/>
  <c r="AL26" i="10"/>
  <c r="AK26" i="10"/>
  <c r="AJ26" i="10"/>
  <c r="AI26" i="10"/>
  <c r="AH26" i="10"/>
  <c r="AD26" i="10"/>
  <c r="AC26" i="10"/>
  <c r="AB26" i="10"/>
  <c r="Z26" i="10"/>
  <c r="AA26" i="10" s="1"/>
  <c r="V26" i="10"/>
  <c r="S26" i="10"/>
  <c r="Q26" i="10"/>
  <c r="P26" i="10"/>
  <c r="O26" i="10"/>
  <c r="N26" i="10"/>
  <c r="DN25" i="10"/>
  <c r="DL25" i="10"/>
  <c r="DK25" i="10"/>
  <c r="DJ25" i="10"/>
  <c r="DI25" i="10"/>
  <c r="BN25" i="10"/>
  <c r="BM25" i="10"/>
  <c r="AV25" i="10"/>
  <c r="AU25" i="10"/>
  <c r="AM25" i="10"/>
  <c r="AL25" i="10"/>
  <c r="AK25" i="10"/>
  <c r="AJ25" i="10"/>
  <c r="AI25" i="10"/>
  <c r="AH25" i="10"/>
  <c r="AD25" i="10"/>
  <c r="AC25" i="10"/>
  <c r="AB25" i="10"/>
  <c r="Z25" i="10"/>
  <c r="AA25" i="10" s="1"/>
  <c r="V25" i="10"/>
  <c r="S25" i="10"/>
  <c r="Q25" i="10"/>
  <c r="P25" i="10"/>
  <c r="O25" i="10"/>
  <c r="N25" i="10"/>
  <c r="DN24" i="10"/>
  <c r="DL24" i="10"/>
  <c r="DK24" i="10"/>
  <c r="DJ24" i="10"/>
  <c r="DI24" i="10"/>
  <c r="BN24" i="10"/>
  <c r="BM24" i="10"/>
  <c r="AV24" i="10"/>
  <c r="AU24" i="10"/>
  <c r="AM24" i="10"/>
  <c r="AL24" i="10"/>
  <c r="AK24" i="10"/>
  <c r="AJ24" i="10"/>
  <c r="AI24" i="10"/>
  <c r="AH24" i="10"/>
  <c r="AD24" i="10"/>
  <c r="AC24" i="10"/>
  <c r="AB24" i="10"/>
  <c r="Z24" i="10"/>
  <c r="AA24" i="10" s="1"/>
  <c r="V24" i="10"/>
  <c r="S24" i="10"/>
  <c r="Q24" i="10"/>
  <c r="P24" i="10"/>
  <c r="O24" i="10"/>
  <c r="N24" i="10"/>
  <c r="DN23" i="10"/>
  <c r="DL23" i="10"/>
  <c r="DK23" i="10"/>
  <c r="DJ23" i="10"/>
  <c r="DI23" i="10"/>
  <c r="BN23" i="10"/>
  <c r="BM23" i="10"/>
  <c r="AV23" i="10"/>
  <c r="AU23" i="10"/>
  <c r="AM23" i="10"/>
  <c r="AL23" i="10"/>
  <c r="AK23" i="10"/>
  <c r="AJ23" i="10"/>
  <c r="AI23" i="10"/>
  <c r="AH23" i="10"/>
  <c r="AD23" i="10"/>
  <c r="AC23" i="10"/>
  <c r="AB23" i="10"/>
  <c r="Z23" i="10"/>
  <c r="AA23" i="10" s="1"/>
  <c r="V23" i="10"/>
  <c r="S23" i="10"/>
  <c r="Q23" i="10"/>
  <c r="P23" i="10"/>
  <c r="O23" i="10"/>
  <c r="N23" i="10"/>
  <c r="DN22" i="10"/>
  <c r="DL22" i="10"/>
  <c r="DK22" i="10"/>
  <c r="DJ22" i="10"/>
  <c r="DI22" i="10"/>
  <c r="BN22" i="10"/>
  <c r="BM22" i="10"/>
  <c r="AV22" i="10"/>
  <c r="AU22" i="10"/>
  <c r="AM22" i="10"/>
  <c r="AL22" i="10"/>
  <c r="AK22" i="10"/>
  <c r="AJ22" i="10"/>
  <c r="AI22" i="10"/>
  <c r="AH22" i="10"/>
  <c r="AD22" i="10"/>
  <c r="AC22" i="10"/>
  <c r="AB22" i="10"/>
  <c r="Z22" i="10"/>
  <c r="AA22" i="10" s="1"/>
  <c r="V22" i="10"/>
  <c r="S22" i="10"/>
  <c r="Q22" i="10"/>
  <c r="P22" i="10"/>
  <c r="O22" i="10"/>
  <c r="N22" i="10"/>
  <c r="DN21" i="10"/>
  <c r="DL21" i="10"/>
  <c r="DK21" i="10"/>
  <c r="DJ21" i="10"/>
  <c r="DI21" i="10"/>
  <c r="BY21" i="10"/>
  <c r="CC21" i="10" s="1"/>
  <c r="BV21" i="10"/>
  <c r="BN21" i="10"/>
  <c r="BM21" i="10"/>
  <c r="AV21" i="10"/>
  <c r="AU21" i="10"/>
  <c r="AM21" i="10"/>
  <c r="AL21" i="10"/>
  <c r="AK21" i="10"/>
  <c r="AJ21" i="10"/>
  <c r="AI21" i="10"/>
  <c r="AH21" i="10"/>
  <c r="AD21" i="10"/>
  <c r="AC21" i="10"/>
  <c r="AB21" i="10"/>
  <c r="Z21" i="10"/>
  <c r="AA21" i="10" s="1"/>
  <c r="V21" i="10"/>
  <c r="S21" i="10"/>
  <c r="Q21" i="10"/>
  <c r="P21" i="10"/>
  <c r="O21" i="10"/>
  <c r="N21" i="10"/>
  <c r="DN20" i="10"/>
  <c r="DL20" i="10"/>
  <c r="DK20" i="10"/>
  <c r="DJ20" i="10"/>
  <c r="DI20" i="10"/>
  <c r="BN20" i="10"/>
  <c r="BM20" i="10"/>
  <c r="AV20" i="10"/>
  <c r="AU20" i="10"/>
  <c r="AM20" i="10"/>
  <c r="AL20" i="10"/>
  <c r="AK20" i="10"/>
  <c r="AJ20" i="10"/>
  <c r="AI20" i="10"/>
  <c r="AH20" i="10"/>
  <c r="AD20" i="10"/>
  <c r="AC20" i="10"/>
  <c r="AB20" i="10"/>
  <c r="Z20" i="10"/>
  <c r="AA20" i="10" s="1"/>
  <c r="V20" i="10"/>
  <c r="S20" i="10"/>
  <c r="Q20" i="10"/>
  <c r="P20" i="10"/>
  <c r="O20" i="10"/>
  <c r="N20" i="10"/>
  <c r="DN19" i="10"/>
  <c r="DL19" i="10"/>
  <c r="DK19" i="10"/>
  <c r="DJ19" i="10"/>
  <c r="DI19" i="10"/>
  <c r="BY19" i="10"/>
  <c r="CC19" i="10" s="1"/>
  <c r="BV19" i="10"/>
  <c r="BN19" i="10"/>
  <c r="BM19" i="10"/>
  <c r="AV19" i="10"/>
  <c r="AU19" i="10"/>
  <c r="AM19" i="10"/>
  <c r="AL19" i="10"/>
  <c r="AK19" i="10"/>
  <c r="AJ19" i="10"/>
  <c r="AI19" i="10"/>
  <c r="AH19" i="10"/>
  <c r="AD19" i="10"/>
  <c r="AC19" i="10"/>
  <c r="AB19" i="10"/>
  <c r="Z19" i="10"/>
  <c r="AA19" i="10" s="1"/>
  <c r="V19" i="10"/>
  <c r="S19" i="10"/>
  <c r="Q19" i="10"/>
  <c r="P19" i="10"/>
  <c r="O19" i="10"/>
  <c r="N19" i="10"/>
  <c r="DN18" i="10"/>
  <c r="DL18" i="10"/>
  <c r="DK18" i="10"/>
  <c r="DJ18" i="10"/>
  <c r="DI18" i="10"/>
  <c r="BN18" i="10"/>
  <c r="BM18" i="10"/>
  <c r="AV18" i="10"/>
  <c r="AU18" i="10"/>
  <c r="AM18" i="10"/>
  <c r="AL18" i="10"/>
  <c r="AK18" i="10"/>
  <c r="AJ18" i="10"/>
  <c r="AI18" i="10"/>
  <c r="AH18" i="10"/>
  <c r="AD18" i="10"/>
  <c r="AC18" i="10"/>
  <c r="AB18" i="10"/>
  <c r="Z18" i="10"/>
  <c r="AA18" i="10" s="1"/>
  <c r="V18" i="10"/>
  <c r="S18" i="10"/>
  <c r="Q18" i="10"/>
  <c r="P18" i="10"/>
  <c r="O18" i="10"/>
  <c r="N18" i="10"/>
  <c r="DN17" i="10"/>
  <c r="DL17" i="10"/>
  <c r="DK17" i="10"/>
  <c r="DJ17" i="10"/>
  <c r="DI17" i="10"/>
  <c r="CC17" i="10"/>
  <c r="BY17" i="10"/>
  <c r="BV17" i="10"/>
  <c r="BN17" i="10"/>
  <c r="BM17" i="10"/>
  <c r="AV17" i="10"/>
  <c r="AU17" i="10"/>
  <c r="AM17" i="10"/>
  <c r="AL17" i="10"/>
  <c r="AK17" i="10"/>
  <c r="AJ17" i="10"/>
  <c r="AI17" i="10"/>
  <c r="AH17" i="10"/>
  <c r="AD17" i="10"/>
  <c r="AC17" i="10"/>
  <c r="AB17" i="10"/>
  <c r="Z17" i="10"/>
  <c r="AA17" i="10" s="1"/>
  <c r="V17" i="10"/>
  <c r="S17" i="10"/>
  <c r="Q17" i="10"/>
  <c r="P17" i="10"/>
  <c r="O17" i="10"/>
  <c r="N17" i="10"/>
  <c r="DN16" i="10"/>
  <c r="DL16" i="10"/>
  <c r="DK16" i="10"/>
  <c r="DJ16" i="10"/>
  <c r="DI16" i="10"/>
  <c r="BN16" i="10"/>
  <c r="BM16" i="10"/>
  <c r="AV16" i="10"/>
  <c r="AU16" i="10"/>
  <c r="AM16" i="10"/>
  <c r="AL16" i="10"/>
  <c r="AK16" i="10"/>
  <c r="AJ16" i="10"/>
  <c r="AI16" i="10"/>
  <c r="AH16" i="10"/>
  <c r="AD16" i="10"/>
  <c r="AC16" i="10"/>
  <c r="AB16" i="10"/>
  <c r="Z16" i="10"/>
  <c r="AA16" i="10" s="1"/>
  <c r="V16" i="10"/>
  <c r="S16" i="10"/>
  <c r="Q16" i="10"/>
  <c r="P16" i="10"/>
  <c r="O16" i="10"/>
  <c r="N16" i="10"/>
  <c r="DN15" i="10"/>
  <c r="DL15" i="10"/>
  <c r="DK15" i="10"/>
  <c r="DJ15" i="10"/>
  <c r="DI15" i="10"/>
  <c r="CC15" i="10"/>
  <c r="BY15" i="10"/>
  <c r="BV15" i="10"/>
  <c r="BN15" i="10"/>
  <c r="BM15" i="10"/>
  <c r="AV15" i="10"/>
  <c r="AU15" i="10"/>
  <c r="AM15" i="10"/>
  <c r="AL15" i="10"/>
  <c r="AK15" i="10"/>
  <c r="AJ15" i="10"/>
  <c r="AI15" i="10"/>
  <c r="AH15" i="10"/>
  <c r="AD15" i="10"/>
  <c r="AC15" i="10"/>
  <c r="AB15" i="10"/>
  <c r="Z15" i="10"/>
  <c r="AA15" i="10" s="1"/>
  <c r="V15" i="10"/>
  <c r="S15" i="10"/>
  <c r="Q15" i="10"/>
  <c r="P15" i="10"/>
  <c r="O15" i="10"/>
  <c r="N15" i="10"/>
  <c r="DN14" i="10"/>
  <c r="DL14" i="10"/>
  <c r="DK14" i="10"/>
  <c r="DJ14" i="10"/>
  <c r="DI14" i="10"/>
  <c r="BN14" i="10"/>
  <c r="BM14" i="10"/>
  <c r="AV14" i="10"/>
  <c r="AU14" i="10"/>
  <c r="AM14" i="10"/>
  <c r="AL14" i="10"/>
  <c r="AK14" i="10"/>
  <c r="AJ14" i="10"/>
  <c r="AI14" i="10"/>
  <c r="AH14" i="10"/>
  <c r="AD14" i="10"/>
  <c r="AC14" i="10"/>
  <c r="AB14" i="10"/>
  <c r="Z14" i="10"/>
  <c r="AA14" i="10" s="1"/>
  <c r="V14" i="10"/>
  <c r="S14" i="10"/>
  <c r="Q14" i="10"/>
  <c r="P14" i="10"/>
  <c r="O14" i="10"/>
  <c r="N14" i="10"/>
  <c r="DN13" i="10"/>
  <c r="DL13" i="10"/>
  <c r="DK13" i="10"/>
  <c r="DJ13" i="10"/>
  <c r="DI13" i="10"/>
  <c r="BY13" i="10"/>
  <c r="CC13" i="10" s="1"/>
  <c r="BV13" i="10"/>
  <c r="BN13" i="10"/>
  <c r="BM13" i="10"/>
  <c r="AV13" i="10"/>
  <c r="AU13" i="10"/>
  <c r="AM13" i="10"/>
  <c r="AL13" i="10"/>
  <c r="AK13" i="10"/>
  <c r="AJ13" i="10"/>
  <c r="AI13" i="10"/>
  <c r="AH13" i="10"/>
  <c r="AD13" i="10"/>
  <c r="AC13" i="10"/>
  <c r="AB13" i="10"/>
  <c r="Z13" i="10"/>
  <c r="AA13" i="10" s="1"/>
  <c r="V13" i="10"/>
  <c r="S13" i="10"/>
  <c r="Q13" i="10"/>
  <c r="P13" i="10"/>
  <c r="O13" i="10"/>
  <c r="N13" i="10"/>
  <c r="DN12" i="10"/>
  <c r="DL12" i="10"/>
  <c r="DK12" i="10"/>
  <c r="DJ12" i="10"/>
  <c r="DI12" i="10"/>
  <c r="BN12" i="10"/>
  <c r="BM12" i="10"/>
  <c r="AV12" i="10"/>
  <c r="AU12" i="10"/>
  <c r="AM12" i="10"/>
  <c r="AL12" i="10"/>
  <c r="AK12" i="10"/>
  <c r="AJ12" i="10"/>
  <c r="AI12" i="10"/>
  <c r="AH12" i="10"/>
  <c r="AD12" i="10"/>
  <c r="AC12" i="10"/>
  <c r="AB12" i="10"/>
  <c r="Z12" i="10"/>
  <c r="AA12" i="10" s="1"/>
  <c r="V12" i="10"/>
  <c r="S12" i="10"/>
  <c r="Q12" i="10"/>
  <c r="P12" i="10"/>
  <c r="O12" i="10"/>
  <c r="N12" i="10"/>
  <c r="DN11" i="10"/>
  <c r="DL11" i="10"/>
  <c r="DK11" i="10"/>
  <c r="DJ11" i="10"/>
  <c r="DI11" i="10"/>
  <c r="BY11" i="10"/>
  <c r="CC11" i="10" s="1"/>
  <c r="BV11" i="10"/>
  <c r="BN11" i="10"/>
  <c r="BM11" i="10"/>
  <c r="AV11" i="10"/>
  <c r="AU11" i="10"/>
  <c r="AM11" i="10"/>
  <c r="AL11" i="10"/>
  <c r="AK11" i="10"/>
  <c r="AJ11" i="10"/>
  <c r="AI11" i="10"/>
  <c r="AH11" i="10"/>
  <c r="AD11" i="10"/>
  <c r="AC11" i="10"/>
  <c r="AB11" i="10"/>
  <c r="Z11" i="10"/>
  <c r="AA11" i="10" s="1"/>
  <c r="V11" i="10"/>
  <c r="S11" i="10"/>
  <c r="Q11" i="10"/>
  <c r="P11" i="10"/>
  <c r="O11" i="10"/>
  <c r="N11" i="10"/>
  <c r="DN10" i="10"/>
  <c r="DL10" i="10"/>
  <c r="DK10" i="10"/>
  <c r="DJ10" i="10"/>
  <c r="DI10" i="10"/>
  <c r="BN10" i="10"/>
  <c r="BM10" i="10"/>
  <c r="AV10" i="10"/>
  <c r="AU10" i="10"/>
  <c r="AM10" i="10"/>
  <c r="AL10" i="10"/>
  <c r="AK10" i="10"/>
  <c r="AJ10" i="10"/>
  <c r="AI10" i="10"/>
  <c r="AH10" i="10"/>
  <c r="AD10" i="10"/>
  <c r="AC10" i="10"/>
  <c r="AB10" i="10"/>
  <c r="Z10" i="10"/>
  <c r="AA10" i="10" s="1"/>
  <c r="V10" i="10"/>
  <c r="S10" i="10"/>
  <c r="Q10" i="10"/>
  <c r="P10" i="10"/>
  <c r="O10" i="10"/>
  <c r="N10" i="10"/>
  <c r="DN9" i="10"/>
  <c r="DL9" i="10"/>
  <c r="DK9" i="10"/>
  <c r="DJ9" i="10"/>
  <c r="DI9" i="10"/>
  <c r="CC9" i="10"/>
  <c r="BY9" i="10"/>
  <c r="BV9" i="10"/>
  <c r="BN9" i="10"/>
  <c r="BM9" i="10"/>
  <c r="AV9" i="10"/>
  <c r="AU9" i="10"/>
  <c r="AM9" i="10"/>
  <c r="AL9" i="10"/>
  <c r="AK9" i="10"/>
  <c r="AJ9" i="10"/>
  <c r="AI9" i="10"/>
  <c r="AH9" i="10"/>
  <c r="AD9" i="10"/>
  <c r="AC9" i="10"/>
  <c r="AB9" i="10"/>
  <c r="Z9" i="10"/>
  <c r="AA9" i="10" s="1"/>
  <c r="V9" i="10"/>
  <c r="S9" i="10"/>
  <c r="Q9" i="10"/>
  <c r="P9" i="10"/>
  <c r="O9" i="10"/>
  <c r="N9" i="10"/>
  <c r="DN8" i="10"/>
  <c r="DL8" i="10"/>
  <c r="DK8" i="10"/>
  <c r="DJ8" i="10"/>
  <c r="DI8" i="10"/>
  <c r="BN8" i="10"/>
  <c r="BM8" i="10"/>
  <c r="AV8" i="10"/>
  <c r="AU8" i="10"/>
  <c r="AM8" i="10"/>
  <c r="AL8" i="10"/>
  <c r="AK8" i="10"/>
  <c r="AJ8" i="10"/>
  <c r="AI8" i="10"/>
  <c r="AH8" i="10"/>
  <c r="AD8" i="10"/>
  <c r="AC8" i="10"/>
  <c r="AB8" i="10"/>
  <c r="Z8" i="10"/>
  <c r="AA8" i="10" s="1"/>
  <c r="V8" i="10"/>
  <c r="S8" i="10"/>
  <c r="Q8" i="10"/>
  <c r="P8" i="10"/>
  <c r="O8" i="10"/>
  <c r="N8" i="10"/>
  <c r="DN7" i="10"/>
  <c r="DL7" i="10"/>
  <c r="DK7" i="10"/>
  <c r="DJ7" i="10"/>
  <c r="DI7" i="10"/>
  <c r="CC7" i="10"/>
  <c r="BY7" i="10"/>
  <c r="BV7" i="10"/>
  <c r="BN7" i="10"/>
  <c r="BM7" i="10"/>
  <c r="AV7" i="10"/>
  <c r="AU7" i="10"/>
  <c r="AM7" i="10"/>
  <c r="AL7" i="10"/>
  <c r="AK7" i="10"/>
  <c r="AJ7" i="10"/>
  <c r="AI7" i="10"/>
  <c r="AH7" i="10"/>
  <c r="AD7" i="10"/>
  <c r="AC7" i="10"/>
  <c r="AB7" i="10"/>
  <c r="Z7" i="10"/>
  <c r="AA7" i="10" s="1"/>
  <c r="V7" i="10"/>
  <c r="S7" i="10"/>
  <c r="Q7" i="10"/>
  <c r="P7" i="10"/>
  <c r="O7" i="10"/>
  <c r="N7" i="10"/>
  <c r="DN6" i="10"/>
  <c r="DL6" i="10"/>
  <c r="DK6" i="10"/>
  <c r="DJ6" i="10"/>
  <c r="DI6" i="10"/>
  <c r="BN6" i="10"/>
  <c r="BM74" i="10" s="1"/>
  <c r="BM6" i="10"/>
  <c r="BM75" i="10" s="1"/>
  <c r="AD6" i="10"/>
  <c r="AC6" i="10"/>
  <c r="AB6" i="10"/>
  <c r="Z6" i="10"/>
  <c r="AA6" i="10" s="1"/>
  <c r="V6" i="10"/>
  <c r="S6" i="10"/>
  <c r="Q6" i="10"/>
  <c r="P6" i="10"/>
  <c r="O6" i="10"/>
  <c r="N6" i="10"/>
  <c r="CC5" i="10"/>
  <c r="BY5" i="10"/>
  <c r="BV5" i="10"/>
  <c r="BV23" i="10" s="1"/>
  <c r="N168" i="9"/>
  <c r="M168" i="9"/>
  <c r="F21" i="5" s="1"/>
  <c r="L168" i="9"/>
  <c r="F19" i="5" s="1"/>
  <c r="K168" i="9"/>
  <c r="BZ21" i="9" s="1"/>
  <c r="J168" i="9"/>
  <c r="BZ19" i="9" s="1"/>
  <c r="I168" i="9"/>
  <c r="BZ17" i="9" s="1"/>
  <c r="H168" i="9"/>
  <c r="N166" i="9"/>
  <c r="F13" i="5" s="1"/>
  <c r="M166" i="9"/>
  <c r="F11" i="5" s="1"/>
  <c r="L166" i="9"/>
  <c r="F9" i="5" s="1"/>
  <c r="K166" i="9"/>
  <c r="F7" i="5" s="1"/>
  <c r="J166" i="9"/>
  <c r="BZ9" i="9" s="1"/>
  <c r="I166" i="9"/>
  <c r="BZ7" i="9" s="1"/>
  <c r="H166" i="9"/>
  <c r="BZ5" i="9" s="1"/>
  <c r="S165" i="9"/>
  <c r="Q165" i="9"/>
  <c r="P165" i="9"/>
  <c r="O165" i="9"/>
  <c r="N165" i="9"/>
  <c r="S164" i="9"/>
  <c r="Q164" i="9"/>
  <c r="P164" i="9"/>
  <c r="O164" i="9"/>
  <c r="N164" i="9"/>
  <c r="S163" i="9"/>
  <c r="Q163" i="9"/>
  <c r="P163" i="9"/>
  <c r="O163" i="9"/>
  <c r="N163" i="9"/>
  <c r="S162" i="9"/>
  <c r="Q162" i="9"/>
  <c r="P162" i="9"/>
  <c r="O162" i="9"/>
  <c r="N162" i="9"/>
  <c r="S161" i="9"/>
  <c r="Q161" i="9"/>
  <c r="P161" i="9"/>
  <c r="O161" i="9"/>
  <c r="N161" i="9"/>
  <c r="S160" i="9"/>
  <c r="Q160" i="9"/>
  <c r="P160" i="9"/>
  <c r="O160" i="9"/>
  <c r="N160" i="9"/>
  <c r="S159" i="9"/>
  <c r="Q159" i="9"/>
  <c r="P159" i="9"/>
  <c r="O159" i="9"/>
  <c r="N159" i="9"/>
  <c r="S158" i="9"/>
  <c r="Q158" i="9"/>
  <c r="P158" i="9"/>
  <c r="O158" i="9"/>
  <c r="N158" i="9"/>
  <c r="S157" i="9"/>
  <c r="Q157" i="9"/>
  <c r="P157" i="9"/>
  <c r="O157" i="9"/>
  <c r="N157" i="9"/>
  <c r="S156" i="9"/>
  <c r="Q156" i="9"/>
  <c r="P156" i="9"/>
  <c r="O156" i="9"/>
  <c r="N156" i="9"/>
  <c r="S155" i="9"/>
  <c r="Q155" i="9"/>
  <c r="P155" i="9"/>
  <c r="O155" i="9"/>
  <c r="N155" i="9"/>
  <c r="S154" i="9"/>
  <c r="Q154" i="9"/>
  <c r="P154" i="9"/>
  <c r="O154" i="9"/>
  <c r="N154" i="9"/>
  <c r="S153" i="9"/>
  <c r="Q153" i="9"/>
  <c r="P153" i="9"/>
  <c r="O153" i="9"/>
  <c r="N153" i="9"/>
  <c r="S152" i="9"/>
  <c r="Q152" i="9"/>
  <c r="P152" i="9"/>
  <c r="O152" i="9"/>
  <c r="N152" i="9"/>
  <c r="S151" i="9"/>
  <c r="Q151" i="9"/>
  <c r="P151" i="9"/>
  <c r="O151" i="9"/>
  <c r="N151" i="9"/>
  <c r="S150" i="9"/>
  <c r="Q150" i="9"/>
  <c r="P150" i="9"/>
  <c r="O150" i="9"/>
  <c r="N150" i="9"/>
  <c r="S149" i="9"/>
  <c r="Q149" i="9"/>
  <c r="P149" i="9"/>
  <c r="O149" i="9"/>
  <c r="N149" i="9"/>
  <c r="S148" i="9"/>
  <c r="Q148" i="9"/>
  <c r="P148" i="9"/>
  <c r="O148" i="9"/>
  <c r="N148" i="9"/>
  <c r="S147" i="9"/>
  <c r="Q147" i="9"/>
  <c r="P147" i="9"/>
  <c r="O147" i="9"/>
  <c r="N147" i="9"/>
  <c r="DN146" i="9"/>
  <c r="S146" i="9"/>
  <c r="Q146" i="9"/>
  <c r="P146" i="9"/>
  <c r="O146" i="9"/>
  <c r="N146" i="9"/>
  <c r="DN145" i="9"/>
  <c r="Y145" i="9"/>
  <c r="S145" i="9"/>
  <c r="Q145" i="9"/>
  <c r="P145" i="9"/>
  <c r="O145" i="9"/>
  <c r="N145" i="9"/>
  <c r="DN144" i="9"/>
  <c r="AD144" i="9"/>
  <c r="AC144" i="9"/>
  <c r="AB144" i="9"/>
  <c r="Z144" i="9"/>
  <c r="AA144" i="9" s="1"/>
  <c r="V144" i="9"/>
  <c r="S144" i="9"/>
  <c r="Q144" i="9"/>
  <c r="P144" i="9"/>
  <c r="O144" i="9"/>
  <c r="N144" i="9"/>
  <c r="DN143" i="9"/>
  <c r="AD143" i="9"/>
  <c r="AC143" i="9"/>
  <c r="AB143" i="9"/>
  <c r="Z143" i="9"/>
  <c r="AA143" i="9" s="1"/>
  <c r="V143" i="9"/>
  <c r="S143" i="9"/>
  <c r="Q143" i="9"/>
  <c r="P143" i="9"/>
  <c r="O143" i="9"/>
  <c r="N143" i="9"/>
  <c r="DN142" i="9"/>
  <c r="AD142" i="9"/>
  <c r="AC142" i="9"/>
  <c r="AB142" i="9"/>
  <c r="Z142" i="9"/>
  <c r="AA142" i="9" s="1"/>
  <c r="V142" i="9"/>
  <c r="S142" i="9"/>
  <c r="Q142" i="9"/>
  <c r="P142" i="9"/>
  <c r="O142" i="9"/>
  <c r="N142" i="9"/>
  <c r="DN141" i="9"/>
  <c r="AD141" i="9"/>
  <c r="AC141" i="9"/>
  <c r="AB141" i="9"/>
  <c r="Z141" i="9"/>
  <c r="AA141" i="9" s="1"/>
  <c r="V141" i="9"/>
  <c r="S141" i="9"/>
  <c r="Q141" i="9"/>
  <c r="P141" i="9"/>
  <c r="O141" i="9"/>
  <c r="N141" i="9"/>
  <c r="DN140" i="9"/>
  <c r="AD140" i="9"/>
  <c r="AC140" i="9"/>
  <c r="AB140" i="9"/>
  <c r="Z140" i="9"/>
  <c r="AA140" i="9" s="1"/>
  <c r="V140" i="9"/>
  <c r="S140" i="9"/>
  <c r="Q140" i="9"/>
  <c r="P140" i="9"/>
  <c r="O140" i="9"/>
  <c r="N140" i="9"/>
  <c r="DN139" i="9"/>
  <c r="AD139" i="9"/>
  <c r="AC139" i="9"/>
  <c r="AB139" i="9"/>
  <c r="Z139" i="9"/>
  <c r="AA139" i="9" s="1"/>
  <c r="V139" i="9"/>
  <c r="S139" i="9"/>
  <c r="Q139" i="9"/>
  <c r="P139" i="9"/>
  <c r="O139" i="9"/>
  <c r="N139" i="9"/>
  <c r="DN138" i="9"/>
  <c r="AD138" i="9"/>
  <c r="AC138" i="9"/>
  <c r="AB138" i="9"/>
  <c r="Z138" i="9"/>
  <c r="AA138" i="9" s="1"/>
  <c r="V138" i="9"/>
  <c r="S138" i="9"/>
  <c r="Q138" i="9"/>
  <c r="P138" i="9"/>
  <c r="O138" i="9"/>
  <c r="N138" i="9"/>
  <c r="AD137" i="9"/>
  <c r="AC137" i="9"/>
  <c r="AB137" i="9"/>
  <c r="Z137" i="9"/>
  <c r="AA137" i="9" s="1"/>
  <c r="V137" i="9"/>
  <c r="S137" i="9"/>
  <c r="Q137" i="9"/>
  <c r="P137" i="9"/>
  <c r="O137" i="9"/>
  <c r="N137" i="9"/>
  <c r="AD136" i="9"/>
  <c r="AC136" i="9"/>
  <c r="AB136" i="9"/>
  <c r="Z136" i="9"/>
  <c r="AA136" i="9" s="1"/>
  <c r="V136" i="9"/>
  <c r="S136" i="9"/>
  <c r="Q136" i="9"/>
  <c r="P136" i="9"/>
  <c r="O136" i="9"/>
  <c r="N136" i="9"/>
  <c r="AD135" i="9"/>
  <c r="AC135" i="9"/>
  <c r="AB135" i="9"/>
  <c r="Z135" i="9"/>
  <c r="AA135" i="9" s="1"/>
  <c r="V135" i="9"/>
  <c r="S135" i="9"/>
  <c r="Q135" i="9"/>
  <c r="P135" i="9"/>
  <c r="O135" i="9"/>
  <c r="N135" i="9"/>
  <c r="AD134" i="9"/>
  <c r="AC134" i="9"/>
  <c r="AB134" i="9"/>
  <c r="Z134" i="9"/>
  <c r="AA134" i="9" s="1"/>
  <c r="V134" i="9"/>
  <c r="S134" i="9"/>
  <c r="Q134" i="9"/>
  <c r="P134" i="9"/>
  <c r="O134" i="9"/>
  <c r="N134" i="9"/>
  <c r="DN133" i="9"/>
  <c r="AD133" i="9"/>
  <c r="AC133" i="9"/>
  <c r="AB133" i="9"/>
  <c r="Z133" i="9"/>
  <c r="AA133" i="9" s="1"/>
  <c r="V133" i="9"/>
  <c r="S133" i="9"/>
  <c r="Q133" i="9"/>
  <c r="P133" i="9"/>
  <c r="O133" i="9"/>
  <c r="N133" i="9"/>
  <c r="DN132" i="9"/>
  <c r="AD132" i="9"/>
  <c r="AC132" i="9"/>
  <c r="AB132" i="9"/>
  <c r="Z132" i="9"/>
  <c r="AA132" i="9" s="1"/>
  <c r="V132" i="9"/>
  <c r="S132" i="9"/>
  <c r="Q132" i="9"/>
  <c r="P132" i="9"/>
  <c r="O132" i="9"/>
  <c r="N132" i="9"/>
  <c r="DN131" i="9"/>
  <c r="AD131" i="9"/>
  <c r="AC131" i="9"/>
  <c r="AB131" i="9"/>
  <c r="Z131" i="9"/>
  <c r="AA131" i="9" s="1"/>
  <c r="V131" i="9"/>
  <c r="S131" i="9"/>
  <c r="Q131" i="9"/>
  <c r="P131" i="9"/>
  <c r="O131" i="9"/>
  <c r="N131" i="9"/>
  <c r="DN130" i="9"/>
  <c r="AD130" i="9"/>
  <c r="AC130" i="9"/>
  <c r="AB130" i="9"/>
  <c r="Z130" i="9"/>
  <c r="AA130" i="9" s="1"/>
  <c r="V130" i="9"/>
  <c r="S130" i="9"/>
  <c r="Q130" i="9"/>
  <c r="P130" i="9"/>
  <c r="O130" i="9"/>
  <c r="N130" i="9"/>
  <c r="DN129" i="9"/>
  <c r="AD129" i="9"/>
  <c r="AC129" i="9"/>
  <c r="AB129" i="9"/>
  <c r="Z129" i="9"/>
  <c r="AA129" i="9" s="1"/>
  <c r="V129" i="9"/>
  <c r="S129" i="9"/>
  <c r="Q129" i="9"/>
  <c r="P129" i="9"/>
  <c r="O129" i="9"/>
  <c r="N129" i="9"/>
  <c r="DN128" i="9"/>
  <c r="AD128" i="9"/>
  <c r="AC128" i="9"/>
  <c r="AB128" i="9"/>
  <c r="Z128" i="9"/>
  <c r="AA128" i="9" s="1"/>
  <c r="V128" i="9"/>
  <c r="S128" i="9"/>
  <c r="Q128" i="9"/>
  <c r="P128" i="9"/>
  <c r="O128" i="9"/>
  <c r="N128" i="9"/>
  <c r="DN127" i="9"/>
  <c r="AD127" i="9"/>
  <c r="AC127" i="9"/>
  <c r="AB127" i="9"/>
  <c r="Z127" i="9"/>
  <c r="AA127" i="9" s="1"/>
  <c r="V127" i="9"/>
  <c r="S127" i="9"/>
  <c r="Q127" i="9"/>
  <c r="P127" i="9"/>
  <c r="O127" i="9"/>
  <c r="N127" i="9"/>
  <c r="DN126" i="9"/>
  <c r="AD126" i="9"/>
  <c r="AC126" i="9"/>
  <c r="AB126" i="9"/>
  <c r="Z126" i="9"/>
  <c r="AA126" i="9" s="1"/>
  <c r="V126" i="9"/>
  <c r="S126" i="9"/>
  <c r="Q126" i="9"/>
  <c r="P126" i="9"/>
  <c r="O126" i="9"/>
  <c r="N126" i="9"/>
  <c r="DN125" i="9"/>
  <c r="AD125" i="9"/>
  <c r="AC125" i="9"/>
  <c r="AB125" i="9"/>
  <c r="Z125" i="9"/>
  <c r="AA125" i="9" s="1"/>
  <c r="V125" i="9"/>
  <c r="S125" i="9"/>
  <c r="Q125" i="9"/>
  <c r="P125" i="9"/>
  <c r="O125" i="9"/>
  <c r="N125" i="9"/>
  <c r="DN124" i="9"/>
  <c r="AD124" i="9"/>
  <c r="AC124" i="9"/>
  <c r="AB124" i="9"/>
  <c r="Z124" i="9"/>
  <c r="AA124" i="9" s="1"/>
  <c r="V124" i="9"/>
  <c r="S124" i="9"/>
  <c r="Q124" i="9"/>
  <c r="P124" i="9"/>
  <c r="O124" i="9"/>
  <c r="N124" i="9"/>
  <c r="DN123" i="9"/>
  <c r="AD123" i="9"/>
  <c r="AC123" i="9"/>
  <c r="AB123" i="9"/>
  <c r="Z123" i="9"/>
  <c r="AA123" i="9" s="1"/>
  <c r="V123" i="9"/>
  <c r="S123" i="9"/>
  <c r="Q123" i="9"/>
  <c r="P123" i="9"/>
  <c r="O123" i="9"/>
  <c r="N123" i="9"/>
  <c r="DN122" i="9"/>
  <c r="AD122" i="9"/>
  <c r="AC122" i="9"/>
  <c r="AB122" i="9"/>
  <c r="Z122" i="9"/>
  <c r="AA122" i="9" s="1"/>
  <c r="V122" i="9"/>
  <c r="S122" i="9"/>
  <c r="Q122" i="9"/>
  <c r="P122" i="9"/>
  <c r="O122" i="9"/>
  <c r="N122" i="9"/>
  <c r="DN121" i="9"/>
  <c r="AD121" i="9"/>
  <c r="AC121" i="9"/>
  <c r="AB121" i="9"/>
  <c r="Z121" i="9"/>
  <c r="AA121" i="9" s="1"/>
  <c r="V121" i="9"/>
  <c r="S121" i="9"/>
  <c r="Q121" i="9"/>
  <c r="P121" i="9"/>
  <c r="O121" i="9"/>
  <c r="N121" i="9"/>
  <c r="DN120" i="9"/>
  <c r="AD120" i="9"/>
  <c r="AC120" i="9"/>
  <c r="AB120" i="9"/>
  <c r="Z120" i="9"/>
  <c r="AA120" i="9" s="1"/>
  <c r="V120" i="9"/>
  <c r="S120" i="9"/>
  <c r="Q120" i="9"/>
  <c r="P120" i="9"/>
  <c r="O120" i="9"/>
  <c r="N120" i="9"/>
  <c r="DN119" i="9"/>
  <c r="AD119" i="9"/>
  <c r="AC119" i="9"/>
  <c r="AB119" i="9"/>
  <c r="Z119" i="9"/>
  <c r="AA119" i="9" s="1"/>
  <c r="V119" i="9"/>
  <c r="S119" i="9"/>
  <c r="Q119" i="9"/>
  <c r="P119" i="9"/>
  <c r="O119" i="9"/>
  <c r="N119" i="9"/>
  <c r="DN118" i="9"/>
  <c r="AD118" i="9"/>
  <c r="AC118" i="9"/>
  <c r="AB118" i="9"/>
  <c r="Z118" i="9"/>
  <c r="AA118" i="9" s="1"/>
  <c r="V118" i="9"/>
  <c r="S118" i="9"/>
  <c r="Q118" i="9"/>
  <c r="P118" i="9"/>
  <c r="O118" i="9"/>
  <c r="N118" i="9"/>
  <c r="DN117" i="9"/>
  <c r="AD117" i="9"/>
  <c r="AC117" i="9"/>
  <c r="AB117" i="9"/>
  <c r="Z117" i="9"/>
  <c r="AA117" i="9" s="1"/>
  <c r="V117" i="9"/>
  <c r="S117" i="9"/>
  <c r="Q117" i="9"/>
  <c r="P117" i="9"/>
  <c r="O117" i="9"/>
  <c r="N117" i="9"/>
  <c r="DN116" i="9"/>
  <c r="AD116" i="9"/>
  <c r="AC116" i="9"/>
  <c r="AB116" i="9"/>
  <c r="Z116" i="9"/>
  <c r="AA116" i="9" s="1"/>
  <c r="V116" i="9"/>
  <c r="S116" i="9"/>
  <c r="Q116" i="9"/>
  <c r="P116" i="9"/>
  <c r="O116" i="9"/>
  <c r="N116" i="9"/>
  <c r="DN115" i="9"/>
  <c r="AD115" i="9"/>
  <c r="AC115" i="9"/>
  <c r="AB115" i="9"/>
  <c r="Z115" i="9"/>
  <c r="AA115" i="9" s="1"/>
  <c r="V115" i="9"/>
  <c r="S115" i="9"/>
  <c r="Q115" i="9"/>
  <c r="P115" i="9"/>
  <c r="O115" i="9"/>
  <c r="N115" i="9"/>
  <c r="DN114" i="9"/>
  <c r="AD114" i="9"/>
  <c r="AC114" i="9"/>
  <c r="AB114" i="9"/>
  <c r="Z114" i="9"/>
  <c r="AA114" i="9" s="1"/>
  <c r="V114" i="9"/>
  <c r="S114" i="9"/>
  <c r="Q114" i="9"/>
  <c r="P114" i="9"/>
  <c r="O114" i="9"/>
  <c r="N114" i="9"/>
  <c r="DN113" i="9"/>
  <c r="AD113" i="9"/>
  <c r="AC113" i="9"/>
  <c r="AB113" i="9"/>
  <c r="Z113" i="9"/>
  <c r="AA113" i="9" s="1"/>
  <c r="V113" i="9"/>
  <c r="S113" i="9"/>
  <c r="Q113" i="9"/>
  <c r="P113" i="9"/>
  <c r="O113" i="9"/>
  <c r="N113" i="9"/>
  <c r="DN112" i="9"/>
  <c r="AD112" i="9"/>
  <c r="AC112" i="9"/>
  <c r="AB112" i="9"/>
  <c r="Z112" i="9"/>
  <c r="AA112" i="9" s="1"/>
  <c r="V112" i="9"/>
  <c r="S112" i="9"/>
  <c r="Q112" i="9"/>
  <c r="P112" i="9"/>
  <c r="O112" i="9"/>
  <c r="N112" i="9"/>
  <c r="DN111" i="9"/>
  <c r="AD111" i="9"/>
  <c r="AC111" i="9"/>
  <c r="AB111" i="9"/>
  <c r="Z111" i="9"/>
  <c r="AA111" i="9" s="1"/>
  <c r="V111" i="9"/>
  <c r="S111" i="9"/>
  <c r="Q111" i="9"/>
  <c r="P111" i="9"/>
  <c r="O111" i="9"/>
  <c r="N111" i="9"/>
  <c r="DN110" i="9"/>
  <c r="AD110" i="9"/>
  <c r="AC110" i="9"/>
  <c r="AB110" i="9"/>
  <c r="Z110" i="9"/>
  <c r="AA110" i="9" s="1"/>
  <c r="V110" i="9"/>
  <c r="S110" i="9"/>
  <c r="Q110" i="9"/>
  <c r="P110" i="9"/>
  <c r="O110" i="9"/>
  <c r="N110" i="9"/>
  <c r="DN109" i="9"/>
  <c r="AD109" i="9"/>
  <c r="AC109" i="9"/>
  <c r="AB109" i="9"/>
  <c r="Z109" i="9"/>
  <c r="AA109" i="9" s="1"/>
  <c r="V109" i="9"/>
  <c r="S109" i="9"/>
  <c r="Q109" i="9"/>
  <c r="P109" i="9"/>
  <c r="O109" i="9"/>
  <c r="N109" i="9"/>
  <c r="DN108" i="9"/>
  <c r="AD108" i="9"/>
  <c r="AC108" i="9"/>
  <c r="AB108" i="9"/>
  <c r="Z108" i="9"/>
  <c r="AA108" i="9" s="1"/>
  <c r="V108" i="9"/>
  <c r="S108" i="9"/>
  <c r="Q108" i="9"/>
  <c r="P108" i="9"/>
  <c r="O108" i="9"/>
  <c r="N108" i="9"/>
  <c r="DN107" i="9"/>
  <c r="AD107" i="9"/>
  <c r="AC107" i="9"/>
  <c r="AB107" i="9"/>
  <c r="Z107" i="9"/>
  <c r="AA107" i="9" s="1"/>
  <c r="V107" i="9"/>
  <c r="S107" i="9"/>
  <c r="Q107" i="9"/>
  <c r="P107" i="9"/>
  <c r="O107" i="9"/>
  <c r="N107" i="9"/>
  <c r="DN106" i="9"/>
  <c r="AD106" i="9"/>
  <c r="AC106" i="9"/>
  <c r="AB106" i="9"/>
  <c r="Z106" i="9"/>
  <c r="AA106" i="9" s="1"/>
  <c r="V106" i="9"/>
  <c r="S106" i="9"/>
  <c r="Q106" i="9"/>
  <c r="P106" i="9"/>
  <c r="O106" i="9"/>
  <c r="N106" i="9"/>
  <c r="DN105" i="9"/>
  <c r="AD105" i="9"/>
  <c r="AC105" i="9"/>
  <c r="AB105" i="9"/>
  <c r="Z105" i="9"/>
  <c r="AA105" i="9" s="1"/>
  <c r="V105" i="9"/>
  <c r="S105" i="9"/>
  <c r="Q105" i="9"/>
  <c r="P105" i="9"/>
  <c r="O105" i="9"/>
  <c r="N105" i="9"/>
  <c r="DN104" i="9"/>
  <c r="AD104" i="9"/>
  <c r="AC104" i="9"/>
  <c r="AB104" i="9"/>
  <c r="Z104" i="9"/>
  <c r="AA104" i="9" s="1"/>
  <c r="V104" i="9"/>
  <c r="S104" i="9"/>
  <c r="Q104" i="9"/>
  <c r="P104" i="9"/>
  <c r="O104" i="9"/>
  <c r="N104" i="9"/>
  <c r="DN103" i="9"/>
  <c r="AD103" i="9"/>
  <c r="AC103" i="9"/>
  <c r="AB103" i="9"/>
  <c r="Z103" i="9"/>
  <c r="AA103" i="9" s="1"/>
  <c r="V103" i="9"/>
  <c r="S103" i="9"/>
  <c r="Q103" i="9"/>
  <c r="P103" i="9"/>
  <c r="O103" i="9"/>
  <c r="N103" i="9"/>
  <c r="DN102" i="9"/>
  <c r="AD102" i="9"/>
  <c r="AC102" i="9"/>
  <c r="AB102" i="9"/>
  <c r="Z102" i="9"/>
  <c r="AA102" i="9" s="1"/>
  <c r="V102" i="9"/>
  <c r="S102" i="9"/>
  <c r="Q102" i="9"/>
  <c r="P102" i="9"/>
  <c r="O102" i="9"/>
  <c r="N102" i="9"/>
  <c r="DN101" i="9"/>
  <c r="AD101" i="9"/>
  <c r="AC101" i="9"/>
  <c r="AB101" i="9"/>
  <c r="Z101" i="9"/>
  <c r="AA101" i="9" s="1"/>
  <c r="V101" i="9"/>
  <c r="S101" i="9"/>
  <c r="Q101" i="9"/>
  <c r="P101" i="9"/>
  <c r="O101" i="9"/>
  <c r="N101" i="9"/>
  <c r="DN100" i="9"/>
  <c r="AD100" i="9"/>
  <c r="AC100" i="9"/>
  <c r="AB100" i="9"/>
  <c r="Z100" i="9"/>
  <c r="AA100" i="9" s="1"/>
  <c r="V100" i="9"/>
  <c r="S100" i="9"/>
  <c r="Q100" i="9"/>
  <c r="P100" i="9"/>
  <c r="O100" i="9"/>
  <c r="N100" i="9"/>
  <c r="DN99" i="9"/>
  <c r="AD99" i="9"/>
  <c r="AC99" i="9"/>
  <c r="AB99" i="9"/>
  <c r="Z99" i="9"/>
  <c r="AA99" i="9" s="1"/>
  <c r="V99" i="9"/>
  <c r="S99" i="9"/>
  <c r="Q99" i="9"/>
  <c r="P99" i="9"/>
  <c r="O99" i="9"/>
  <c r="N99" i="9"/>
  <c r="DN98" i="9"/>
  <c r="AD98" i="9"/>
  <c r="AC98" i="9"/>
  <c r="AB98" i="9"/>
  <c r="Z98" i="9"/>
  <c r="AA98" i="9" s="1"/>
  <c r="V98" i="9"/>
  <c r="S98" i="9"/>
  <c r="Q98" i="9"/>
  <c r="P98" i="9"/>
  <c r="O98" i="9"/>
  <c r="N98" i="9"/>
  <c r="DN97" i="9"/>
  <c r="AD97" i="9"/>
  <c r="AC97" i="9"/>
  <c r="AB97" i="9"/>
  <c r="Z97" i="9"/>
  <c r="AA97" i="9" s="1"/>
  <c r="V97" i="9"/>
  <c r="S97" i="9"/>
  <c r="Q97" i="9"/>
  <c r="P97" i="9"/>
  <c r="O97" i="9"/>
  <c r="N97" i="9"/>
  <c r="DN96" i="9"/>
  <c r="AD96" i="9"/>
  <c r="AC96" i="9"/>
  <c r="AB96" i="9"/>
  <c r="Z96" i="9"/>
  <c r="AA96" i="9" s="1"/>
  <c r="V96" i="9"/>
  <c r="S96" i="9"/>
  <c r="Q96" i="9"/>
  <c r="P96" i="9"/>
  <c r="O96" i="9"/>
  <c r="N96" i="9"/>
  <c r="DN95" i="9"/>
  <c r="AD95" i="9"/>
  <c r="AC95" i="9"/>
  <c r="AB95" i="9"/>
  <c r="Z95" i="9"/>
  <c r="AA95" i="9" s="1"/>
  <c r="V95" i="9"/>
  <c r="S95" i="9"/>
  <c r="Q95" i="9"/>
  <c r="P95" i="9"/>
  <c r="O95" i="9"/>
  <c r="N95" i="9"/>
  <c r="DN94" i="9"/>
  <c r="AD94" i="9"/>
  <c r="AC94" i="9"/>
  <c r="AB94" i="9"/>
  <c r="Z94" i="9"/>
  <c r="AA94" i="9" s="1"/>
  <c r="V94" i="9"/>
  <c r="S94" i="9"/>
  <c r="Q94" i="9"/>
  <c r="P94" i="9"/>
  <c r="O94" i="9"/>
  <c r="N94" i="9"/>
  <c r="DN93" i="9"/>
  <c r="AD93" i="9"/>
  <c r="AC93" i="9"/>
  <c r="AB93" i="9"/>
  <c r="Z93" i="9"/>
  <c r="AA93" i="9" s="1"/>
  <c r="V93" i="9"/>
  <c r="S93" i="9"/>
  <c r="Q93" i="9"/>
  <c r="P93" i="9"/>
  <c r="O93" i="9"/>
  <c r="N93" i="9"/>
  <c r="DN92" i="9"/>
  <c r="AD92" i="9"/>
  <c r="AC92" i="9"/>
  <c r="AB92" i="9"/>
  <c r="Z92" i="9"/>
  <c r="AA92" i="9" s="1"/>
  <c r="V92" i="9"/>
  <c r="S92" i="9"/>
  <c r="Q92" i="9"/>
  <c r="P92" i="9"/>
  <c r="O92" i="9"/>
  <c r="N92" i="9"/>
  <c r="DN91" i="9"/>
  <c r="AD91" i="9"/>
  <c r="AC91" i="9"/>
  <c r="AB91" i="9"/>
  <c r="Z91" i="9"/>
  <c r="AA91" i="9" s="1"/>
  <c r="V91" i="9"/>
  <c r="S91" i="9"/>
  <c r="Q91" i="9"/>
  <c r="P91" i="9"/>
  <c r="O91" i="9"/>
  <c r="N91" i="9"/>
  <c r="DN90" i="9"/>
  <c r="AD90" i="9"/>
  <c r="AC90" i="9"/>
  <c r="AB90" i="9"/>
  <c r="Z90" i="9"/>
  <c r="AA90" i="9" s="1"/>
  <c r="V90" i="9"/>
  <c r="S90" i="9"/>
  <c r="Q90" i="9"/>
  <c r="P90" i="9"/>
  <c r="O90" i="9"/>
  <c r="N90" i="9"/>
  <c r="DN89" i="9"/>
  <c r="AD89" i="9"/>
  <c r="AC89" i="9"/>
  <c r="AB89" i="9"/>
  <c r="Z89" i="9"/>
  <c r="AA89" i="9" s="1"/>
  <c r="V89" i="9"/>
  <c r="S89" i="9"/>
  <c r="Q89" i="9"/>
  <c r="P89" i="9"/>
  <c r="O89" i="9"/>
  <c r="N89" i="9"/>
  <c r="DN88" i="9"/>
  <c r="AD88" i="9"/>
  <c r="AC88" i="9"/>
  <c r="AB88" i="9"/>
  <c r="Z88" i="9"/>
  <c r="AA88" i="9" s="1"/>
  <c r="V88" i="9"/>
  <c r="S88" i="9"/>
  <c r="Q88" i="9"/>
  <c r="P88" i="9"/>
  <c r="O88" i="9"/>
  <c r="N88" i="9"/>
  <c r="DN87" i="9"/>
  <c r="AD87" i="9"/>
  <c r="AC87" i="9"/>
  <c r="AB87" i="9"/>
  <c r="Z87" i="9"/>
  <c r="AA87" i="9" s="1"/>
  <c r="V87" i="9"/>
  <c r="S87" i="9"/>
  <c r="Q87" i="9"/>
  <c r="P87" i="9"/>
  <c r="O87" i="9"/>
  <c r="N87" i="9"/>
  <c r="DN86" i="9"/>
  <c r="AD86" i="9"/>
  <c r="AC86" i="9"/>
  <c r="AB86" i="9"/>
  <c r="Z86" i="9"/>
  <c r="AA86" i="9" s="1"/>
  <c r="V86" i="9"/>
  <c r="S86" i="9"/>
  <c r="Q86" i="9"/>
  <c r="P86" i="9"/>
  <c r="O86" i="9"/>
  <c r="N86" i="9"/>
  <c r="DN85" i="9"/>
  <c r="AD85" i="9"/>
  <c r="AC85" i="9"/>
  <c r="AB85" i="9"/>
  <c r="Z85" i="9"/>
  <c r="AA85" i="9" s="1"/>
  <c r="V85" i="9"/>
  <c r="S85" i="9"/>
  <c r="Q85" i="9"/>
  <c r="P85" i="9"/>
  <c r="O85" i="9"/>
  <c r="N85" i="9"/>
  <c r="DN84" i="9"/>
  <c r="AD84" i="9"/>
  <c r="AC84" i="9"/>
  <c r="AB84" i="9"/>
  <c r="Z84" i="9"/>
  <c r="AA84" i="9" s="1"/>
  <c r="V84" i="9"/>
  <c r="S84" i="9"/>
  <c r="Q84" i="9"/>
  <c r="P84" i="9"/>
  <c r="O84" i="9"/>
  <c r="N84" i="9"/>
  <c r="DN83" i="9"/>
  <c r="AD83" i="9"/>
  <c r="AC83" i="9"/>
  <c r="AB83" i="9"/>
  <c r="Z83" i="9"/>
  <c r="AA83" i="9" s="1"/>
  <c r="V83" i="9"/>
  <c r="S83" i="9"/>
  <c r="Q83" i="9"/>
  <c r="P83" i="9"/>
  <c r="O83" i="9"/>
  <c r="N83" i="9"/>
  <c r="DN82" i="9"/>
  <c r="AD82" i="9"/>
  <c r="AC82" i="9"/>
  <c r="AB82" i="9"/>
  <c r="Z82" i="9"/>
  <c r="AA82" i="9" s="1"/>
  <c r="V82" i="9"/>
  <c r="S82" i="9"/>
  <c r="Q82" i="9"/>
  <c r="P82" i="9"/>
  <c r="O82" i="9"/>
  <c r="N82" i="9"/>
  <c r="DN81" i="9"/>
  <c r="AD81" i="9"/>
  <c r="AC81" i="9"/>
  <c r="AB81" i="9"/>
  <c r="Z81" i="9"/>
  <c r="AA81" i="9" s="1"/>
  <c r="V81" i="9"/>
  <c r="S81" i="9"/>
  <c r="Q81" i="9"/>
  <c r="P81" i="9"/>
  <c r="O81" i="9"/>
  <c r="N81" i="9"/>
  <c r="DN80" i="9"/>
  <c r="AD80" i="9"/>
  <c r="AC80" i="9"/>
  <c r="AB80" i="9"/>
  <c r="Z80" i="9"/>
  <c r="AA80" i="9" s="1"/>
  <c r="V80" i="9"/>
  <c r="S80" i="9"/>
  <c r="Q80" i="9"/>
  <c r="P80" i="9"/>
  <c r="O80" i="9"/>
  <c r="N80" i="9"/>
  <c r="DN79" i="9"/>
  <c r="AD79" i="9"/>
  <c r="AC79" i="9"/>
  <c r="AB79" i="9"/>
  <c r="Z79" i="9"/>
  <c r="AA79" i="9" s="1"/>
  <c r="V79" i="9"/>
  <c r="S79" i="9"/>
  <c r="Q79" i="9"/>
  <c r="P79" i="9"/>
  <c r="O79" i="9"/>
  <c r="N79" i="9"/>
  <c r="DN78" i="9"/>
  <c r="AD78" i="9"/>
  <c r="AC78" i="9"/>
  <c r="AB78" i="9"/>
  <c r="Z78" i="9"/>
  <c r="AA78" i="9" s="1"/>
  <c r="V78" i="9"/>
  <c r="S78" i="9"/>
  <c r="Q78" i="9"/>
  <c r="P78" i="9"/>
  <c r="O78" i="9"/>
  <c r="N78" i="9"/>
  <c r="DN77" i="9"/>
  <c r="AD77" i="9"/>
  <c r="AC77" i="9"/>
  <c r="AB77" i="9"/>
  <c r="Z77" i="9"/>
  <c r="AA77" i="9" s="1"/>
  <c r="V77" i="9"/>
  <c r="S77" i="9"/>
  <c r="Q77" i="9"/>
  <c r="P77" i="9"/>
  <c r="O77" i="9"/>
  <c r="N77" i="9"/>
  <c r="DN76" i="9"/>
  <c r="AD76" i="9"/>
  <c r="AC76" i="9"/>
  <c r="AB76" i="9"/>
  <c r="Z76" i="9"/>
  <c r="AA76" i="9" s="1"/>
  <c r="V76" i="9"/>
  <c r="S76" i="9"/>
  <c r="Q76" i="9"/>
  <c r="P76" i="9"/>
  <c r="O76" i="9"/>
  <c r="N76" i="9"/>
  <c r="DN75" i="9"/>
  <c r="AD75" i="9"/>
  <c r="AC75" i="9"/>
  <c r="AB75" i="9"/>
  <c r="Z75" i="9"/>
  <c r="AA75" i="9" s="1"/>
  <c r="V75" i="9"/>
  <c r="S75" i="9"/>
  <c r="Q75" i="9"/>
  <c r="P75" i="9"/>
  <c r="O75" i="9"/>
  <c r="N75" i="9"/>
  <c r="AD74" i="9"/>
  <c r="AC74" i="9"/>
  <c r="AB74" i="9"/>
  <c r="Z74" i="9"/>
  <c r="AA74" i="9" s="1"/>
  <c r="V74" i="9"/>
  <c r="S74" i="9"/>
  <c r="Q74" i="9"/>
  <c r="P74" i="9"/>
  <c r="O74" i="9"/>
  <c r="N74" i="9"/>
  <c r="BL73" i="9"/>
  <c r="AD73" i="9"/>
  <c r="AC73" i="9"/>
  <c r="AB73" i="9"/>
  <c r="Z73" i="9"/>
  <c r="AA73" i="9" s="1"/>
  <c r="V73" i="9"/>
  <c r="S73" i="9"/>
  <c r="Q73" i="9"/>
  <c r="P73" i="9"/>
  <c r="O73" i="9"/>
  <c r="N73" i="9"/>
  <c r="BK72" i="9"/>
  <c r="BY19" i="9" s="1"/>
  <c r="CC19" i="9" s="1"/>
  <c r="AD72" i="9"/>
  <c r="AC72" i="9"/>
  <c r="AB72" i="9"/>
  <c r="Z72" i="9"/>
  <c r="AA72" i="9" s="1"/>
  <c r="V72" i="9"/>
  <c r="S72" i="9"/>
  <c r="Q72" i="9"/>
  <c r="P72" i="9"/>
  <c r="O72" i="9"/>
  <c r="N72" i="9"/>
  <c r="BJ71" i="9"/>
  <c r="AD71" i="9"/>
  <c r="AC71" i="9"/>
  <c r="AB71" i="9"/>
  <c r="Z71" i="9"/>
  <c r="AA71" i="9" s="1"/>
  <c r="V71" i="9"/>
  <c r="S71" i="9"/>
  <c r="Q71" i="9"/>
  <c r="P71" i="9"/>
  <c r="O71" i="9"/>
  <c r="N71" i="9"/>
  <c r="DN70" i="9"/>
  <c r="BI70" i="9"/>
  <c r="BY15" i="9" s="1"/>
  <c r="CC15" i="9" s="1"/>
  <c r="AT70" i="9"/>
  <c r="AS70" i="9"/>
  <c r="AR70" i="9"/>
  <c r="AQ70" i="9"/>
  <c r="AP70" i="9"/>
  <c r="AO70" i="9"/>
  <c r="AD70" i="9"/>
  <c r="AC70" i="9"/>
  <c r="AB70" i="9"/>
  <c r="Z70" i="9"/>
  <c r="AA70" i="9" s="1"/>
  <c r="V70" i="9"/>
  <c r="S70" i="9"/>
  <c r="Q70" i="9"/>
  <c r="P70" i="9"/>
  <c r="O70" i="9"/>
  <c r="N70" i="9"/>
  <c r="DN69" i="9"/>
  <c r="BH69" i="9"/>
  <c r="AT69" i="9"/>
  <c r="AS69" i="9"/>
  <c r="AR69" i="9"/>
  <c r="AQ69" i="9"/>
  <c r="AP69" i="9"/>
  <c r="AO69" i="9"/>
  <c r="AD69" i="9"/>
  <c r="AC69" i="9"/>
  <c r="AB69" i="9"/>
  <c r="Z69" i="9"/>
  <c r="AA69" i="9" s="1"/>
  <c r="V69" i="9"/>
  <c r="S69" i="9"/>
  <c r="Q69" i="9"/>
  <c r="P69" i="9"/>
  <c r="O69" i="9"/>
  <c r="N69" i="9"/>
  <c r="DN68" i="9"/>
  <c r="BG68" i="9"/>
  <c r="BY11" i="9" s="1"/>
  <c r="CC11" i="9" s="1"/>
  <c r="AV68" i="9"/>
  <c r="AU68" i="9"/>
  <c r="AM68" i="9"/>
  <c r="AL68" i="9"/>
  <c r="AK68" i="9"/>
  <c r="AJ68" i="9"/>
  <c r="AI68" i="9"/>
  <c r="AH68" i="9"/>
  <c r="AD68" i="9"/>
  <c r="AC68" i="9"/>
  <c r="AB68" i="9"/>
  <c r="Z68" i="9"/>
  <c r="AA68" i="9" s="1"/>
  <c r="V68" i="9"/>
  <c r="S68" i="9"/>
  <c r="Q68" i="9"/>
  <c r="P68" i="9"/>
  <c r="O68" i="9"/>
  <c r="N68" i="9"/>
  <c r="DN67" i="9"/>
  <c r="BF67" i="9"/>
  <c r="BY9" i="9" s="1"/>
  <c r="CC9" i="9" s="1"/>
  <c r="AV67" i="9"/>
  <c r="AU67" i="9"/>
  <c r="AM67" i="9"/>
  <c r="AL67" i="9"/>
  <c r="AK67" i="9"/>
  <c r="AJ67" i="9"/>
  <c r="AI67" i="9"/>
  <c r="AH67" i="9"/>
  <c r="AD67" i="9"/>
  <c r="AC67" i="9"/>
  <c r="AB67" i="9"/>
  <c r="Z67" i="9"/>
  <c r="AA67" i="9" s="1"/>
  <c r="V67" i="9"/>
  <c r="S67" i="9"/>
  <c r="Q67" i="9"/>
  <c r="P67" i="9"/>
  <c r="O67" i="9"/>
  <c r="N67" i="9"/>
  <c r="DN66" i="9"/>
  <c r="BE66" i="9"/>
  <c r="AV66" i="9"/>
  <c r="AU66" i="9"/>
  <c r="AM66" i="9"/>
  <c r="AL66" i="9"/>
  <c r="AK66" i="9"/>
  <c r="AJ66" i="9"/>
  <c r="AI66" i="9"/>
  <c r="AH66" i="9"/>
  <c r="AD66" i="9"/>
  <c r="AC66" i="9"/>
  <c r="AB66" i="9"/>
  <c r="Z66" i="9"/>
  <c r="AA66" i="9" s="1"/>
  <c r="V66" i="9"/>
  <c r="S66" i="9"/>
  <c r="Q66" i="9"/>
  <c r="P66" i="9"/>
  <c r="O66" i="9"/>
  <c r="N66" i="9"/>
  <c r="DN65" i="9"/>
  <c r="BD65" i="9"/>
  <c r="BY5" i="9" s="1"/>
  <c r="CC5" i="9" s="1"/>
  <c r="AV65" i="9"/>
  <c r="AU65" i="9"/>
  <c r="AM65" i="9"/>
  <c r="AL65" i="9"/>
  <c r="AK65" i="9"/>
  <c r="AJ65" i="9"/>
  <c r="AI65" i="9"/>
  <c r="AH65" i="9"/>
  <c r="AD65" i="9"/>
  <c r="AC65" i="9"/>
  <c r="AB65" i="9"/>
  <c r="Z65" i="9"/>
  <c r="AA65" i="9" s="1"/>
  <c r="V65" i="9"/>
  <c r="S65" i="9"/>
  <c r="Q65" i="9"/>
  <c r="P65" i="9"/>
  <c r="O65" i="9"/>
  <c r="N65" i="9"/>
  <c r="DN64" i="9"/>
  <c r="BC64" i="9"/>
  <c r="AV64" i="9"/>
  <c r="AU64" i="9"/>
  <c r="AM64" i="9"/>
  <c r="AL64" i="9"/>
  <c r="AK64" i="9"/>
  <c r="AJ64" i="9"/>
  <c r="AI64" i="9"/>
  <c r="AH64" i="9"/>
  <c r="AD64" i="9"/>
  <c r="AC64" i="9"/>
  <c r="AB64" i="9"/>
  <c r="Z64" i="9"/>
  <c r="AA64" i="9" s="1"/>
  <c r="V64" i="9"/>
  <c r="S64" i="9"/>
  <c r="Q64" i="9"/>
  <c r="P64" i="9"/>
  <c r="O64" i="9"/>
  <c r="N64" i="9"/>
  <c r="DN63" i="9"/>
  <c r="BB63" i="9"/>
  <c r="AV63" i="9"/>
  <c r="AU63" i="9"/>
  <c r="AM63" i="9"/>
  <c r="AL63" i="9"/>
  <c r="AK63" i="9"/>
  <c r="AJ63" i="9"/>
  <c r="AI63" i="9"/>
  <c r="AH63" i="9"/>
  <c r="AD63" i="9"/>
  <c r="AC63" i="9"/>
  <c r="AB63" i="9"/>
  <c r="Z63" i="9"/>
  <c r="AA63" i="9" s="1"/>
  <c r="V63" i="9"/>
  <c r="S63" i="9"/>
  <c r="Q63" i="9"/>
  <c r="P63" i="9"/>
  <c r="O63" i="9"/>
  <c r="N63" i="9"/>
  <c r="DN62" i="9"/>
  <c r="BA62" i="9"/>
  <c r="AV62" i="9"/>
  <c r="AU62" i="9"/>
  <c r="AM62" i="9"/>
  <c r="AL62" i="9"/>
  <c r="AK62" i="9"/>
  <c r="AJ62" i="9"/>
  <c r="AI62" i="9"/>
  <c r="AH62" i="9"/>
  <c r="AD62" i="9"/>
  <c r="AC62" i="9"/>
  <c r="AB62" i="9"/>
  <c r="Z62" i="9"/>
  <c r="AA62" i="9" s="1"/>
  <c r="V62" i="9"/>
  <c r="S62" i="9"/>
  <c r="Q62" i="9"/>
  <c r="P62" i="9"/>
  <c r="O62" i="9"/>
  <c r="N62" i="9"/>
  <c r="DN61" i="9"/>
  <c r="BN61" i="9"/>
  <c r="BM61" i="9"/>
  <c r="AV61" i="9"/>
  <c r="AU61" i="9"/>
  <c r="AM61" i="9"/>
  <c r="AL61" i="9"/>
  <c r="AK61" i="9"/>
  <c r="AJ61" i="9"/>
  <c r="AI61" i="9"/>
  <c r="AH61" i="9"/>
  <c r="AD61" i="9"/>
  <c r="AC61" i="9"/>
  <c r="AB61" i="9"/>
  <c r="Z61" i="9"/>
  <c r="AA61" i="9" s="1"/>
  <c r="V61" i="9"/>
  <c r="S61" i="9"/>
  <c r="Q61" i="9"/>
  <c r="P61" i="9"/>
  <c r="O61" i="9"/>
  <c r="N61" i="9"/>
  <c r="DN60" i="9"/>
  <c r="BN60" i="9"/>
  <c r="BM60" i="9"/>
  <c r="AV60" i="9"/>
  <c r="AU60" i="9"/>
  <c r="AM60" i="9"/>
  <c r="AL60" i="9"/>
  <c r="AK60" i="9"/>
  <c r="AJ60" i="9"/>
  <c r="AI60" i="9"/>
  <c r="AH60" i="9"/>
  <c r="AD60" i="9"/>
  <c r="AC60" i="9"/>
  <c r="AB60" i="9"/>
  <c r="Z60" i="9"/>
  <c r="AA60" i="9" s="1"/>
  <c r="V60" i="9"/>
  <c r="S60" i="9"/>
  <c r="Q60" i="9"/>
  <c r="P60" i="9"/>
  <c r="O60" i="9"/>
  <c r="N60" i="9"/>
  <c r="DN59" i="9"/>
  <c r="BN59" i="9"/>
  <c r="BM59" i="9"/>
  <c r="AV59" i="9"/>
  <c r="AU59" i="9"/>
  <c r="AM59" i="9"/>
  <c r="AL59" i="9"/>
  <c r="AK59" i="9"/>
  <c r="AJ59" i="9"/>
  <c r="AI59" i="9"/>
  <c r="AH59" i="9"/>
  <c r="AD59" i="9"/>
  <c r="AC59" i="9"/>
  <c r="AB59" i="9"/>
  <c r="Z59" i="9"/>
  <c r="AA59" i="9" s="1"/>
  <c r="V59" i="9"/>
  <c r="S59" i="9"/>
  <c r="Q59" i="9"/>
  <c r="P59" i="9"/>
  <c r="O59" i="9"/>
  <c r="N59" i="9"/>
  <c r="DN58" i="9"/>
  <c r="BN58" i="9"/>
  <c r="BM58" i="9"/>
  <c r="AV58" i="9"/>
  <c r="AU58" i="9"/>
  <c r="AM58" i="9"/>
  <c r="AL58" i="9"/>
  <c r="AK58" i="9"/>
  <c r="AJ58" i="9"/>
  <c r="AI58" i="9"/>
  <c r="AH58" i="9"/>
  <c r="AD58" i="9"/>
  <c r="AC58" i="9"/>
  <c r="AB58" i="9"/>
  <c r="Z58" i="9"/>
  <c r="AA58" i="9" s="1"/>
  <c r="V58" i="9"/>
  <c r="S58" i="9"/>
  <c r="Q58" i="9"/>
  <c r="P58" i="9"/>
  <c r="O58" i="9"/>
  <c r="N58" i="9"/>
  <c r="DN57" i="9"/>
  <c r="BN57" i="9"/>
  <c r="BM57" i="9"/>
  <c r="AV57" i="9"/>
  <c r="AU57" i="9"/>
  <c r="AM57" i="9"/>
  <c r="AL57" i="9"/>
  <c r="AK57" i="9"/>
  <c r="AJ57" i="9"/>
  <c r="AI57" i="9"/>
  <c r="AH57" i="9"/>
  <c r="AD57" i="9"/>
  <c r="AC57" i="9"/>
  <c r="AB57" i="9"/>
  <c r="Z57" i="9"/>
  <c r="AA57" i="9" s="1"/>
  <c r="V57" i="9"/>
  <c r="S57" i="9"/>
  <c r="Q57" i="9"/>
  <c r="P57" i="9"/>
  <c r="O57" i="9"/>
  <c r="N57" i="9"/>
  <c r="DN56" i="9"/>
  <c r="BN56" i="9"/>
  <c r="BM56" i="9"/>
  <c r="AV56" i="9"/>
  <c r="AU56" i="9"/>
  <c r="AM56" i="9"/>
  <c r="AL56" i="9"/>
  <c r="AK56" i="9"/>
  <c r="AJ56" i="9"/>
  <c r="AI56" i="9"/>
  <c r="AH56" i="9"/>
  <c r="AD56" i="9"/>
  <c r="AC56" i="9"/>
  <c r="AB56" i="9"/>
  <c r="Z56" i="9"/>
  <c r="AA56" i="9" s="1"/>
  <c r="V56" i="9"/>
  <c r="S56" i="9"/>
  <c r="Q56" i="9"/>
  <c r="P56" i="9"/>
  <c r="O56" i="9"/>
  <c r="N56" i="9"/>
  <c r="DN55" i="9"/>
  <c r="BN55" i="9"/>
  <c r="BM55" i="9"/>
  <c r="AV55" i="9"/>
  <c r="AU55" i="9"/>
  <c r="AM55" i="9"/>
  <c r="AL55" i="9"/>
  <c r="AK55" i="9"/>
  <c r="AJ55" i="9"/>
  <c r="AI55" i="9"/>
  <c r="AH55" i="9"/>
  <c r="AD55" i="9"/>
  <c r="AC55" i="9"/>
  <c r="AB55" i="9"/>
  <c r="Z55" i="9"/>
  <c r="AA55" i="9" s="1"/>
  <c r="V55" i="9"/>
  <c r="S55" i="9"/>
  <c r="Q55" i="9"/>
  <c r="P55" i="9"/>
  <c r="O55" i="9"/>
  <c r="N55" i="9"/>
  <c r="DN54" i="9"/>
  <c r="BN54" i="9"/>
  <c r="BM54" i="9"/>
  <c r="AV54" i="9"/>
  <c r="AU54" i="9"/>
  <c r="AM54" i="9"/>
  <c r="AL54" i="9"/>
  <c r="AK54" i="9"/>
  <c r="AJ54" i="9"/>
  <c r="AI54" i="9"/>
  <c r="AH54" i="9"/>
  <c r="AD54" i="9"/>
  <c r="AC54" i="9"/>
  <c r="AB54" i="9"/>
  <c r="Z54" i="9"/>
  <c r="AA54" i="9" s="1"/>
  <c r="V54" i="9"/>
  <c r="S54" i="9"/>
  <c r="Q54" i="9"/>
  <c r="P54" i="9"/>
  <c r="O54" i="9"/>
  <c r="N54" i="9"/>
  <c r="DN53" i="9"/>
  <c r="BN53" i="9"/>
  <c r="BM53" i="9"/>
  <c r="AV53" i="9"/>
  <c r="AU53" i="9"/>
  <c r="AM53" i="9"/>
  <c r="AL53" i="9"/>
  <c r="AK53" i="9"/>
  <c r="AJ53" i="9"/>
  <c r="AI53" i="9"/>
  <c r="AH53" i="9"/>
  <c r="AD53" i="9"/>
  <c r="AC53" i="9"/>
  <c r="AB53" i="9"/>
  <c r="Z53" i="9"/>
  <c r="AA53" i="9" s="1"/>
  <c r="V53" i="9"/>
  <c r="S53" i="9"/>
  <c r="Q53" i="9"/>
  <c r="P53" i="9"/>
  <c r="O53" i="9"/>
  <c r="N53" i="9"/>
  <c r="DN52" i="9"/>
  <c r="BN52" i="9"/>
  <c r="BM52" i="9"/>
  <c r="AV52" i="9"/>
  <c r="AU52" i="9"/>
  <c r="AM52" i="9"/>
  <c r="AL52" i="9"/>
  <c r="AK52" i="9"/>
  <c r="AJ52" i="9"/>
  <c r="AI52" i="9"/>
  <c r="AH52" i="9"/>
  <c r="AD52" i="9"/>
  <c r="AC52" i="9"/>
  <c r="AB52" i="9"/>
  <c r="Z52" i="9"/>
  <c r="AA52" i="9" s="1"/>
  <c r="V52" i="9"/>
  <c r="S52" i="9"/>
  <c r="Q52" i="9"/>
  <c r="P52" i="9"/>
  <c r="O52" i="9"/>
  <c r="N52" i="9"/>
  <c r="DN51" i="9"/>
  <c r="BN51" i="9"/>
  <c r="BM51" i="9"/>
  <c r="AV51" i="9"/>
  <c r="AU51" i="9"/>
  <c r="AM51" i="9"/>
  <c r="AL51" i="9"/>
  <c r="AK51" i="9"/>
  <c r="AJ51" i="9"/>
  <c r="AI51" i="9"/>
  <c r="AH51" i="9"/>
  <c r="AD51" i="9"/>
  <c r="AC51" i="9"/>
  <c r="AB51" i="9"/>
  <c r="Z51" i="9"/>
  <c r="AA51" i="9" s="1"/>
  <c r="V51" i="9"/>
  <c r="S51" i="9"/>
  <c r="Q51" i="9"/>
  <c r="P51" i="9"/>
  <c r="O51" i="9"/>
  <c r="N51" i="9"/>
  <c r="DN50" i="9"/>
  <c r="BN50" i="9"/>
  <c r="BM50" i="9"/>
  <c r="AV50" i="9"/>
  <c r="AU50" i="9"/>
  <c r="AM50" i="9"/>
  <c r="AL50" i="9"/>
  <c r="AK50" i="9"/>
  <c r="AJ50" i="9"/>
  <c r="AI50" i="9"/>
  <c r="AH50" i="9"/>
  <c r="AD50" i="9"/>
  <c r="AC50" i="9"/>
  <c r="AB50" i="9"/>
  <c r="Z50" i="9"/>
  <c r="AA50" i="9" s="1"/>
  <c r="V50" i="9"/>
  <c r="S50" i="9"/>
  <c r="Q50" i="9"/>
  <c r="P50" i="9"/>
  <c r="O50" i="9"/>
  <c r="N50" i="9"/>
  <c r="DN49" i="9"/>
  <c r="BN49" i="9"/>
  <c r="BM49" i="9"/>
  <c r="AV49" i="9"/>
  <c r="AU49" i="9"/>
  <c r="AM49" i="9"/>
  <c r="AL49" i="9"/>
  <c r="AK49" i="9"/>
  <c r="AJ49" i="9"/>
  <c r="AI49" i="9"/>
  <c r="AH49" i="9"/>
  <c r="AD49" i="9"/>
  <c r="AC49" i="9"/>
  <c r="AB49" i="9"/>
  <c r="Z49" i="9"/>
  <c r="AA49" i="9" s="1"/>
  <c r="V49" i="9"/>
  <c r="S49" i="9"/>
  <c r="Q49" i="9"/>
  <c r="P49" i="9"/>
  <c r="O49" i="9"/>
  <c r="N49" i="9"/>
  <c r="DN48" i="9"/>
  <c r="BN48" i="9"/>
  <c r="BM48" i="9"/>
  <c r="AV48" i="9"/>
  <c r="AU48" i="9"/>
  <c r="AM48" i="9"/>
  <c r="AL48" i="9"/>
  <c r="AK48" i="9"/>
  <c r="AJ48" i="9"/>
  <c r="AI48" i="9"/>
  <c r="AH48" i="9"/>
  <c r="AD48" i="9"/>
  <c r="AC48" i="9"/>
  <c r="AB48" i="9"/>
  <c r="Z48" i="9"/>
  <c r="AA48" i="9" s="1"/>
  <c r="V48" i="9"/>
  <c r="S48" i="9"/>
  <c r="Q48" i="9"/>
  <c r="P48" i="9"/>
  <c r="O48" i="9"/>
  <c r="N48" i="9"/>
  <c r="DN47" i="9"/>
  <c r="BN47" i="9"/>
  <c r="BM47" i="9"/>
  <c r="AV47" i="9"/>
  <c r="AU47" i="9"/>
  <c r="AM47" i="9"/>
  <c r="AL47" i="9"/>
  <c r="AK47" i="9"/>
  <c r="AJ47" i="9"/>
  <c r="AI47" i="9"/>
  <c r="AH47" i="9"/>
  <c r="AD47" i="9"/>
  <c r="AC47" i="9"/>
  <c r="AB47" i="9"/>
  <c r="Z47" i="9"/>
  <c r="AA47" i="9" s="1"/>
  <c r="V47" i="9"/>
  <c r="S47" i="9"/>
  <c r="Q47" i="9"/>
  <c r="P47" i="9"/>
  <c r="O47" i="9"/>
  <c r="N47" i="9"/>
  <c r="DN46" i="9"/>
  <c r="BN46" i="9"/>
  <c r="BM46" i="9"/>
  <c r="AV46" i="9"/>
  <c r="AU46" i="9"/>
  <c r="AM46" i="9"/>
  <c r="AL46" i="9"/>
  <c r="AK46" i="9"/>
  <c r="AJ46" i="9"/>
  <c r="AI46" i="9"/>
  <c r="AH46" i="9"/>
  <c r="AD46" i="9"/>
  <c r="AC46" i="9"/>
  <c r="AB46" i="9"/>
  <c r="Z46" i="9"/>
  <c r="AA46" i="9" s="1"/>
  <c r="V46" i="9"/>
  <c r="S46" i="9"/>
  <c r="Q46" i="9"/>
  <c r="P46" i="9"/>
  <c r="O46" i="9"/>
  <c r="N46" i="9"/>
  <c r="DN45" i="9"/>
  <c r="BN45" i="9"/>
  <c r="BM45" i="9"/>
  <c r="AV45" i="9"/>
  <c r="AU45" i="9"/>
  <c r="AM45" i="9"/>
  <c r="AL45" i="9"/>
  <c r="AK45" i="9"/>
  <c r="AJ45" i="9"/>
  <c r="AI45" i="9"/>
  <c r="AH45" i="9"/>
  <c r="AD45" i="9"/>
  <c r="AC45" i="9"/>
  <c r="AB45" i="9"/>
  <c r="Z45" i="9"/>
  <c r="AA45" i="9" s="1"/>
  <c r="V45" i="9"/>
  <c r="S45" i="9"/>
  <c r="Q45" i="9"/>
  <c r="P45" i="9"/>
  <c r="O45" i="9"/>
  <c r="N45" i="9"/>
  <c r="DN44" i="9"/>
  <c r="BN44" i="9"/>
  <c r="BM44" i="9"/>
  <c r="AV44" i="9"/>
  <c r="AU44" i="9"/>
  <c r="AM44" i="9"/>
  <c r="AL44" i="9"/>
  <c r="AK44" i="9"/>
  <c r="AJ44" i="9"/>
  <c r="AI44" i="9"/>
  <c r="AH44" i="9"/>
  <c r="AD44" i="9"/>
  <c r="AC44" i="9"/>
  <c r="AB44" i="9"/>
  <c r="Z44" i="9"/>
  <c r="AA44" i="9" s="1"/>
  <c r="V44" i="9"/>
  <c r="S44" i="9"/>
  <c r="Q44" i="9"/>
  <c r="P44" i="9"/>
  <c r="O44" i="9"/>
  <c r="N44" i="9"/>
  <c r="DN43" i="9"/>
  <c r="BN43" i="9"/>
  <c r="BM43" i="9"/>
  <c r="AV43" i="9"/>
  <c r="AU43" i="9"/>
  <c r="AM43" i="9"/>
  <c r="AL43" i="9"/>
  <c r="AK43" i="9"/>
  <c r="AJ43" i="9"/>
  <c r="AI43" i="9"/>
  <c r="AH43" i="9"/>
  <c r="AD43" i="9"/>
  <c r="AC43" i="9"/>
  <c r="AB43" i="9"/>
  <c r="Z43" i="9"/>
  <c r="AA43" i="9" s="1"/>
  <c r="V43" i="9"/>
  <c r="S43" i="9"/>
  <c r="Q43" i="9"/>
  <c r="P43" i="9"/>
  <c r="O43" i="9"/>
  <c r="N43" i="9"/>
  <c r="DN42" i="9"/>
  <c r="BN42" i="9"/>
  <c r="BM42" i="9"/>
  <c r="AV42" i="9"/>
  <c r="AU42" i="9"/>
  <c r="AM42" i="9"/>
  <c r="AL42" i="9"/>
  <c r="AK42" i="9"/>
  <c r="AJ42" i="9"/>
  <c r="AI42" i="9"/>
  <c r="AH42" i="9"/>
  <c r="AD42" i="9"/>
  <c r="AC42" i="9"/>
  <c r="AB42" i="9"/>
  <c r="Z42" i="9"/>
  <c r="AA42" i="9" s="1"/>
  <c r="V42" i="9"/>
  <c r="S42" i="9"/>
  <c r="Q42" i="9"/>
  <c r="P42" i="9"/>
  <c r="O42" i="9"/>
  <c r="N42" i="9"/>
  <c r="DX41" i="9"/>
  <c r="DN41" i="9"/>
  <c r="BN41" i="9"/>
  <c r="BM41" i="9"/>
  <c r="AV41" i="9"/>
  <c r="AU41" i="9"/>
  <c r="AM41" i="9"/>
  <c r="AL41" i="9"/>
  <c r="AK41" i="9"/>
  <c r="AJ41" i="9"/>
  <c r="AI41" i="9"/>
  <c r="AH41" i="9"/>
  <c r="AD41" i="9"/>
  <c r="AC41" i="9"/>
  <c r="AB41" i="9"/>
  <c r="Z41" i="9"/>
  <c r="AA41" i="9" s="1"/>
  <c r="V41" i="9"/>
  <c r="S41" i="9"/>
  <c r="Q41" i="9"/>
  <c r="P41" i="9"/>
  <c r="O41" i="9"/>
  <c r="N41" i="9"/>
  <c r="DW40" i="9"/>
  <c r="DN40" i="9"/>
  <c r="BN40" i="9"/>
  <c r="BM40" i="9"/>
  <c r="AV40" i="9"/>
  <c r="AU40" i="9"/>
  <c r="AM40" i="9"/>
  <c r="AL40" i="9"/>
  <c r="AK40" i="9"/>
  <c r="AJ40" i="9"/>
  <c r="AI40" i="9"/>
  <c r="AH40" i="9"/>
  <c r="AD40" i="9"/>
  <c r="AC40" i="9"/>
  <c r="AB40" i="9"/>
  <c r="Z40" i="9"/>
  <c r="AA40" i="9" s="1"/>
  <c r="V40" i="9"/>
  <c r="S40" i="9"/>
  <c r="Q40" i="9"/>
  <c r="P40" i="9"/>
  <c r="O40" i="9"/>
  <c r="N40" i="9"/>
  <c r="DV39" i="9"/>
  <c r="DN39" i="9"/>
  <c r="BN39" i="9"/>
  <c r="BM39" i="9"/>
  <c r="AV39" i="9"/>
  <c r="AU39" i="9"/>
  <c r="AM39" i="9"/>
  <c r="AL39" i="9"/>
  <c r="AK39" i="9"/>
  <c r="AJ39" i="9"/>
  <c r="AI39" i="9"/>
  <c r="AH39" i="9"/>
  <c r="AD39" i="9"/>
  <c r="AC39" i="9"/>
  <c r="AB39" i="9"/>
  <c r="Z39" i="9"/>
  <c r="AA39" i="9" s="1"/>
  <c r="V39" i="9"/>
  <c r="S39" i="9"/>
  <c r="Q39" i="9"/>
  <c r="P39" i="9"/>
  <c r="O39" i="9"/>
  <c r="N39" i="9"/>
  <c r="DV38" i="9"/>
  <c r="DN38" i="9"/>
  <c r="BN38" i="9"/>
  <c r="BM38" i="9"/>
  <c r="AV38" i="9"/>
  <c r="AU38" i="9"/>
  <c r="AM38" i="9"/>
  <c r="AL38" i="9"/>
  <c r="AK38" i="9"/>
  <c r="AJ38" i="9"/>
  <c r="AI38" i="9"/>
  <c r="AH38" i="9"/>
  <c r="AD38" i="9"/>
  <c r="AC38" i="9"/>
  <c r="AB38" i="9"/>
  <c r="Z38" i="9"/>
  <c r="AA38" i="9" s="1"/>
  <c r="V38" i="9"/>
  <c r="S38" i="9"/>
  <c r="Q38" i="9"/>
  <c r="P38" i="9"/>
  <c r="O38" i="9"/>
  <c r="N38" i="9"/>
  <c r="DU37" i="9"/>
  <c r="DN37" i="9"/>
  <c r="BN37" i="9"/>
  <c r="BM37" i="9"/>
  <c r="AV37" i="9"/>
  <c r="AU37" i="9"/>
  <c r="AM37" i="9"/>
  <c r="AL37" i="9"/>
  <c r="AK37" i="9"/>
  <c r="AJ37" i="9"/>
  <c r="AI37" i="9"/>
  <c r="AH37" i="9"/>
  <c r="AD37" i="9"/>
  <c r="AC37" i="9"/>
  <c r="AB37" i="9"/>
  <c r="Z37" i="9"/>
  <c r="AA37" i="9" s="1"/>
  <c r="V37" i="9"/>
  <c r="S37" i="9"/>
  <c r="Q37" i="9"/>
  <c r="P37" i="9"/>
  <c r="O37" i="9"/>
  <c r="N37" i="9"/>
  <c r="DN36" i="9"/>
  <c r="BN36" i="9"/>
  <c r="BM36" i="9"/>
  <c r="AV36" i="9"/>
  <c r="AU36" i="9"/>
  <c r="AM36" i="9"/>
  <c r="AL36" i="9"/>
  <c r="AK36" i="9"/>
  <c r="AJ36" i="9"/>
  <c r="AI36" i="9"/>
  <c r="AH36" i="9"/>
  <c r="AD36" i="9"/>
  <c r="AC36" i="9"/>
  <c r="AB36" i="9"/>
  <c r="Z36" i="9"/>
  <c r="AA36" i="9" s="1"/>
  <c r="V36" i="9"/>
  <c r="S36" i="9"/>
  <c r="Q36" i="9"/>
  <c r="P36" i="9"/>
  <c r="O36" i="9"/>
  <c r="N36" i="9"/>
  <c r="DN35" i="9"/>
  <c r="BN35" i="9"/>
  <c r="BM35" i="9"/>
  <c r="AV35" i="9"/>
  <c r="AU35" i="9"/>
  <c r="AM35" i="9"/>
  <c r="AL35" i="9"/>
  <c r="AK35" i="9"/>
  <c r="AJ35" i="9"/>
  <c r="AI35" i="9"/>
  <c r="AH35" i="9"/>
  <c r="AD35" i="9"/>
  <c r="AC35" i="9"/>
  <c r="AB35" i="9"/>
  <c r="Z35" i="9"/>
  <c r="AA35" i="9" s="1"/>
  <c r="V35" i="9"/>
  <c r="S35" i="9"/>
  <c r="Q35" i="9"/>
  <c r="P35" i="9"/>
  <c r="O35" i="9"/>
  <c r="N35" i="9"/>
  <c r="BN34" i="9"/>
  <c r="BM34" i="9"/>
  <c r="AV34" i="9"/>
  <c r="AU34" i="9"/>
  <c r="AM34" i="9"/>
  <c r="AL34" i="9"/>
  <c r="AK34" i="9"/>
  <c r="AJ34" i="9"/>
  <c r="AI34" i="9"/>
  <c r="AH34" i="9"/>
  <c r="AD34" i="9"/>
  <c r="AC34" i="9"/>
  <c r="AB34" i="9"/>
  <c r="Z34" i="9"/>
  <c r="AA34" i="9" s="1"/>
  <c r="V34" i="9"/>
  <c r="S34" i="9"/>
  <c r="Q34" i="9"/>
  <c r="P34" i="9"/>
  <c r="O34" i="9"/>
  <c r="N34" i="9"/>
  <c r="BN33" i="9"/>
  <c r="BM33" i="9"/>
  <c r="AV33" i="9"/>
  <c r="AU33" i="9"/>
  <c r="AM33" i="9"/>
  <c r="AL33" i="9"/>
  <c r="AK33" i="9"/>
  <c r="AJ33" i="9"/>
  <c r="AI33" i="9"/>
  <c r="AH33" i="9"/>
  <c r="AD33" i="9"/>
  <c r="AC33" i="9"/>
  <c r="AB33" i="9"/>
  <c r="Z33" i="9"/>
  <c r="AA33" i="9" s="1"/>
  <c r="V33" i="9"/>
  <c r="S33" i="9"/>
  <c r="Q33" i="9"/>
  <c r="P33" i="9"/>
  <c r="O33" i="9"/>
  <c r="N33" i="9"/>
  <c r="DI32" i="9"/>
  <c r="DH32" i="9"/>
  <c r="DG32" i="9"/>
  <c r="DF32" i="9"/>
  <c r="DE32" i="9"/>
  <c r="DD32" i="9"/>
  <c r="DC32" i="9"/>
  <c r="BN32" i="9"/>
  <c r="BM32" i="9"/>
  <c r="AV32" i="9"/>
  <c r="AU32" i="9"/>
  <c r="AM32" i="9"/>
  <c r="AL32" i="9"/>
  <c r="AK32" i="9"/>
  <c r="AJ32" i="9"/>
  <c r="AI32" i="9"/>
  <c r="AH32" i="9"/>
  <c r="AD32" i="9"/>
  <c r="AC32" i="9"/>
  <c r="AB32" i="9"/>
  <c r="Z32" i="9"/>
  <c r="AA32" i="9" s="1"/>
  <c r="V32" i="9"/>
  <c r="S32" i="9"/>
  <c r="Q32" i="9"/>
  <c r="P32" i="9"/>
  <c r="O32" i="9"/>
  <c r="N32" i="9"/>
  <c r="BN31" i="9"/>
  <c r="BM31" i="9"/>
  <c r="AV31" i="9"/>
  <c r="AU31" i="9"/>
  <c r="AM31" i="9"/>
  <c r="AL31" i="9"/>
  <c r="AK31" i="9"/>
  <c r="AJ31" i="9"/>
  <c r="AI31" i="9"/>
  <c r="AH31" i="9"/>
  <c r="AD31" i="9"/>
  <c r="AC31" i="9"/>
  <c r="AB31" i="9"/>
  <c r="Z31" i="9"/>
  <c r="AA31" i="9" s="1"/>
  <c r="V31" i="9"/>
  <c r="S31" i="9"/>
  <c r="Q31" i="9"/>
  <c r="P31" i="9"/>
  <c r="O31" i="9"/>
  <c r="N31" i="9"/>
  <c r="DI30" i="9"/>
  <c r="DH30" i="9"/>
  <c r="DG30" i="9"/>
  <c r="DF30" i="9"/>
  <c r="DE30" i="9"/>
  <c r="DD30" i="9"/>
  <c r="DC30" i="9"/>
  <c r="BN30" i="9"/>
  <c r="BM30" i="9"/>
  <c r="AV30" i="9"/>
  <c r="AU30" i="9"/>
  <c r="AM30" i="9"/>
  <c r="AL30" i="9"/>
  <c r="AK30" i="9"/>
  <c r="AJ30" i="9"/>
  <c r="AI30" i="9"/>
  <c r="AH30" i="9"/>
  <c r="AD30" i="9"/>
  <c r="AC30" i="9"/>
  <c r="AB30" i="9"/>
  <c r="Z30" i="9"/>
  <c r="AA30" i="9" s="1"/>
  <c r="V30" i="9"/>
  <c r="S30" i="9"/>
  <c r="Q30" i="9"/>
  <c r="P30" i="9"/>
  <c r="O30" i="9"/>
  <c r="N30" i="9"/>
  <c r="DL29" i="9"/>
  <c r="DK29" i="9"/>
  <c r="DJ29" i="9"/>
  <c r="DI29" i="9"/>
  <c r="BN29" i="9"/>
  <c r="BM29" i="9"/>
  <c r="AV29" i="9"/>
  <c r="AU29" i="9"/>
  <c r="AM29" i="9"/>
  <c r="AL29" i="9"/>
  <c r="AK29" i="9"/>
  <c r="AJ29" i="9"/>
  <c r="AI29" i="9"/>
  <c r="AH29" i="9"/>
  <c r="AD29" i="9"/>
  <c r="AC29" i="9"/>
  <c r="AB29" i="9"/>
  <c r="Z29" i="9"/>
  <c r="AA29" i="9" s="1"/>
  <c r="V29" i="9"/>
  <c r="S29" i="9"/>
  <c r="Q29" i="9"/>
  <c r="P29" i="9"/>
  <c r="O29" i="9"/>
  <c r="N29" i="9"/>
  <c r="DN28" i="9"/>
  <c r="DL28" i="9"/>
  <c r="DK28" i="9"/>
  <c r="DJ28" i="9"/>
  <c r="DI28" i="9"/>
  <c r="BN28" i="9"/>
  <c r="BM28" i="9"/>
  <c r="AV28" i="9"/>
  <c r="AU28" i="9"/>
  <c r="AM28" i="9"/>
  <c r="AL28" i="9"/>
  <c r="AK28" i="9"/>
  <c r="AJ28" i="9"/>
  <c r="AI28" i="9"/>
  <c r="AH28" i="9"/>
  <c r="AD28" i="9"/>
  <c r="AC28" i="9"/>
  <c r="AB28" i="9"/>
  <c r="Z28" i="9"/>
  <c r="AA28" i="9" s="1"/>
  <c r="V28" i="9"/>
  <c r="S28" i="9"/>
  <c r="Q28" i="9"/>
  <c r="P28" i="9"/>
  <c r="O28" i="9"/>
  <c r="N28" i="9"/>
  <c r="DN27" i="9"/>
  <c r="DL27" i="9"/>
  <c r="DK27" i="9"/>
  <c r="DJ27" i="9"/>
  <c r="DI27" i="9"/>
  <c r="BN27" i="9"/>
  <c r="BM27" i="9"/>
  <c r="AV27" i="9"/>
  <c r="AU27" i="9"/>
  <c r="AM27" i="9"/>
  <c r="AL27" i="9"/>
  <c r="AK27" i="9"/>
  <c r="AJ27" i="9"/>
  <c r="AI27" i="9"/>
  <c r="AH27" i="9"/>
  <c r="AD27" i="9"/>
  <c r="AC27" i="9"/>
  <c r="AB27" i="9"/>
  <c r="Z27" i="9"/>
  <c r="AA27" i="9" s="1"/>
  <c r="V27" i="9"/>
  <c r="S27" i="9"/>
  <c r="Q27" i="9"/>
  <c r="P27" i="9"/>
  <c r="O27" i="9"/>
  <c r="N27" i="9"/>
  <c r="DN26" i="9"/>
  <c r="DL26" i="9"/>
  <c r="DK26" i="9"/>
  <c r="DJ26" i="9"/>
  <c r="DI26" i="9"/>
  <c r="BN26" i="9"/>
  <c r="BM26" i="9"/>
  <c r="AV26" i="9"/>
  <c r="AU26" i="9"/>
  <c r="AM26" i="9"/>
  <c r="AL26" i="9"/>
  <c r="AK26" i="9"/>
  <c r="AJ26" i="9"/>
  <c r="AI26" i="9"/>
  <c r="AH26" i="9"/>
  <c r="AD26" i="9"/>
  <c r="AC26" i="9"/>
  <c r="AB26" i="9"/>
  <c r="Z26" i="9"/>
  <c r="AA26" i="9" s="1"/>
  <c r="V26" i="9"/>
  <c r="S26" i="9"/>
  <c r="Q26" i="9"/>
  <c r="P26" i="9"/>
  <c r="O26" i="9"/>
  <c r="N26" i="9"/>
  <c r="DN25" i="9"/>
  <c r="DL25" i="9"/>
  <c r="DK25" i="9"/>
  <c r="DJ25" i="9"/>
  <c r="DI25" i="9"/>
  <c r="BN25" i="9"/>
  <c r="BM25" i="9"/>
  <c r="AV25" i="9"/>
  <c r="AU25" i="9"/>
  <c r="AM25" i="9"/>
  <c r="AL25" i="9"/>
  <c r="AK25" i="9"/>
  <c r="AJ25" i="9"/>
  <c r="AI25" i="9"/>
  <c r="AH25" i="9"/>
  <c r="AD25" i="9"/>
  <c r="AC25" i="9"/>
  <c r="AB25" i="9"/>
  <c r="Z25" i="9"/>
  <c r="AA25" i="9" s="1"/>
  <c r="V25" i="9"/>
  <c r="S25" i="9"/>
  <c r="Q25" i="9"/>
  <c r="P25" i="9"/>
  <c r="O25" i="9"/>
  <c r="N25" i="9"/>
  <c r="DN24" i="9"/>
  <c r="DL24" i="9"/>
  <c r="DK24" i="9"/>
  <c r="DJ24" i="9"/>
  <c r="DI24" i="9"/>
  <c r="BN24" i="9"/>
  <c r="BM24" i="9"/>
  <c r="AV24" i="9"/>
  <c r="AU24" i="9"/>
  <c r="AM24" i="9"/>
  <c r="AL24" i="9"/>
  <c r="AK24" i="9"/>
  <c r="AJ24" i="9"/>
  <c r="AI24" i="9"/>
  <c r="AH24" i="9"/>
  <c r="AD24" i="9"/>
  <c r="AC24" i="9"/>
  <c r="AB24" i="9"/>
  <c r="Z24" i="9"/>
  <c r="AA24" i="9" s="1"/>
  <c r="V24" i="9"/>
  <c r="S24" i="9"/>
  <c r="Q24" i="9"/>
  <c r="P24" i="9"/>
  <c r="O24" i="9"/>
  <c r="N24" i="9"/>
  <c r="DN23" i="9"/>
  <c r="DL23" i="9"/>
  <c r="DK23" i="9"/>
  <c r="DJ23" i="9"/>
  <c r="DI23" i="9"/>
  <c r="BN23" i="9"/>
  <c r="BM23" i="9"/>
  <c r="AV23" i="9"/>
  <c r="AU23" i="9"/>
  <c r="AM23" i="9"/>
  <c r="AL23" i="9"/>
  <c r="AK23" i="9"/>
  <c r="AJ23" i="9"/>
  <c r="AI23" i="9"/>
  <c r="AH23" i="9"/>
  <c r="AD23" i="9"/>
  <c r="AC23" i="9"/>
  <c r="AB23" i="9"/>
  <c r="Z23" i="9"/>
  <c r="AA23" i="9" s="1"/>
  <c r="V23" i="9"/>
  <c r="S23" i="9"/>
  <c r="Q23" i="9"/>
  <c r="P23" i="9"/>
  <c r="O23" i="9"/>
  <c r="N23" i="9"/>
  <c r="DN22" i="9"/>
  <c r="DL22" i="9"/>
  <c r="DK22" i="9"/>
  <c r="DJ22" i="9"/>
  <c r="DI22" i="9"/>
  <c r="BN22" i="9"/>
  <c r="BM22" i="9"/>
  <c r="AV22" i="9"/>
  <c r="AU22" i="9"/>
  <c r="AM22" i="9"/>
  <c r="AL22" i="9"/>
  <c r="AK22" i="9"/>
  <c r="AJ22" i="9"/>
  <c r="AI22" i="9"/>
  <c r="AH22" i="9"/>
  <c r="AD22" i="9"/>
  <c r="AC22" i="9"/>
  <c r="AB22" i="9"/>
  <c r="Z22" i="9"/>
  <c r="AA22" i="9" s="1"/>
  <c r="V22" i="9"/>
  <c r="S22" i="9"/>
  <c r="Q22" i="9"/>
  <c r="P22" i="9"/>
  <c r="O22" i="9"/>
  <c r="N22" i="9"/>
  <c r="DN21" i="9"/>
  <c r="DL21" i="9"/>
  <c r="DK21" i="9"/>
  <c r="DJ21" i="9"/>
  <c r="DI21" i="9"/>
  <c r="BY21" i="9"/>
  <c r="CC21" i="9" s="1"/>
  <c r="BV21" i="9"/>
  <c r="BN21" i="9"/>
  <c r="BM21" i="9"/>
  <c r="AV21" i="9"/>
  <c r="AU21" i="9"/>
  <c r="AM21" i="9"/>
  <c r="AL21" i="9"/>
  <c r="AK21" i="9"/>
  <c r="AJ21" i="9"/>
  <c r="AI21" i="9"/>
  <c r="AH21" i="9"/>
  <c r="AD21" i="9"/>
  <c r="AC21" i="9"/>
  <c r="AB21" i="9"/>
  <c r="Z21" i="9"/>
  <c r="AA21" i="9" s="1"/>
  <c r="V21" i="9"/>
  <c r="S21" i="9"/>
  <c r="Q21" i="9"/>
  <c r="P21" i="9"/>
  <c r="O21" i="9"/>
  <c r="N21" i="9"/>
  <c r="DN20" i="9"/>
  <c r="DL20" i="9"/>
  <c r="DK20" i="9"/>
  <c r="DJ20" i="9"/>
  <c r="DI20" i="9"/>
  <c r="BN20" i="9"/>
  <c r="BM20" i="9"/>
  <c r="AV20" i="9"/>
  <c r="AU20" i="9"/>
  <c r="AM20" i="9"/>
  <c r="AL20" i="9"/>
  <c r="AK20" i="9"/>
  <c r="AJ20" i="9"/>
  <c r="AI20" i="9"/>
  <c r="AH20" i="9"/>
  <c r="AD20" i="9"/>
  <c r="AC20" i="9"/>
  <c r="AB20" i="9"/>
  <c r="Z20" i="9"/>
  <c r="AA20" i="9" s="1"/>
  <c r="V20" i="9"/>
  <c r="S20" i="9"/>
  <c r="Q20" i="9"/>
  <c r="P20" i="9"/>
  <c r="O20" i="9"/>
  <c r="N20" i="9"/>
  <c r="DN19" i="9"/>
  <c r="DL19" i="9"/>
  <c r="DK19" i="9"/>
  <c r="DJ19" i="9"/>
  <c r="DI19" i="9"/>
  <c r="BV19" i="9"/>
  <c r="BN19" i="9"/>
  <c r="BM19" i="9"/>
  <c r="AV19" i="9"/>
  <c r="AU19" i="9"/>
  <c r="AM19" i="9"/>
  <c r="AL19" i="9"/>
  <c r="AK19" i="9"/>
  <c r="AJ19" i="9"/>
  <c r="AI19" i="9"/>
  <c r="AH19" i="9"/>
  <c r="AD19" i="9"/>
  <c r="AC19" i="9"/>
  <c r="AB19" i="9"/>
  <c r="Z19" i="9"/>
  <c r="AA19" i="9" s="1"/>
  <c r="V19" i="9"/>
  <c r="S19" i="9"/>
  <c r="Q19" i="9"/>
  <c r="P19" i="9"/>
  <c r="O19" i="9"/>
  <c r="N19" i="9"/>
  <c r="DN18" i="9"/>
  <c r="DL18" i="9"/>
  <c r="DK18" i="9"/>
  <c r="DJ18" i="9"/>
  <c r="DI18" i="9"/>
  <c r="BN18" i="9"/>
  <c r="BM18" i="9"/>
  <c r="AV18" i="9"/>
  <c r="AU18" i="9"/>
  <c r="AM18" i="9"/>
  <c r="AL18" i="9"/>
  <c r="AK18" i="9"/>
  <c r="AJ18" i="9"/>
  <c r="AI18" i="9"/>
  <c r="AH18" i="9"/>
  <c r="AD18" i="9"/>
  <c r="AC18" i="9"/>
  <c r="AB18" i="9"/>
  <c r="Z18" i="9"/>
  <c r="AA18" i="9" s="1"/>
  <c r="V18" i="9"/>
  <c r="S18" i="9"/>
  <c r="Q18" i="9"/>
  <c r="P18" i="9"/>
  <c r="O18" i="9"/>
  <c r="N18" i="9"/>
  <c r="DN17" i="9"/>
  <c r="DL17" i="9"/>
  <c r="DK17" i="9"/>
  <c r="DJ17" i="9"/>
  <c r="DI17" i="9"/>
  <c r="BY17" i="9"/>
  <c r="CC17" i="9" s="1"/>
  <c r="BV17" i="9"/>
  <c r="BN17" i="9"/>
  <c r="BM17" i="9"/>
  <c r="AV17" i="9"/>
  <c r="AU17" i="9"/>
  <c r="AM17" i="9"/>
  <c r="AL17" i="9"/>
  <c r="AK17" i="9"/>
  <c r="AJ17" i="9"/>
  <c r="AI17" i="9"/>
  <c r="AH17" i="9"/>
  <c r="AD17" i="9"/>
  <c r="AC17" i="9"/>
  <c r="AB17" i="9"/>
  <c r="Z17" i="9"/>
  <c r="AA17" i="9" s="1"/>
  <c r="V17" i="9"/>
  <c r="S17" i="9"/>
  <c r="Q17" i="9"/>
  <c r="P17" i="9"/>
  <c r="O17" i="9"/>
  <c r="N17" i="9"/>
  <c r="DN16" i="9"/>
  <c r="DL16" i="9"/>
  <c r="DK16" i="9"/>
  <c r="DJ16" i="9"/>
  <c r="DI16" i="9"/>
  <c r="BN16" i="9"/>
  <c r="BM16" i="9"/>
  <c r="AV16" i="9"/>
  <c r="AU16" i="9"/>
  <c r="AM16" i="9"/>
  <c r="AL16" i="9"/>
  <c r="AK16" i="9"/>
  <c r="AJ16" i="9"/>
  <c r="AI16" i="9"/>
  <c r="AH16" i="9"/>
  <c r="AD16" i="9"/>
  <c r="AC16" i="9"/>
  <c r="AB16" i="9"/>
  <c r="Z16" i="9"/>
  <c r="AA16" i="9" s="1"/>
  <c r="V16" i="9"/>
  <c r="S16" i="9"/>
  <c r="Q16" i="9"/>
  <c r="P16" i="9"/>
  <c r="O16" i="9"/>
  <c r="N16" i="9"/>
  <c r="DN15" i="9"/>
  <c r="DL15" i="9"/>
  <c r="DK15" i="9"/>
  <c r="DJ15" i="9"/>
  <c r="DI15" i="9"/>
  <c r="BZ15" i="9"/>
  <c r="BV15" i="9"/>
  <c r="BN15" i="9"/>
  <c r="BM15" i="9"/>
  <c r="AV15" i="9"/>
  <c r="AU15" i="9"/>
  <c r="AM15" i="9"/>
  <c r="AL15" i="9"/>
  <c r="AK15" i="9"/>
  <c r="AJ15" i="9"/>
  <c r="AI15" i="9"/>
  <c r="AH15" i="9"/>
  <c r="AD15" i="9"/>
  <c r="AC15" i="9"/>
  <c r="AB15" i="9"/>
  <c r="Z15" i="9"/>
  <c r="AA15" i="9" s="1"/>
  <c r="V15" i="9"/>
  <c r="S15" i="9"/>
  <c r="Q15" i="9"/>
  <c r="P15" i="9"/>
  <c r="O15" i="9"/>
  <c r="N15" i="9"/>
  <c r="DN14" i="9"/>
  <c r="DL14" i="9"/>
  <c r="DK14" i="9"/>
  <c r="DJ14" i="9"/>
  <c r="DI14" i="9"/>
  <c r="BN14" i="9"/>
  <c r="BM14" i="9"/>
  <c r="AV14" i="9"/>
  <c r="AU14" i="9"/>
  <c r="AM14" i="9"/>
  <c r="AL14" i="9"/>
  <c r="AK14" i="9"/>
  <c r="AJ14" i="9"/>
  <c r="AI14" i="9"/>
  <c r="AH14" i="9"/>
  <c r="AD14" i="9"/>
  <c r="AC14" i="9"/>
  <c r="AB14" i="9"/>
  <c r="Z14" i="9"/>
  <c r="AA14" i="9" s="1"/>
  <c r="V14" i="9"/>
  <c r="S14" i="9"/>
  <c r="Q14" i="9"/>
  <c r="P14" i="9"/>
  <c r="O14" i="9"/>
  <c r="N14" i="9"/>
  <c r="DN13" i="9"/>
  <c r="DL13" i="9"/>
  <c r="DK13" i="9"/>
  <c r="DJ13" i="9"/>
  <c r="DI13" i="9"/>
  <c r="BY13" i="9"/>
  <c r="CC13" i="9" s="1"/>
  <c r="BV13" i="9"/>
  <c r="BN13" i="9"/>
  <c r="BM13" i="9"/>
  <c r="AV13" i="9"/>
  <c r="AU13" i="9"/>
  <c r="AM13" i="9"/>
  <c r="AL13" i="9"/>
  <c r="AK13" i="9"/>
  <c r="AJ13" i="9"/>
  <c r="AI13" i="9"/>
  <c r="AH13" i="9"/>
  <c r="AD13" i="9"/>
  <c r="AC13" i="9"/>
  <c r="AB13" i="9"/>
  <c r="Z13" i="9"/>
  <c r="AA13" i="9" s="1"/>
  <c r="V13" i="9"/>
  <c r="S13" i="9"/>
  <c r="Q13" i="9"/>
  <c r="P13" i="9"/>
  <c r="O13" i="9"/>
  <c r="N13" i="9"/>
  <c r="DN12" i="9"/>
  <c r="DL12" i="9"/>
  <c r="DK12" i="9"/>
  <c r="DJ12" i="9"/>
  <c r="DI12" i="9"/>
  <c r="BN12" i="9"/>
  <c r="BM12" i="9"/>
  <c r="AV12" i="9"/>
  <c r="AU12" i="9"/>
  <c r="AM12" i="9"/>
  <c r="AL12" i="9"/>
  <c r="AK12" i="9"/>
  <c r="AJ12" i="9"/>
  <c r="AI12" i="9"/>
  <c r="AH12" i="9"/>
  <c r="AD12" i="9"/>
  <c r="AC12" i="9"/>
  <c r="AB12" i="9"/>
  <c r="Z12" i="9"/>
  <c r="AA12" i="9" s="1"/>
  <c r="V12" i="9"/>
  <c r="S12" i="9"/>
  <c r="Q12" i="9"/>
  <c r="P12" i="9"/>
  <c r="O12" i="9"/>
  <c r="N12" i="9"/>
  <c r="DN11" i="9"/>
  <c r="DL11" i="9"/>
  <c r="DK11" i="9"/>
  <c r="DJ11" i="9"/>
  <c r="DI11" i="9"/>
  <c r="BV11" i="9"/>
  <c r="BN11" i="9"/>
  <c r="BM11" i="9"/>
  <c r="AV11" i="9"/>
  <c r="AU11" i="9"/>
  <c r="AM11" i="9"/>
  <c r="AL11" i="9"/>
  <c r="AK11" i="9"/>
  <c r="AJ11" i="9"/>
  <c r="AI11" i="9"/>
  <c r="AH11" i="9"/>
  <c r="AD11" i="9"/>
  <c r="AC11" i="9"/>
  <c r="AB11" i="9"/>
  <c r="Z11" i="9"/>
  <c r="AA11" i="9" s="1"/>
  <c r="V11" i="9"/>
  <c r="S11" i="9"/>
  <c r="Q11" i="9"/>
  <c r="P11" i="9"/>
  <c r="O11" i="9"/>
  <c r="N11" i="9"/>
  <c r="DN10" i="9"/>
  <c r="DL10" i="9"/>
  <c r="DK10" i="9"/>
  <c r="DJ10" i="9"/>
  <c r="DI10" i="9"/>
  <c r="BN10" i="9"/>
  <c r="BM10" i="9"/>
  <c r="AV10" i="9"/>
  <c r="AU10" i="9"/>
  <c r="AM10" i="9"/>
  <c r="AL10" i="9"/>
  <c r="AK10" i="9"/>
  <c r="AJ10" i="9"/>
  <c r="AI10" i="9"/>
  <c r="AH10" i="9"/>
  <c r="AD10" i="9"/>
  <c r="AC10" i="9"/>
  <c r="AB10" i="9"/>
  <c r="Z10" i="9"/>
  <c r="AA10" i="9" s="1"/>
  <c r="V10" i="9"/>
  <c r="S10" i="9"/>
  <c r="Q10" i="9"/>
  <c r="P10" i="9"/>
  <c r="O10" i="9"/>
  <c r="N10" i="9"/>
  <c r="DN9" i="9"/>
  <c r="DL9" i="9"/>
  <c r="DK9" i="9"/>
  <c r="DJ9" i="9"/>
  <c r="DI9" i="9"/>
  <c r="BV9" i="9"/>
  <c r="BN9" i="9"/>
  <c r="BM9" i="9"/>
  <c r="AV9" i="9"/>
  <c r="AU9" i="9"/>
  <c r="AM9" i="9"/>
  <c r="AL9" i="9"/>
  <c r="AK9" i="9"/>
  <c r="AJ9" i="9"/>
  <c r="AI9" i="9"/>
  <c r="AH9" i="9"/>
  <c r="AD9" i="9"/>
  <c r="AC9" i="9"/>
  <c r="AB9" i="9"/>
  <c r="Z9" i="9"/>
  <c r="AA9" i="9" s="1"/>
  <c r="V9" i="9"/>
  <c r="S9" i="9"/>
  <c r="Q9" i="9"/>
  <c r="P9" i="9"/>
  <c r="O9" i="9"/>
  <c r="N9" i="9"/>
  <c r="DN8" i="9"/>
  <c r="DL8" i="9"/>
  <c r="DK8" i="9"/>
  <c r="DJ8" i="9"/>
  <c r="DI8" i="9"/>
  <c r="BN8" i="9"/>
  <c r="BM8" i="9"/>
  <c r="AV8" i="9"/>
  <c r="AU8" i="9"/>
  <c r="AM8" i="9"/>
  <c r="AL8" i="9"/>
  <c r="AK8" i="9"/>
  <c r="AJ8" i="9"/>
  <c r="AI8" i="9"/>
  <c r="AH8" i="9"/>
  <c r="AD8" i="9"/>
  <c r="AC8" i="9"/>
  <c r="AB8" i="9"/>
  <c r="Z8" i="9"/>
  <c r="AA8" i="9" s="1"/>
  <c r="V8" i="9"/>
  <c r="S8" i="9"/>
  <c r="Q8" i="9"/>
  <c r="P8" i="9"/>
  <c r="O8" i="9"/>
  <c r="N8" i="9"/>
  <c r="DN7" i="9"/>
  <c r="DL7" i="9"/>
  <c r="DK7" i="9"/>
  <c r="DJ7" i="9"/>
  <c r="DI7" i="9"/>
  <c r="BY7" i="9"/>
  <c r="CC7" i="9" s="1"/>
  <c r="BV7" i="9"/>
  <c r="BN7" i="9"/>
  <c r="BM7" i="9"/>
  <c r="AV7" i="9"/>
  <c r="AU7" i="9"/>
  <c r="AM7" i="9"/>
  <c r="AL7" i="9"/>
  <c r="AK7" i="9"/>
  <c r="AJ7" i="9"/>
  <c r="AI7" i="9"/>
  <c r="AH7" i="9"/>
  <c r="AD7" i="9"/>
  <c r="AC7" i="9"/>
  <c r="AB7" i="9"/>
  <c r="Z7" i="9"/>
  <c r="AA7" i="9" s="1"/>
  <c r="V7" i="9"/>
  <c r="S7" i="9"/>
  <c r="Q7" i="9"/>
  <c r="P7" i="9"/>
  <c r="O7" i="9"/>
  <c r="N7" i="9"/>
  <c r="DN6" i="9"/>
  <c r="DL6" i="9"/>
  <c r="DK6" i="9"/>
  <c r="DJ6" i="9"/>
  <c r="DI6" i="9"/>
  <c r="BN6" i="9"/>
  <c r="BM74" i="9" s="1"/>
  <c r="BM6" i="9"/>
  <c r="BM75" i="9" s="1"/>
  <c r="AD6" i="9"/>
  <c r="AC6" i="9"/>
  <c r="AB6" i="9"/>
  <c r="Z6" i="9"/>
  <c r="AA6" i="9" s="1"/>
  <c r="V6" i="9"/>
  <c r="S6" i="9"/>
  <c r="Q6" i="9"/>
  <c r="P6" i="9"/>
  <c r="O6" i="9"/>
  <c r="N6" i="9"/>
  <c r="BV5" i="9"/>
  <c r="BV23" i="9" s="1"/>
  <c r="N168" i="8"/>
  <c r="E23" i="5" s="1"/>
  <c r="M168" i="8"/>
  <c r="L168" i="8"/>
  <c r="E21" i="5" s="1"/>
  <c r="K168" i="8"/>
  <c r="E19" i="5" s="1"/>
  <c r="J168" i="8"/>
  <c r="BZ19" i="8" s="1"/>
  <c r="I168" i="8"/>
  <c r="BZ17" i="8" s="1"/>
  <c r="H168" i="8"/>
  <c r="N166" i="8"/>
  <c r="E15" i="5" s="1"/>
  <c r="M166" i="8"/>
  <c r="E13" i="5" s="1"/>
  <c r="L166" i="8"/>
  <c r="E11" i="5" s="1"/>
  <c r="K166" i="8"/>
  <c r="E9" i="5" s="1"/>
  <c r="J166" i="8"/>
  <c r="E7" i="5" s="1"/>
  <c r="I166" i="8"/>
  <c r="BZ7" i="8" s="1"/>
  <c r="H166" i="8"/>
  <c r="BZ5" i="8" s="1"/>
  <c r="S165" i="8"/>
  <c r="Q165" i="8"/>
  <c r="P165" i="8"/>
  <c r="O165" i="8"/>
  <c r="N165" i="8"/>
  <c r="S164" i="8"/>
  <c r="Q164" i="8"/>
  <c r="P164" i="8"/>
  <c r="O164" i="8"/>
  <c r="N164" i="8"/>
  <c r="S163" i="8"/>
  <c r="Q163" i="8"/>
  <c r="P163" i="8"/>
  <c r="O163" i="8"/>
  <c r="N163" i="8"/>
  <c r="S162" i="8"/>
  <c r="Q162" i="8"/>
  <c r="P162" i="8"/>
  <c r="O162" i="8"/>
  <c r="N162" i="8"/>
  <c r="S161" i="8"/>
  <c r="Q161" i="8"/>
  <c r="P161" i="8"/>
  <c r="O161" i="8"/>
  <c r="N161" i="8"/>
  <c r="S160" i="8"/>
  <c r="Q160" i="8"/>
  <c r="P160" i="8"/>
  <c r="O160" i="8"/>
  <c r="N160" i="8"/>
  <c r="S159" i="8"/>
  <c r="Q159" i="8"/>
  <c r="P159" i="8"/>
  <c r="O159" i="8"/>
  <c r="N159" i="8"/>
  <c r="S158" i="8"/>
  <c r="Q158" i="8"/>
  <c r="P158" i="8"/>
  <c r="O158" i="8"/>
  <c r="N158" i="8"/>
  <c r="S157" i="8"/>
  <c r="Q157" i="8"/>
  <c r="P157" i="8"/>
  <c r="O157" i="8"/>
  <c r="N157" i="8"/>
  <c r="S156" i="8"/>
  <c r="Q156" i="8"/>
  <c r="P156" i="8"/>
  <c r="O156" i="8"/>
  <c r="N156" i="8"/>
  <c r="S155" i="8"/>
  <c r="Q155" i="8"/>
  <c r="P155" i="8"/>
  <c r="O155" i="8"/>
  <c r="N155" i="8"/>
  <c r="S154" i="8"/>
  <c r="Q154" i="8"/>
  <c r="P154" i="8"/>
  <c r="O154" i="8"/>
  <c r="N154" i="8"/>
  <c r="S153" i="8"/>
  <c r="Q153" i="8"/>
  <c r="P153" i="8"/>
  <c r="O153" i="8"/>
  <c r="N153" i="8"/>
  <c r="S152" i="8"/>
  <c r="Q152" i="8"/>
  <c r="P152" i="8"/>
  <c r="O152" i="8"/>
  <c r="N152" i="8"/>
  <c r="S151" i="8"/>
  <c r="Q151" i="8"/>
  <c r="P151" i="8"/>
  <c r="O151" i="8"/>
  <c r="N151" i="8"/>
  <c r="S150" i="8"/>
  <c r="Q150" i="8"/>
  <c r="P150" i="8"/>
  <c r="O150" i="8"/>
  <c r="N150" i="8"/>
  <c r="S149" i="8"/>
  <c r="Q149" i="8"/>
  <c r="P149" i="8"/>
  <c r="O149" i="8"/>
  <c r="N149" i="8"/>
  <c r="S148" i="8"/>
  <c r="Q148" i="8"/>
  <c r="P148" i="8"/>
  <c r="O148" i="8"/>
  <c r="N148" i="8"/>
  <c r="S147" i="8"/>
  <c r="Q147" i="8"/>
  <c r="P147" i="8"/>
  <c r="O147" i="8"/>
  <c r="N147" i="8"/>
  <c r="DN146" i="8"/>
  <c r="S146" i="8"/>
  <c r="Q146" i="8"/>
  <c r="P146" i="8"/>
  <c r="O146" i="8"/>
  <c r="N146" i="8"/>
  <c r="DN145" i="8"/>
  <c r="Y145" i="8"/>
  <c r="S145" i="8"/>
  <c r="Q145" i="8"/>
  <c r="P145" i="8"/>
  <c r="O145" i="8"/>
  <c r="N145" i="8"/>
  <c r="DN144" i="8"/>
  <c r="AD144" i="8"/>
  <c r="AC144" i="8"/>
  <c r="AB144" i="8"/>
  <c r="Z144" i="8"/>
  <c r="AA144" i="8" s="1"/>
  <c r="V144" i="8"/>
  <c r="S144" i="8"/>
  <c r="Q144" i="8"/>
  <c r="P144" i="8"/>
  <c r="O144" i="8"/>
  <c r="N144" i="8"/>
  <c r="DN143" i="8"/>
  <c r="AD143" i="8"/>
  <c r="AC143" i="8"/>
  <c r="AB143" i="8"/>
  <c r="Z143" i="8"/>
  <c r="AA143" i="8" s="1"/>
  <c r="V143" i="8"/>
  <c r="S143" i="8"/>
  <c r="Q143" i="8"/>
  <c r="P143" i="8"/>
  <c r="O143" i="8"/>
  <c r="N143" i="8"/>
  <c r="DN142" i="8"/>
  <c r="AD142" i="8"/>
  <c r="AC142" i="8"/>
  <c r="AB142" i="8"/>
  <c r="Z142" i="8"/>
  <c r="AA142" i="8" s="1"/>
  <c r="V142" i="8"/>
  <c r="S142" i="8"/>
  <c r="Q142" i="8"/>
  <c r="P142" i="8"/>
  <c r="O142" i="8"/>
  <c r="N142" i="8"/>
  <c r="DN141" i="8"/>
  <c r="AD141" i="8"/>
  <c r="AC141" i="8"/>
  <c r="AB141" i="8"/>
  <c r="Z141" i="8"/>
  <c r="AA141" i="8" s="1"/>
  <c r="V141" i="8"/>
  <c r="S141" i="8"/>
  <c r="Q141" i="8"/>
  <c r="P141" i="8"/>
  <c r="O141" i="8"/>
  <c r="N141" i="8"/>
  <c r="DN140" i="8"/>
  <c r="AD140" i="8"/>
  <c r="AC140" i="8"/>
  <c r="AB140" i="8"/>
  <c r="Z140" i="8"/>
  <c r="AA140" i="8" s="1"/>
  <c r="V140" i="8"/>
  <c r="S140" i="8"/>
  <c r="Q140" i="8"/>
  <c r="P140" i="8"/>
  <c r="O140" i="8"/>
  <c r="N140" i="8"/>
  <c r="DN139" i="8"/>
  <c r="AD139" i="8"/>
  <c r="AC139" i="8"/>
  <c r="AB139" i="8"/>
  <c r="Z139" i="8"/>
  <c r="AA139" i="8" s="1"/>
  <c r="V139" i="8"/>
  <c r="S139" i="8"/>
  <c r="Q139" i="8"/>
  <c r="P139" i="8"/>
  <c r="O139" i="8"/>
  <c r="N139" i="8"/>
  <c r="DN138" i="8"/>
  <c r="AD138" i="8"/>
  <c r="AC138" i="8"/>
  <c r="AB138" i="8"/>
  <c r="Z138" i="8"/>
  <c r="AA138" i="8" s="1"/>
  <c r="V138" i="8"/>
  <c r="S138" i="8"/>
  <c r="Q138" i="8"/>
  <c r="P138" i="8"/>
  <c r="O138" i="8"/>
  <c r="N138" i="8"/>
  <c r="AD137" i="8"/>
  <c r="AC137" i="8"/>
  <c r="AB137" i="8"/>
  <c r="Z137" i="8"/>
  <c r="AA137" i="8" s="1"/>
  <c r="V137" i="8"/>
  <c r="S137" i="8"/>
  <c r="Q137" i="8"/>
  <c r="P137" i="8"/>
  <c r="O137" i="8"/>
  <c r="N137" i="8"/>
  <c r="AD136" i="8"/>
  <c r="AC136" i="8"/>
  <c r="AB136" i="8"/>
  <c r="Z136" i="8"/>
  <c r="AA136" i="8" s="1"/>
  <c r="V136" i="8"/>
  <c r="S136" i="8"/>
  <c r="Q136" i="8"/>
  <c r="P136" i="8"/>
  <c r="O136" i="8"/>
  <c r="N136" i="8"/>
  <c r="AD135" i="8"/>
  <c r="AC135" i="8"/>
  <c r="AB135" i="8"/>
  <c r="Z135" i="8"/>
  <c r="AA135" i="8" s="1"/>
  <c r="V135" i="8"/>
  <c r="S135" i="8"/>
  <c r="Q135" i="8"/>
  <c r="P135" i="8"/>
  <c r="O135" i="8"/>
  <c r="N135" i="8"/>
  <c r="AD134" i="8"/>
  <c r="AC134" i="8"/>
  <c r="AB134" i="8"/>
  <c r="Z134" i="8"/>
  <c r="AA134" i="8" s="1"/>
  <c r="V134" i="8"/>
  <c r="S134" i="8"/>
  <c r="Q134" i="8"/>
  <c r="P134" i="8"/>
  <c r="O134" i="8"/>
  <c r="N134" i="8"/>
  <c r="DN133" i="8"/>
  <c r="AD133" i="8"/>
  <c r="AC133" i="8"/>
  <c r="AB133" i="8"/>
  <c r="Z133" i="8"/>
  <c r="AA133" i="8" s="1"/>
  <c r="V133" i="8"/>
  <c r="S133" i="8"/>
  <c r="Q133" i="8"/>
  <c r="P133" i="8"/>
  <c r="O133" i="8"/>
  <c r="N133" i="8"/>
  <c r="DN132" i="8"/>
  <c r="AD132" i="8"/>
  <c r="AC132" i="8"/>
  <c r="AB132" i="8"/>
  <c r="Z132" i="8"/>
  <c r="AA132" i="8" s="1"/>
  <c r="V132" i="8"/>
  <c r="S132" i="8"/>
  <c r="Q132" i="8"/>
  <c r="P132" i="8"/>
  <c r="O132" i="8"/>
  <c r="N132" i="8"/>
  <c r="DN131" i="8"/>
  <c r="AD131" i="8"/>
  <c r="AC131" i="8"/>
  <c r="AB131" i="8"/>
  <c r="Z131" i="8"/>
  <c r="AA131" i="8" s="1"/>
  <c r="V131" i="8"/>
  <c r="S131" i="8"/>
  <c r="Q131" i="8"/>
  <c r="P131" i="8"/>
  <c r="O131" i="8"/>
  <c r="N131" i="8"/>
  <c r="DN130" i="8"/>
  <c r="AD130" i="8"/>
  <c r="AC130" i="8"/>
  <c r="AB130" i="8"/>
  <c r="Z130" i="8"/>
  <c r="AA130" i="8" s="1"/>
  <c r="V130" i="8"/>
  <c r="S130" i="8"/>
  <c r="Q130" i="8"/>
  <c r="P130" i="8"/>
  <c r="O130" i="8"/>
  <c r="N130" i="8"/>
  <c r="DN129" i="8"/>
  <c r="AD129" i="8"/>
  <c r="AC129" i="8"/>
  <c r="AB129" i="8"/>
  <c r="Z129" i="8"/>
  <c r="AA129" i="8" s="1"/>
  <c r="V129" i="8"/>
  <c r="S129" i="8"/>
  <c r="Q129" i="8"/>
  <c r="P129" i="8"/>
  <c r="O129" i="8"/>
  <c r="N129" i="8"/>
  <c r="DN128" i="8"/>
  <c r="AD128" i="8"/>
  <c r="AC128" i="8"/>
  <c r="AB128" i="8"/>
  <c r="Z128" i="8"/>
  <c r="AA128" i="8" s="1"/>
  <c r="V128" i="8"/>
  <c r="S128" i="8"/>
  <c r="Q128" i="8"/>
  <c r="P128" i="8"/>
  <c r="O128" i="8"/>
  <c r="N128" i="8"/>
  <c r="DN127" i="8"/>
  <c r="AD127" i="8"/>
  <c r="AC127" i="8"/>
  <c r="AB127" i="8"/>
  <c r="Z127" i="8"/>
  <c r="AA127" i="8" s="1"/>
  <c r="V127" i="8"/>
  <c r="S127" i="8"/>
  <c r="Q127" i="8"/>
  <c r="P127" i="8"/>
  <c r="O127" i="8"/>
  <c r="N127" i="8"/>
  <c r="DN126" i="8"/>
  <c r="AD126" i="8"/>
  <c r="AC126" i="8"/>
  <c r="AB126" i="8"/>
  <c r="Z126" i="8"/>
  <c r="AA126" i="8" s="1"/>
  <c r="V126" i="8"/>
  <c r="S126" i="8"/>
  <c r="Q126" i="8"/>
  <c r="P126" i="8"/>
  <c r="O126" i="8"/>
  <c r="N126" i="8"/>
  <c r="DN125" i="8"/>
  <c r="AD125" i="8"/>
  <c r="AC125" i="8"/>
  <c r="AB125" i="8"/>
  <c r="Z125" i="8"/>
  <c r="AA125" i="8" s="1"/>
  <c r="V125" i="8"/>
  <c r="S125" i="8"/>
  <c r="Q125" i="8"/>
  <c r="P125" i="8"/>
  <c r="O125" i="8"/>
  <c r="N125" i="8"/>
  <c r="DN124" i="8"/>
  <c r="AD124" i="8"/>
  <c r="AC124" i="8"/>
  <c r="AB124" i="8"/>
  <c r="Z124" i="8"/>
  <c r="AA124" i="8" s="1"/>
  <c r="V124" i="8"/>
  <c r="S124" i="8"/>
  <c r="Q124" i="8"/>
  <c r="P124" i="8"/>
  <c r="O124" i="8"/>
  <c r="N124" i="8"/>
  <c r="DN123" i="8"/>
  <c r="AD123" i="8"/>
  <c r="AC123" i="8"/>
  <c r="AB123" i="8"/>
  <c r="Z123" i="8"/>
  <c r="AA123" i="8" s="1"/>
  <c r="V123" i="8"/>
  <c r="S123" i="8"/>
  <c r="Q123" i="8"/>
  <c r="P123" i="8"/>
  <c r="O123" i="8"/>
  <c r="N123" i="8"/>
  <c r="DN122" i="8"/>
  <c r="AD122" i="8"/>
  <c r="AC122" i="8"/>
  <c r="AB122" i="8"/>
  <c r="Z122" i="8"/>
  <c r="AA122" i="8" s="1"/>
  <c r="V122" i="8"/>
  <c r="S122" i="8"/>
  <c r="Q122" i="8"/>
  <c r="P122" i="8"/>
  <c r="O122" i="8"/>
  <c r="N122" i="8"/>
  <c r="DN121" i="8"/>
  <c r="AD121" i="8"/>
  <c r="AC121" i="8"/>
  <c r="AB121" i="8"/>
  <c r="Z121" i="8"/>
  <c r="AA121" i="8" s="1"/>
  <c r="V121" i="8"/>
  <c r="S121" i="8"/>
  <c r="Q121" i="8"/>
  <c r="P121" i="8"/>
  <c r="O121" i="8"/>
  <c r="N121" i="8"/>
  <c r="DN120" i="8"/>
  <c r="AD120" i="8"/>
  <c r="AC120" i="8"/>
  <c r="AB120" i="8"/>
  <c r="Z120" i="8"/>
  <c r="AA120" i="8" s="1"/>
  <c r="V120" i="8"/>
  <c r="S120" i="8"/>
  <c r="Q120" i="8"/>
  <c r="P120" i="8"/>
  <c r="O120" i="8"/>
  <c r="N120" i="8"/>
  <c r="DN119" i="8"/>
  <c r="AD119" i="8"/>
  <c r="AC119" i="8"/>
  <c r="AB119" i="8"/>
  <c r="Z119" i="8"/>
  <c r="AA119" i="8" s="1"/>
  <c r="V119" i="8"/>
  <c r="S119" i="8"/>
  <c r="Q119" i="8"/>
  <c r="P119" i="8"/>
  <c r="O119" i="8"/>
  <c r="N119" i="8"/>
  <c r="DN118" i="8"/>
  <c r="AD118" i="8"/>
  <c r="AC118" i="8"/>
  <c r="AB118" i="8"/>
  <c r="Z118" i="8"/>
  <c r="AA118" i="8" s="1"/>
  <c r="V118" i="8"/>
  <c r="S118" i="8"/>
  <c r="Q118" i="8"/>
  <c r="P118" i="8"/>
  <c r="O118" i="8"/>
  <c r="N118" i="8"/>
  <c r="DN117" i="8"/>
  <c r="AD117" i="8"/>
  <c r="AC117" i="8"/>
  <c r="AB117" i="8"/>
  <c r="Z117" i="8"/>
  <c r="AA117" i="8" s="1"/>
  <c r="V117" i="8"/>
  <c r="S117" i="8"/>
  <c r="Q117" i="8"/>
  <c r="P117" i="8"/>
  <c r="O117" i="8"/>
  <c r="N117" i="8"/>
  <c r="DN116" i="8"/>
  <c r="AD116" i="8"/>
  <c r="AC116" i="8"/>
  <c r="AB116" i="8"/>
  <c r="Z116" i="8"/>
  <c r="AA116" i="8" s="1"/>
  <c r="V116" i="8"/>
  <c r="S116" i="8"/>
  <c r="Q116" i="8"/>
  <c r="P116" i="8"/>
  <c r="O116" i="8"/>
  <c r="N116" i="8"/>
  <c r="DN115" i="8"/>
  <c r="AD115" i="8"/>
  <c r="AC115" i="8"/>
  <c r="AB115" i="8"/>
  <c r="Z115" i="8"/>
  <c r="AA115" i="8" s="1"/>
  <c r="V115" i="8"/>
  <c r="S115" i="8"/>
  <c r="Q115" i="8"/>
  <c r="P115" i="8"/>
  <c r="O115" i="8"/>
  <c r="N115" i="8"/>
  <c r="DN114" i="8"/>
  <c r="AD114" i="8"/>
  <c r="AC114" i="8"/>
  <c r="AB114" i="8"/>
  <c r="Z114" i="8"/>
  <c r="AA114" i="8" s="1"/>
  <c r="V114" i="8"/>
  <c r="S114" i="8"/>
  <c r="Q114" i="8"/>
  <c r="P114" i="8"/>
  <c r="O114" i="8"/>
  <c r="N114" i="8"/>
  <c r="DN113" i="8"/>
  <c r="AD113" i="8"/>
  <c r="AC113" i="8"/>
  <c r="AB113" i="8"/>
  <c r="Z113" i="8"/>
  <c r="AA113" i="8" s="1"/>
  <c r="V113" i="8"/>
  <c r="S113" i="8"/>
  <c r="Q113" i="8"/>
  <c r="P113" i="8"/>
  <c r="O113" i="8"/>
  <c r="N113" i="8"/>
  <c r="DN112" i="8"/>
  <c r="AD112" i="8"/>
  <c r="AC112" i="8"/>
  <c r="AB112" i="8"/>
  <c r="Z112" i="8"/>
  <c r="AA112" i="8" s="1"/>
  <c r="V112" i="8"/>
  <c r="S112" i="8"/>
  <c r="Q112" i="8"/>
  <c r="P112" i="8"/>
  <c r="O112" i="8"/>
  <c r="N112" i="8"/>
  <c r="DN111" i="8"/>
  <c r="AD111" i="8"/>
  <c r="AC111" i="8"/>
  <c r="AB111" i="8"/>
  <c r="Z111" i="8"/>
  <c r="AA111" i="8" s="1"/>
  <c r="V111" i="8"/>
  <c r="S111" i="8"/>
  <c r="Q111" i="8"/>
  <c r="P111" i="8"/>
  <c r="O111" i="8"/>
  <c r="N111" i="8"/>
  <c r="DN110" i="8"/>
  <c r="AD110" i="8"/>
  <c r="AC110" i="8"/>
  <c r="AB110" i="8"/>
  <c r="Z110" i="8"/>
  <c r="AA110" i="8" s="1"/>
  <c r="V110" i="8"/>
  <c r="S110" i="8"/>
  <c r="Q110" i="8"/>
  <c r="P110" i="8"/>
  <c r="O110" i="8"/>
  <c r="N110" i="8"/>
  <c r="DN109" i="8"/>
  <c r="AD109" i="8"/>
  <c r="AC109" i="8"/>
  <c r="AB109" i="8"/>
  <c r="Z109" i="8"/>
  <c r="AA109" i="8" s="1"/>
  <c r="V109" i="8"/>
  <c r="S109" i="8"/>
  <c r="Q109" i="8"/>
  <c r="P109" i="8"/>
  <c r="O109" i="8"/>
  <c r="N109" i="8"/>
  <c r="DN108" i="8"/>
  <c r="AD108" i="8"/>
  <c r="AC108" i="8"/>
  <c r="AB108" i="8"/>
  <c r="Z108" i="8"/>
  <c r="AA108" i="8" s="1"/>
  <c r="V108" i="8"/>
  <c r="S108" i="8"/>
  <c r="Q108" i="8"/>
  <c r="P108" i="8"/>
  <c r="O108" i="8"/>
  <c r="N108" i="8"/>
  <c r="DN107" i="8"/>
  <c r="AD107" i="8"/>
  <c r="AC107" i="8"/>
  <c r="AB107" i="8"/>
  <c r="Z107" i="8"/>
  <c r="AA107" i="8" s="1"/>
  <c r="V107" i="8"/>
  <c r="S107" i="8"/>
  <c r="Q107" i="8"/>
  <c r="P107" i="8"/>
  <c r="O107" i="8"/>
  <c r="N107" i="8"/>
  <c r="DN106" i="8"/>
  <c r="AD106" i="8"/>
  <c r="AC106" i="8"/>
  <c r="AB106" i="8"/>
  <c r="Z106" i="8"/>
  <c r="AA106" i="8" s="1"/>
  <c r="V106" i="8"/>
  <c r="S106" i="8"/>
  <c r="Q106" i="8"/>
  <c r="P106" i="8"/>
  <c r="O106" i="8"/>
  <c r="N106" i="8"/>
  <c r="DN105" i="8"/>
  <c r="AD105" i="8"/>
  <c r="AC105" i="8"/>
  <c r="AB105" i="8"/>
  <c r="Z105" i="8"/>
  <c r="AA105" i="8" s="1"/>
  <c r="V105" i="8"/>
  <c r="S105" i="8"/>
  <c r="Q105" i="8"/>
  <c r="P105" i="8"/>
  <c r="O105" i="8"/>
  <c r="N105" i="8"/>
  <c r="DN104" i="8"/>
  <c r="AD104" i="8"/>
  <c r="AC104" i="8"/>
  <c r="AB104" i="8"/>
  <c r="Z104" i="8"/>
  <c r="AA104" i="8" s="1"/>
  <c r="V104" i="8"/>
  <c r="S104" i="8"/>
  <c r="Q104" i="8"/>
  <c r="P104" i="8"/>
  <c r="O104" i="8"/>
  <c r="N104" i="8"/>
  <c r="DN103" i="8"/>
  <c r="AD103" i="8"/>
  <c r="AC103" i="8"/>
  <c r="AB103" i="8"/>
  <c r="Z103" i="8"/>
  <c r="AA103" i="8" s="1"/>
  <c r="V103" i="8"/>
  <c r="S103" i="8"/>
  <c r="Q103" i="8"/>
  <c r="P103" i="8"/>
  <c r="O103" i="8"/>
  <c r="N103" i="8"/>
  <c r="DN102" i="8"/>
  <c r="AD102" i="8"/>
  <c r="AC102" i="8"/>
  <c r="AB102" i="8"/>
  <c r="Z102" i="8"/>
  <c r="AA102" i="8" s="1"/>
  <c r="V102" i="8"/>
  <c r="S102" i="8"/>
  <c r="Q102" i="8"/>
  <c r="P102" i="8"/>
  <c r="O102" i="8"/>
  <c r="N102" i="8"/>
  <c r="DN101" i="8"/>
  <c r="AD101" i="8"/>
  <c r="AC101" i="8"/>
  <c r="AB101" i="8"/>
  <c r="Z101" i="8"/>
  <c r="AA101" i="8" s="1"/>
  <c r="V101" i="8"/>
  <c r="S101" i="8"/>
  <c r="Q101" i="8"/>
  <c r="P101" i="8"/>
  <c r="O101" i="8"/>
  <c r="N101" i="8"/>
  <c r="DN100" i="8"/>
  <c r="AD100" i="8"/>
  <c r="AC100" i="8"/>
  <c r="AB100" i="8"/>
  <c r="Z100" i="8"/>
  <c r="AA100" i="8" s="1"/>
  <c r="V100" i="8"/>
  <c r="S100" i="8"/>
  <c r="Q100" i="8"/>
  <c r="P100" i="8"/>
  <c r="O100" i="8"/>
  <c r="N100" i="8"/>
  <c r="DN99" i="8"/>
  <c r="AD99" i="8"/>
  <c r="AC99" i="8"/>
  <c r="AB99" i="8"/>
  <c r="Z99" i="8"/>
  <c r="AA99" i="8" s="1"/>
  <c r="V99" i="8"/>
  <c r="S99" i="8"/>
  <c r="Q99" i="8"/>
  <c r="P99" i="8"/>
  <c r="O99" i="8"/>
  <c r="N99" i="8"/>
  <c r="DN98" i="8"/>
  <c r="AD98" i="8"/>
  <c r="AC98" i="8"/>
  <c r="AB98" i="8"/>
  <c r="Z98" i="8"/>
  <c r="AA98" i="8" s="1"/>
  <c r="V98" i="8"/>
  <c r="S98" i="8"/>
  <c r="Q98" i="8"/>
  <c r="P98" i="8"/>
  <c r="O98" i="8"/>
  <c r="N98" i="8"/>
  <c r="DN97" i="8"/>
  <c r="AD97" i="8"/>
  <c r="AC97" i="8"/>
  <c r="AB97" i="8"/>
  <c r="Z97" i="8"/>
  <c r="AA97" i="8" s="1"/>
  <c r="V97" i="8"/>
  <c r="S97" i="8"/>
  <c r="Q97" i="8"/>
  <c r="P97" i="8"/>
  <c r="O97" i="8"/>
  <c r="N97" i="8"/>
  <c r="DN96" i="8"/>
  <c r="AD96" i="8"/>
  <c r="AC96" i="8"/>
  <c r="AB96" i="8"/>
  <c r="Z96" i="8"/>
  <c r="AA96" i="8" s="1"/>
  <c r="V96" i="8"/>
  <c r="S96" i="8"/>
  <c r="Q96" i="8"/>
  <c r="P96" i="8"/>
  <c r="O96" i="8"/>
  <c r="N96" i="8"/>
  <c r="DN95" i="8"/>
  <c r="AD95" i="8"/>
  <c r="AC95" i="8"/>
  <c r="AB95" i="8"/>
  <c r="Z95" i="8"/>
  <c r="AA95" i="8" s="1"/>
  <c r="V95" i="8"/>
  <c r="S95" i="8"/>
  <c r="Q95" i="8"/>
  <c r="P95" i="8"/>
  <c r="O95" i="8"/>
  <c r="N95" i="8"/>
  <c r="DN94" i="8"/>
  <c r="AD94" i="8"/>
  <c r="AC94" i="8"/>
  <c r="AB94" i="8"/>
  <c r="Z94" i="8"/>
  <c r="AA94" i="8" s="1"/>
  <c r="V94" i="8"/>
  <c r="S94" i="8"/>
  <c r="Q94" i="8"/>
  <c r="P94" i="8"/>
  <c r="O94" i="8"/>
  <c r="N94" i="8"/>
  <c r="DN93" i="8"/>
  <c r="AD93" i="8"/>
  <c r="AC93" i="8"/>
  <c r="AB93" i="8"/>
  <c r="Z93" i="8"/>
  <c r="AA93" i="8" s="1"/>
  <c r="V93" i="8"/>
  <c r="S93" i="8"/>
  <c r="Q93" i="8"/>
  <c r="P93" i="8"/>
  <c r="O93" i="8"/>
  <c r="N93" i="8"/>
  <c r="DN92" i="8"/>
  <c r="AD92" i="8"/>
  <c r="AC92" i="8"/>
  <c r="AB92" i="8"/>
  <c r="Z92" i="8"/>
  <c r="AA92" i="8" s="1"/>
  <c r="V92" i="8"/>
  <c r="S92" i="8"/>
  <c r="Q92" i="8"/>
  <c r="P92" i="8"/>
  <c r="O92" i="8"/>
  <c r="N92" i="8"/>
  <c r="DN91" i="8"/>
  <c r="AD91" i="8"/>
  <c r="AC91" i="8"/>
  <c r="AB91" i="8"/>
  <c r="Z91" i="8"/>
  <c r="AA91" i="8" s="1"/>
  <c r="V91" i="8"/>
  <c r="S91" i="8"/>
  <c r="Q91" i="8"/>
  <c r="P91" i="8"/>
  <c r="O91" i="8"/>
  <c r="N91" i="8"/>
  <c r="DN90" i="8"/>
  <c r="AD90" i="8"/>
  <c r="AC90" i="8"/>
  <c r="AB90" i="8"/>
  <c r="Z90" i="8"/>
  <c r="AA90" i="8" s="1"/>
  <c r="V90" i="8"/>
  <c r="S90" i="8"/>
  <c r="Q90" i="8"/>
  <c r="P90" i="8"/>
  <c r="O90" i="8"/>
  <c r="N90" i="8"/>
  <c r="DN89" i="8"/>
  <c r="AD89" i="8"/>
  <c r="AC89" i="8"/>
  <c r="AB89" i="8"/>
  <c r="Z89" i="8"/>
  <c r="AA89" i="8" s="1"/>
  <c r="V89" i="8"/>
  <c r="S89" i="8"/>
  <c r="Q89" i="8"/>
  <c r="P89" i="8"/>
  <c r="O89" i="8"/>
  <c r="N89" i="8"/>
  <c r="DN88" i="8"/>
  <c r="AD88" i="8"/>
  <c r="AC88" i="8"/>
  <c r="AB88" i="8"/>
  <c r="Z88" i="8"/>
  <c r="AA88" i="8" s="1"/>
  <c r="V88" i="8"/>
  <c r="S88" i="8"/>
  <c r="Q88" i="8"/>
  <c r="P88" i="8"/>
  <c r="O88" i="8"/>
  <c r="N88" i="8"/>
  <c r="DN87" i="8"/>
  <c r="AD87" i="8"/>
  <c r="AC87" i="8"/>
  <c r="AB87" i="8"/>
  <c r="Z87" i="8"/>
  <c r="AA87" i="8" s="1"/>
  <c r="V87" i="8"/>
  <c r="S87" i="8"/>
  <c r="Q87" i="8"/>
  <c r="P87" i="8"/>
  <c r="O87" i="8"/>
  <c r="N87" i="8"/>
  <c r="DN86" i="8"/>
  <c r="AD86" i="8"/>
  <c r="AC86" i="8"/>
  <c r="AB86" i="8"/>
  <c r="Z86" i="8"/>
  <c r="AA86" i="8" s="1"/>
  <c r="V86" i="8"/>
  <c r="S86" i="8"/>
  <c r="Q86" i="8"/>
  <c r="P86" i="8"/>
  <c r="O86" i="8"/>
  <c r="N86" i="8"/>
  <c r="DN85" i="8"/>
  <c r="AD85" i="8"/>
  <c r="AC85" i="8"/>
  <c r="AB85" i="8"/>
  <c r="Z85" i="8"/>
  <c r="AA85" i="8" s="1"/>
  <c r="V85" i="8"/>
  <c r="S85" i="8"/>
  <c r="Q85" i="8"/>
  <c r="P85" i="8"/>
  <c r="O85" i="8"/>
  <c r="N85" i="8"/>
  <c r="DN84" i="8"/>
  <c r="AD84" i="8"/>
  <c r="AC84" i="8"/>
  <c r="AB84" i="8"/>
  <c r="Z84" i="8"/>
  <c r="AA84" i="8" s="1"/>
  <c r="V84" i="8"/>
  <c r="S84" i="8"/>
  <c r="Q84" i="8"/>
  <c r="P84" i="8"/>
  <c r="O84" i="8"/>
  <c r="N84" i="8"/>
  <c r="DN83" i="8"/>
  <c r="AD83" i="8"/>
  <c r="AC83" i="8"/>
  <c r="AB83" i="8"/>
  <c r="Z83" i="8"/>
  <c r="AA83" i="8" s="1"/>
  <c r="V83" i="8"/>
  <c r="S83" i="8"/>
  <c r="Q83" i="8"/>
  <c r="P83" i="8"/>
  <c r="O83" i="8"/>
  <c r="N83" i="8"/>
  <c r="DN82" i="8"/>
  <c r="AD82" i="8"/>
  <c r="AC82" i="8"/>
  <c r="AB82" i="8"/>
  <c r="Z82" i="8"/>
  <c r="AA82" i="8" s="1"/>
  <c r="V82" i="8"/>
  <c r="S82" i="8"/>
  <c r="Q82" i="8"/>
  <c r="P82" i="8"/>
  <c r="O82" i="8"/>
  <c r="N82" i="8"/>
  <c r="DN81" i="8"/>
  <c r="AD81" i="8"/>
  <c r="AC81" i="8"/>
  <c r="AB81" i="8"/>
  <c r="Z81" i="8"/>
  <c r="AA81" i="8" s="1"/>
  <c r="V81" i="8"/>
  <c r="S81" i="8"/>
  <c r="Q81" i="8"/>
  <c r="P81" i="8"/>
  <c r="O81" i="8"/>
  <c r="N81" i="8"/>
  <c r="DN80" i="8"/>
  <c r="AD80" i="8"/>
  <c r="AC80" i="8"/>
  <c r="AB80" i="8"/>
  <c r="Z80" i="8"/>
  <c r="AA80" i="8" s="1"/>
  <c r="V80" i="8"/>
  <c r="S80" i="8"/>
  <c r="Q80" i="8"/>
  <c r="P80" i="8"/>
  <c r="O80" i="8"/>
  <c r="N80" i="8"/>
  <c r="DN79" i="8"/>
  <c r="AD79" i="8"/>
  <c r="AC79" i="8"/>
  <c r="AB79" i="8"/>
  <c r="Z79" i="8"/>
  <c r="AA79" i="8" s="1"/>
  <c r="V79" i="8"/>
  <c r="S79" i="8"/>
  <c r="Q79" i="8"/>
  <c r="P79" i="8"/>
  <c r="O79" i="8"/>
  <c r="N79" i="8"/>
  <c r="DN78" i="8"/>
  <c r="AD78" i="8"/>
  <c r="AC78" i="8"/>
  <c r="AB78" i="8"/>
  <c r="Z78" i="8"/>
  <c r="AA78" i="8" s="1"/>
  <c r="V78" i="8"/>
  <c r="S78" i="8"/>
  <c r="Q78" i="8"/>
  <c r="P78" i="8"/>
  <c r="O78" i="8"/>
  <c r="N78" i="8"/>
  <c r="DN77" i="8"/>
  <c r="AD77" i="8"/>
  <c r="AC77" i="8"/>
  <c r="AB77" i="8"/>
  <c r="Z77" i="8"/>
  <c r="AA77" i="8" s="1"/>
  <c r="V77" i="8"/>
  <c r="S77" i="8"/>
  <c r="Q77" i="8"/>
  <c r="P77" i="8"/>
  <c r="O77" i="8"/>
  <c r="N77" i="8"/>
  <c r="DN76" i="8"/>
  <c r="AD76" i="8"/>
  <c r="AC76" i="8"/>
  <c r="AB76" i="8"/>
  <c r="Z76" i="8"/>
  <c r="AA76" i="8" s="1"/>
  <c r="V76" i="8"/>
  <c r="S76" i="8"/>
  <c r="Q76" i="8"/>
  <c r="P76" i="8"/>
  <c r="O76" i="8"/>
  <c r="N76" i="8"/>
  <c r="DN75" i="8"/>
  <c r="AD75" i="8"/>
  <c r="AC75" i="8"/>
  <c r="AB75" i="8"/>
  <c r="Z75" i="8"/>
  <c r="AA75" i="8" s="1"/>
  <c r="V75" i="8"/>
  <c r="S75" i="8"/>
  <c r="Q75" i="8"/>
  <c r="P75" i="8"/>
  <c r="O75" i="8"/>
  <c r="N75" i="8"/>
  <c r="AD74" i="8"/>
  <c r="AC74" i="8"/>
  <c r="AB74" i="8"/>
  <c r="Z74" i="8"/>
  <c r="AA74" i="8" s="1"/>
  <c r="V74" i="8"/>
  <c r="S74" i="8"/>
  <c r="Q74" i="8"/>
  <c r="P74" i="8"/>
  <c r="O74" i="8"/>
  <c r="N74" i="8"/>
  <c r="BL73" i="8"/>
  <c r="AD73" i="8"/>
  <c r="AC73" i="8"/>
  <c r="AB73" i="8"/>
  <c r="Z73" i="8"/>
  <c r="AA73" i="8" s="1"/>
  <c r="V73" i="8"/>
  <c r="S73" i="8"/>
  <c r="Q73" i="8"/>
  <c r="P73" i="8"/>
  <c r="O73" i="8"/>
  <c r="N73" i="8"/>
  <c r="BK72" i="8"/>
  <c r="BY19" i="8" s="1"/>
  <c r="CC19" i="8" s="1"/>
  <c r="AD72" i="8"/>
  <c r="AC72" i="8"/>
  <c r="AB72" i="8"/>
  <c r="Z72" i="8"/>
  <c r="AA72" i="8" s="1"/>
  <c r="V72" i="8"/>
  <c r="S72" i="8"/>
  <c r="Q72" i="8"/>
  <c r="P72" i="8"/>
  <c r="O72" i="8"/>
  <c r="N72" i="8"/>
  <c r="BJ71" i="8"/>
  <c r="AD71" i="8"/>
  <c r="AC71" i="8"/>
  <c r="AB71" i="8"/>
  <c r="Z71" i="8"/>
  <c r="AA71" i="8" s="1"/>
  <c r="V71" i="8"/>
  <c r="S71" i="8"/>
  <c r="Q71" i="8"/>
  <c r="P71" i="8"/>
  <c r="O71" i="8"/>
  <c r="N71" i="8"/>
  <c r="DN70" i="8"/>
  <c r="BI70" i="8"/>
  <c r="AT70" i="8"/>
  <c r="AS70" i="8"/>
  <c r="AR70" i="8"/>
  <c r="AQ70" i="8"/>
  <c r="AP70" i="8"/>
  <c r="AO70" i="8"/>
  <c r="AD70" i="8"/>
  <c r="AC70" i="8"/>
  <c r="AB70" i="8"/>
  <c r="Z70" i="8"/>
  <c r="AA70" i="8" s="1"/>
  <c r="V70" i="8"/>
  <c r="S70" i="8"/>
  <c r="Q70" i="8"/>
  <c r="P70" i="8"/>
  <c r="O70" i="8"/>
  <c r="N70" i="8"/>
  <c r="DN69" i="8"/>
  <c r="BH69" i="8"/>
  <c r="AT69" i="8"/>
  <c r="AS69" i="8"/>
  <c r="AR69" i="8"/>
  <c r="AQ69" i="8"/>
  <c r="AP69" i="8"/>
  <c r="AO69" i="8"/>
  <c r="AD69" i="8"/>
  <c r="AC69" i="8"/>
  <c r="AB69" i="8"/>
  <c r="Z69" i="8"/>
  <c r="AA69" i="8" s="1"/>
  <c r="V69" i="8"/>
  <c r="S69" i="8"/>
  <c r="Q69" i="8"/>
  <c r="P69" i="8"/>
  <c r="O69" i="8"/>
  <c r="N69" i="8"/>
  <c r="DN68" i="8"/>
  <c r="BG68" i="8"/>
  <c r="AV68" i="8"/>
  <c r="AU68" i="8"/>
  <c r="AM68" i="8"/>
  <c r="AL68" i="8"/>
  <c r="AK68" i="8"/>
  <c r="AJ68" i="8"/>
  <c r="AI68" i="8"/>
  <c r="AH68" i="8"/>
  <c r="AD68" i="8"/>
  <c r="AC68" i="8"/>
  <c r="AB68" i="8"/>
  <c r="Z68" i="8"/>
  <c r="AA68" i="8" s="1"/>
  <c r="V68" i="8"/>
  <c r="S68" i="8"/>
  <c r="Q68" i="8"/>
  <c r="P68" i="8"/>
  <c r="O68" i="8"/>
  <c r="N68" i="8"/>
  <c r="DN67" i="8"/>
  <c r="BF67" i="8"/>
  <c r="BY9" i="8" s="1"/>
  <c r="CC9" i="8" s="1"/>
  <c r="AV67" i="8"/>
  <c r="AU67" i="8"/>
  <c r="AM67" i="8"/>
  <c r="AL67" i="8"/>
  <c r="AK67" i="8"/>
  <c r="AJ67" i="8"/>
  <c r="AI67" i="8"/>
  <c r="AH67" i="8"/>
  <c r="AD67" i="8"/>
  <c r="AC67" i="8"/>
  <c r="AB67" i="8"/>
  <c r="Z67" i="8"/>
  <c r="AA67" i="8" s="1"/>
  <c r="V67" i="8"/>
  <c r="S67" i="8"/>
  <c r="Q67" i="8"/>
  <c r="P67" i="8"/>
  <c r="O67" i="8"/>
  <c r="N67" i="8"/>
  <c r="DN66" i="8"/>
  <c r="BE66" i="8"/>
  <c r="AV66" i="8"/>
  <c r="AU66" i="8"/>
  <c r="AM66" i="8"/>
  <c r="AL66" i="8"/>
  <c r="AK66" i="8"/>
  <c r="AJ66" i="8"/>
  <c r="AI66" i="8"/>
  <c r="AH66" i="8"/>
  <c r="AD66" i="8"/>
  <c r="AC66" i="8"/>
  <c r="AB66" i="8"/>
  <c r="Z66" i="8"/>
  <c r="AA66" i="8" s="1"/>
  <c r="V66" i="8"/>
  <c r="S66" i="8"/>
  <c r="Q66" i="8"/>
  <c r="P66" i="8"/>
  <c r="O66" i="8"/>
  <c r="N66" i="8"/>
  <c r="DN65" i="8"/>
  <c r="BD65" i="8"/>
  <c r="AV65" i="8"/>
  <c r="AU65" i="8"/>
  <c r="AM65" i="8"/>
  <c r="AL65" i="8"/>
  <c r="AK65" i="8"/>
  <c r="AJ65" i="8"/>
  <c r="AI65" i="8"/>
  <c r="AH65" i="8"/>
  <c r="AD65" i="8"/>
  <c r="AC65" i="8"/>
  <c r="AB65" i="8"/>
  <c r="Z65" i="8"/>
  <c r="AA65" i="8" s="1"/>
  <c r="V65" i="8"/>
  <c r="S65" i="8"/>
  <c r="Q65" i="8"/>
  <c r="P65" i="8"/>
  <c r="O65" i="8"/>
  <c r="N65" i="8"/>
  <c r="DN64" i="8"/>
  <c r="BC64" i="8"/>
  <c r="AV64" i="8"/>
  <c r="AU64" i="8"/>
  <c r="AM64" i="8"/>
  <c r="AL64" i="8"/>
  <c r="AK64" i="8"/>
  <c r="AJ64" i="8"/>
  <c r="AI64" i="8"/>
  <c r="AH64" i="8"/>
  <c r="AD64" i="8"/>
  <c r="AC64" i="8"/>
  <c r="AB64" i="8"/>
  <c r="Z64" i="8"/>
  <c r="AA64" i="8" s="1"/>
  <c r="V64" i="8"/>
  <c r="S64" i="8"/>
  <c r="Q64" i="8"/>
  <c r="P64" i="8"/>
  <c r="O64" i="8"/>
  <c r="N64" i="8"/>
  <c r="DN63" i="8"/>
  <c r="BB63" i="8"/>
  <c r="AV63" i="8"/>
  <c r="AU63" i="8"/>
  <c r="AM63" i="8"/>
  <c r="AL63" i="8"/>
  <c r="AK63" i="8"/>
  <c r="AJ63" i="8"/>
  <c r="AI63" i="8"/>
  <c r="AH63" i="8"/>
  <c r="AD63" i="8"/>
  <c r="AC63" i="8"/>
  <c r="AB63" i="8"/>
  <c r="Z63" i="8"/>
  <c r="AA63" i="8" s="1"/>
  <c r="V63" i="8"/>
  <c r="S63" i="8"/>
  <c r="Q63" i="8"/>
  <c r="P63" i="8"/>
  <c r="O63" i="8"/>
  <c r="N63" i="8"/>
  <c r="DN62" i="8"/>
  <c r="BA62" i="8"/>
  <c r="AV62" i="8"/>
  <c r="AU62" i="8"/>
  <c r="AM62" i="8"/>
  <c r="AL62" i="8"/>
  <c r="AK62" i="8"/>
  <c r="AJ62" i="8"/>
  <c r="AI62" i="8"/>
  <c r="AH62" i="8"/>
  <c r="AD62" i="8"/>
  <c r="AC62" i="8"/>
  <c r="AB62" i="8"/>
  <c r="Z62" i="8"/>
  <c r="AA62" i="8" s="1"/>
  <c r="V62" i="8"/>
  <c r="S62" i="8"/>
  <c r="Q62" i="8"/>
  <c r="P62" i="8"/>
  <c r="O62" i="8"/>
  <c r="N62" i="8"/>
  <c r="DN61" i="8"/>
  <c r="BN61" i="8"/>
  <c r="BM61" i="8"/>
  <c r="AV61" i="8"/>
  <c r="AU61" i="8"/>
  <c r="AM61" i="8"/>
  <c r="AL61" i="8"/>
  <c r="AK61" i="8"/>
  <c r="AJ61" i="8"/>
  <c r="AI61" i="8"/>
  <c r="AH61" i="8"/>
  <c r="AD61" i="8"/>
  <c r="AC61" i="8"/>
  <c r="AB61" i="8"/>
  <c r="Z61" i="8"/>
  <c r="AA61" i="8" s="1"/>
  <c r="V61" i="8"/>
  <c r="S61" i="8"/>
  <c r="Q61" i="8"/>
  <c r="P61" i="8"/>
  <c r="O61" i="8"/>
  <c r="N61" i="8"/>
  <c r="DN60" i="8"/>
  <c r="BN60" i="8"/>
  <c r="BM60" i="8"/>
  <c r="AV60" i="8"/>
  <c r="AU60" i="8"/>
  <c r="AM60" i="8"/>
  <c r="AL60" i="8"/>
  <c r="AK60" i="8"/>
  <c r="AJ60" i="8"/>
  <c r="AI60" i="8"/>
  <c r="AH60" i="8"/>
  <c r="AD60" i="8"/>
  <c r="AC60" i="8"/>
  <c r="AB60" i="8"/>
  <c r="Z60" i="8"/>
  <c r="AA60" i="8" s="1"/>
  <c r="V60" i="8"/>
  <c r="S60" i="8"/>
  <c r="Q60" i="8"/>
  <c r="P60" i="8"/>
  <c r="O60" i="8"/>
  <c r="N60" i="8"/>
  <c r="DN59" i="8"/>
  <c r="BN59" i="8"/>
  <c r="BM59" i="8"/>
  <c r="AV59" i="8"/>
  <c r="AU59" i="8"/>
  <c r="AM59" i="8"/>
  <c r="AL59" i="8"/>
  <c r="AK59" i="8"/>
  <c r="AJ59" i="8"/>
  <c r="AI59" i="8"/>
  <c r="AH59" i="8"/>
  <c r="AD59" i="8"/>
  <c r="AC59" i="8"/>
  <c r="AB59" i="8"/>
  <c r="Z59" i="8"/>
  <c r="AA59" i="8" s="1"/>
  <c r="V59" i="8"/>
  <c r="S59" i="8"/>
  <c r="Q59" i="8"/>
  <c r="P59" i="8"/>
  <c r="O59" i="8"/>
  <c r="N59" i="8"/>
  <c r="DN58" i="8"/>
  <c r="BN58" i="8"/>
  <c r="BM58" i="8"/>
  <c r="AV58" i="8"/>
  <c r="AU58" i="8"/>
  <c r="AM58" i="8"/>
  <c r="AL58" i="8"/>
  <c r="AK58" i="8"/>
  <c r="AJ58" i="8"/>
  <c r="AI58" i="8"/>
  <c r="AH58" i="8"/>
  <c r="AD58" i="8"/>
  <c r="AC58" i="8"/>
  <c r="AB58" i="8"/>
  <c r="Z58" i="8"/>
  <c r="AA58" i="8" s="1"/>
  <c r="V58" i="8"/>
  <c r="S58" i="8"/>
  <c r="Q58" i="8"/>
  <c r="P58" i="8"/>
  <c r="O58" i="8"/>
  <c r="N58" i="8"/>
  <c r="DN57" i="8"/>
  <c r="BN57" i="8"/>
  <c r="BM57" i="8"/>
  <c r="AV57" i="8"/>
  <c r="AU57" i="8"/>
  <c r="AM57" i="8"/>
  <c r="AL57" i="8"/>
  <c r="AK57" i="8"/>
  <c r="AJ57" i="8"/>
  <c r="AI57" i="8"/>
  <c r="AH57" i="8"/>
  <c r="AD57" i="8"/>
  <c r="AC57" i="8"/>
  <c r="AB57" i="8"/>
  <c r="Z57" i="8"/>
  <c r="AA57" i="8" s="1"/>
  <c r="V57" i="8"/>
  <c r="S57" i="8"/>
  <c r="Q57" i="8"/>
  <c r="P57" i="8"/>
  <c r="O57" i="8"/>
  <c r="N57" i="8"/>
  <c r="DN56" i="8"/>
  <c r="BN56" i="8"/>
  <c r="BM56" i="8"/>
  <c r="AV56" i="8"/>
  <c r="AU56" i="8"/>
  <c r="AM56" i="8"/>
  <c r="AL56" i="8"/>
  <c r="AK56" i="8"/>
  <c r="AJ56" i="8"/>
  <c r="AI56" i="8"/>
  <c r="AH56" i="8"/>
  <c r="AD56" i="8"/>
  <c r="AC56" i="8"/>
  <c r="AB56" i="8"/>
  <c r="Z56" i="8"/>
  <c r="AA56" i="8" s="1"/>
  <c r="V56" i="8"/>
  <c r="S56" i="8"/>
  <c r="Q56" i="8"/>
  <c r="P56" i="8"/>
  <c r="O56" i="8"/>
  <c r="N56" i="8"/>
  <c r="DN55" i="8"/>
  <c r="BN55" i="8"/>
  <c r="BM55" i="8"/>
  <c r="AV55" i="8"/>
  <c r="AU55" i="8"/>
  <c r="AM55" i="8"/>
  <c r="AL55" i="8"/>
  <c r="AK55" i="8"/>
  <c r="AJ55" i="8"/>
  <c r="AI55" i="8"/>
  <c r="AH55" i="8"/>
  <c r="AD55" i="8"/>
  <c r="AC55" i="8"/>
  <c r="AB55" i="8"/>
  <c r="Z55" i="8"/>
  <c r="AA55" i="8" s="1"/>
  <c r="V55" i="8"/>
  <c r="S55" i="8"/>
  <c r="Q55" i="8"/>
  <c r="P55" i="8"/>
  <c r="O55" i="8"/>
  <c r="N55" i="8"/>
  <c r="DN54" i="8"/>
  <c r="BN54" i="8"/>
  <c r="BM54" i="8"/>
  <c r="AV54" i="8"/>
  <c r="AU54" i="8"/>
  <c r="AM54" i="8"/>
  <c r="AL54" i="8"/>
  <c r="AK54" i="8"/>
  <c r="AJ54" i="8"/>
  <c r="AI54" i="8"/>
  <c r="AH54" i="8"/>
  <c r="AD54" i="8"/>
  <c r="AC54" i="8"/>
  <c r="AB54" i="8"/>
  <c r="Z54" i="8"/>
  <c r="AA54" i="8" s="1"/>
  <c r="V54" i="8"/>
  <c r="S54" i="8"/>
  <c r="Q54" i="8"/>
  <c r="P54" i="8"/>
  <c r="O54" i="8"/>
  <c r="N54" i="8"/>
  <c r="DN53" i="8"/>
  <c r="BN53" i="8"/>
  <c r="BM53" i="8"/>
  <c r="AV53" i="8"/>
  <c r="AU53" i="8"/>
  <c r="AM53" i="8"/>
  <c r="AL53" i="8"/>
  <c r="AK53" i="8"/>
  <c r="AJ53" i="8"/>
  <c r="AI53" i="8"/>
  <c r="AH53" i="8"/>
  <c r="AD53" i="8"/>
  <c r="AC53" i="8"/>
  <c r="AB53" i="8"/>
  <c r="Z53" i="8"/>
  <c r="AA53" i="8" s="1"/>
  <c r="V53" i="8"/>
  <c r="S53" i="8"/>
  <c r="Q53" i="8"/>
  <c r="P53" i="8"/>
  <c r="O53" i="8"/>
  <c r="N53" i="8"/>
  <c r="DN52" i="8"/>
  <c r="BN52" i="8"/>
  <c r="BM52" i="8"/>
  <c r="AV52" i="8"/>
  <c r="AU52" i="8"/>
  <c r="AM52" i="8"/>
  <c r="AL52" i="8"/>
  <c r="AK52" i="8"/>
  <c r="AJ52" i="8"/>
  <c r="AI52" i="8"/>
  <c r="AH52" i="8"/>
  <c r="AD52" i="8"/>
  <c r="AC52" i="8"/>
  <c r="AB52" i="8"/>
  <c r="Z52" i="8"/>
  <c r="AA52" i="8" s="1"/>
  <c r="V52" i="8"/>
  <c r="S52" i="8"/>
  <c r="Q52" i="8"/>
  <c r="P52" i="8"/>
  <c r="O52" i="8"/>
  <c r="N52" i="8"/>
  <c r="DN51" i="8"/>
  <c r="BN51" i="8"/>
  <c r="BM51" i="8"/>
  <c r="AV51" i="8"/>
  <c r="AU51" i="8"/>
  <c r="AM51" i="8"/>
  <c r="AL51" i="8"/>
  <c r="AK51" i="8"/>
  <c r="AJ51" i="8"/>
  <c r="AI51" i="8"/>
  <c r="AH51" i="8"/>
  <c r="AD51" i="8"/>
  <c r="AC51" i="8"/>
  <c r="AB51" i="8"/>
  <c r="Z51" i="8"/>
  <c r="AA51" i="8" s="1"/>
  <c r="V51" i="8"/>
  <c r="S51" i="8"/>
  <c r="Q51" i="8"/>
  <c r="P51" i="8"/>
  <c r="O51" i="8"/>
  <c r="N51" i="8"/>
  <c r="DN50" i="8"/>
  <c r="BN50" i="8"/>
  <c r="BM50" i="8"/>
  <c r="AV50" i="8"/>
  <c r="AU50" i="8"/>
  <c r="AM50" i="8"/>
  <c r="AL50" i="8"/>
  <c r="AK50" i="8"/>
  <c r="AJ50" i="8"/>
  <c r="AI50" i="8"/>
  <c r="AH50" i="8"/>
  <c r="AD50" i="8"/>
  <c r="AC50" i="8"/>
  <c r="AB50" i="8"/>
  <c r="Z50" i="8"/>
  <c r="AA50" i="8" s="1"/>
  <c r="V50" i="8"/>
  <c r="S50" i="8"/>
  <c r="Q50" i="8"/>
  <c r="P50" i="8"/>
  <c r="O50" i="8"/>
  <c r="N50" i="8"/>
  <c r="DN49" i="8"/>
  <c r="BN49" i="8"/>
  <c r="BM49" i="8"/>
  <c r="AV49" i="8"/>
  <c r="AU49" i="8"/>
  <c r="AM49" i="8"/>
  <c r="AL49" i="8"/>
  <c r="AK49" i="8"/>
  <c r="AJ49" i="8"/>
  <c r="AI49" i="8"/>
  <c r="AH49" i="8"/>
  <c r="AD49" i="8"/>
  <c r="AC49" i="8"/>
  <c r="AB49" i="8"/>
  <c r="Z49" i="8"/>
  <c r="AA49" i="8" s="1"/>
  <c r="V49" i="8"/>
  <c r="S49" i="8"/>
  <c r="Q49" i="8"/>
  <c r="P49" i="8"/>
  <c r="O49" i="8"/>
  <c r="N49" i="8"/>
  <c r="DN48" i="8"/>
  <c r="BN48" i="8"/>
  <c r="BM48" i="8"/>
  <c r="AV48" i="8"/>
  <c r="AU48" i="8"/>
  <c r="AM48" i="8"/>
  <c r="AL48" i="8"/>
  <c r="AK48" i="8"/>
  <c r="AJ48" i="8"/>
  <c r="AI48" i="8"/>
  <c r="AH48" i="8"/>
  <c r="AD48" i="8"/>
  <c r="AC48" i="8"/>
  <c r="AB48" i="8"/>
  <c r="Z48" i="8"/>
  <c r="AA48" i="8" s="1"/>
  <c r="V48" i="8"/>
  <c r="S48" i="8"/>
  <c r="Q48" i="8"/>
  <c r="P48" i="8"/>
  <c r="O48" i="8"/>
  <c r="N48" i="8"/>
  <c r="DN47" i="8"/>
  <c r="BN47" i="8"/>
  <c r="BM47" i="8"/>
  <c r="AV47" i="8"/>
  <c r="AU47" i="8"/>
  <c r="AM47" i="8"/>
  <c r="AL47" i="8"/>
  <c r="AK47" i="8"/>
  <c r="AJ47" i="8"/>
  <c r="AI47" i="8"/>
  <c r="AH47" i="8"/>
  <c r="AD47" i="8"/>
  <c r="AC47" i="8"/>
  <c r="AB47" i="8"/>
  <c r="Z47" i="8"/>
  <c r="AA47" i="8" s="1"/>
  <c r="V47" i="8"/>
  <c r="S47" i="8"/>
  <c r="Q47" i="8"/>
  <c r="P47" i="8"/>
  <c r="O47" i="8"/>
  <c r="N47" i="8"/>
  <c r="DN46" i="8"/>
  <c r="BN46" i="8"/>
  <c r="BM46" i="8"/>
  <c r="AV46" i="8"/>
  <c r="AU46" i="8"/>
  <c r="AM46" i="8"/>
  <c r="AL46" i="8"/>
  <c r="AK46" i="8"/>
  <c r="AJ46" i="8"/>
  <c r="AI46" i="8"/>
  <c r="AH46" i="8"/>
  <c r="AD46" i="8"/>
  <c r="AC46" i="8"/>
  <c r="AB46" i="8"/>
  <c r="Z46" i="8"/>
  <c r="AA46" i="8" s="1"/>
  <c r="V46" i="8"/>
  <c r="S46" i="8"/>
  <c r="Q46" i="8"/>
  <c r="P46" i="8"/>
  <c r="O46" i="8"/>
  <c r="N46" i="8"/>
  <c r="DN45" i="8"/>
  <c r="BN45" i="8"/>
  <c r="BM45" i="8"/>
  <c r="AV45" i="8"/>
  <c r="AU45" i="8"/>
  <c r="AM45" i="8"/>
  <c r="AL45" i="8"/>
  <c r="AK45" i="8"/>
  <c r="AJ45" i="8"/>
  <c r="AI45" i="8"/>
  <c r="AH45" i="8"/>
  <c r="AD45" i="8"/>
  <c r="AC45" i="8"/>
  <c r="AB45" i="8"/>
  <c r="Z45" i="8"/>
  <c r="AA45" i="8" s="1"/>
  <c r="V45" i="8"/>
  <c r="S45" i="8"/>
  <c r="Q45" i="8"/>
  <c r="P45" i="8"/>
  <c r="O45" i="8"/>
  <c r="N45" i="8"/>
  <c r="DN44" i="8"/>
  <c r="BN44" i="8"/>
  <c r="BM44" i="8"/>
  <c r="AV44" i="8"/>
  <c r="AU44" i="8"/>
  <c r="AM44" i="8"/>
  <c r="AL44" i="8"/>
  <c r="AK44" i="8"/>
  <c r="AJ44" i="8"/>
  <c r="AI44" i="8"/>
  <c r="AH44" i="8"/>
  <c r="AD44" i="8"/>
  <c r="AC44" i="8"/>
  <c r="AB44" i="8"/>
  <c r="Z44" i="8"/>
  <c r="AA44" i="8" s="1"/>
  <c r="V44" i="8"/>
  <c r="S44" i="8"/>
  <c r="Q44" i="8"/>
  <c r="P44" i="8"/>
  <c r="O44" i="8"/>
  <c r="N44" i="8"/>
  <c r="DN43" i="8"/>
  <c r="BN43" i="8"/>
  <c r="BM43" i="8"/>
  <c r="AV43" i="8"/>
  <c r="AU43" i="8"/>
  <c r="AM43" i="8"/>
  <c r="AL43" i="8"/>
  <c r="AK43" i="8"/>
  <c r="AJ43" i="8"/>
  <c r="AI43" i="8"/>
  <c r="AH43" i="8"/>
  <c r="AD43" i="8"/>
  <c r="AC43" i="8"/>
  <c r="AB43" i="8"/>
  <c r="Z43" i="8"/>
  <c r="AA43" i="8" s="1"/>
  <c r="V43" i="8"/>
  <c r="S43" i="8"/>
  <c r="Q43" i="8"/>
  <c r="P43" i="8"/>
  <c r="O43" i="8"/>
  <c r="N43" i="8"/>
  <c r="DN42" i="8"/>
  <c r="BN42" i="8"/>
  <c r="BM42" i="8"/>
  <c r="AV42" i="8"/>
  <c r="AU42" i="8"/>
  <c r="AM42" i="8"/>
  <c r="AL42" i="8"/>
  <c r="AK42" i="8"/>
  <c r="AJ42" i="8"/>
  <c r="AI42" i="8"/>
  <c r="AH42" i="8"/>
  <c r="AD42" i="8"/>
  <c r="AC42" i="8"/>
  <c r="AB42" i="8"/>
  <c r="Z42" i="8"/>
  <c r="AA42" i="8" s="1"/>
  <c r="V42" i="8"/>
  <c r="S42" i="8"/>
  <c r="Q42" i="8"/>
  <c r="P42" i="8"/>
  <c r="O42" i="8"/>
  <c r="N42" i="8"/>
  <c r="DX41" i="8"/>
  <c r="DN41" i="8"/>
  <c r="BN41" i="8"/>
  <c r="BM41" i="8"/>
  <c r="AV41" i="8"/>
  <c r="AU41" i="8"/>
  <c r="AM41" i="8"/>
  <c r="AL41" i="8"/>
  <c r="AK41" i="8"/>
  <c r="AJ41" i="8"/>
  <c r="AI41" i="8"/>
  <c r="AH41" i="8"/>
  <c r="AD41" i="8"/>
  <c r="AC41" i="8"/>
  <c r="AB41" i="8"/>
  <c r="Z41" i="8"/>
  <c r="AA41" i="8" s="1"/>
  <c r="V41" i="8"/>
  <c r="S41" i="8"/>
  <c r="Q41" i="8"/>
  <c r="P41" i="8"/>
  <c r="O41" i="8"/>
  <c r="N41" i="8"/>
  <c r="DW40" i="8"/>
  <c r="DN40" i="8"/>
  <c r="BN40" i="8"/>
  <c r="BM40" i="8"/>
  <c r="AV40" i="8"/>
  <c r="AU40" i="8"/>
  <c r="AM40" i="8"/>
  <c r="AL40" i="8"/>
  <c r="AK40" i="8"/>
  <c r="AJ40" i="8"/>
  <c r="AI40" i="8"/>
  <c r="AH40" i="8"/>
  <c r="AD40" i="8"/>
  <c r="AC40" i="8"/>
  <c r="AB40" i="8"/>
  <c r="Z40" i="8"/>
  <c r="AA40" i="8" s="1"/>
  <c r="V40" i="8"/>
  <c r="S40" i="8"/>
  <c r="Q40" i="8"/>
  <c r="P40" i="8"/>
  <c r="O40" i="8"/>
  <c r="N40" i="8"/>
  <c r="DV39" i="8"/>
  <c r="DN39" i="8"/>
  <c r="BN39" i="8"/>
  <c r="BM39" i="8"/>
  <c r="AV39" i="8"/>
  <c r="AU39" i="8"/>
  <c r="AM39" i="8"/>
  <c r="AL39" i="8"/>
  <c r="AK39" i="8"/>
  <c r="AJ39" i="8"/>
  <c r="AI39" i="8"/>
  <c r="AH39" i="8"/>
  <c r="AD39" i="8"/>
  <c r="AC39" i="8"/>
  <c r="AB39" i="8"/>
  <c r="Z39" i="8"/>
  <c r="AA39" i="8" s="1"/>
  <c r="V39" i="8"/>
  <c r="S39" i="8"/>
  <c r="Q39" i="8"/>
  <c r="P39" i="8"/>
  <c r="O39" i="8"/>
  <c r="N39" i="8"/>
  <c r="DV38" i="8"/>
  <c r="DN38" i="8"/>
  <c r="BN38" i="8"/>
  <c r="BM38" i="8"/>
  <c r="AV38" i="8"/>
  <c r="AU38" i="8"/>
  <c r="AM38" i="8"/>
  <c r="AL38" i="8"/>
  <c r="AK38" i="8"/>
  <c r="AJ38" i="8"/>
  <c r="AI38" i="8"/>
  <c r="AH38" i="8"/>
  <c r="AD38" i="8"/>
  <c r="AC38" i="8"/>
  <c r="AB38" i="8"/>
  <c r="Z38" i="8"/>
  <c r="AA38" i="8" s="1"/>
  <c r="V38" i="8"/>
  <c r="S38" i="8"/>
  <c r="Q38" i="8"/>
  <c r="P38" i="8"/>
  <c r="O38" i="8"/>
  <c r="N38" i="8"/>
  <c r="DU37" i="8"/>
  <c r="DN37" i="8"/>
  <c r="BN37" i="8"/>
  <c r="BM37" i="8"/>
  <c r="AV37" i="8"/>
  <c r="AU37" i="8"/>
  <c r="AM37" i="8"/>
  <c r="AL37" i="8"/>
  <c r="AK37" i="8"/>
  <c r="AJ37" i="8"/>
  <c r="AI37" i="8"/>
  <c r="AH37" i="8"/>
  <c r="AD37" i="8"/>
  <c r="AC37" i="8"/>
  <c r="AB37" i="8"/>
  <c r="Z37" i="8"/>
  <c r="AA37" i="8" s="1"/>
  <c r="V37" i="8"/>
  <c r="S37" i="8"/>
  <c r="Q37" i="8"/>
  <c r="P37" i="8"/>
  <c r="O37" i="8"/>
  <c r="N37" i="8"/>
  <c r="DN36" i="8"/>
  <c r="BN36" i="8"/>
  <c r="BM36" i="8"/>
  <c r="AV36" i="8"/>
  <c r="AU36" i="8"/>
  <c r="AM36" i="8"/>
  <c r="AL36" i="8"/>
  <c r="AK36" i="8"/>
  <c r="AJ36" i="8"/>
  <c r="AI36" i="8"/>
  <c r="AH36" i="8"/>
  <c r="AD36" i="8"/>
  <c r="AC36" i="8"/>
  <c r="AB36" i="8"/>
  <c r="Z36" i="8"/>
  <c r="AA36" i="8" s="1"/>
  <c r="V36" i="8"/>
  <c r="S36" i="8"/>
  <c r="Q36" i="8"/>
  <c r="P36" i="8"/>
  <c r="O36" i="8"/>
  <c r="N36" i="8"/>
  <c r="DN35" i="8"/>
  <c r="BN35" i="8"/>
  <c r="BM35" i="8"/>
  <c r="AV35" i="8"/>
  <c r="AU35" i="8"/>
  <c r="AM35" i="8"/>
  <c r="AL35" i="8"/>
  <c r="AK35" i="8"/>
  <c r="AJ35" i="8"/>
  <c r="AI35" i="8"/>
  <c r="AH35" i="8"/>
  <c r="AD35" i="8"/>
  <c r="AC35" i="8"/>
  <c r="AB35" i="8"/>
  <c r="Z35" i="8"/>
  <c r="AA35" i="8" s="1"/>
  <c r="V35" i="8"/>
  <c r="S35" i="8"/>
  <c r="Q35" i="8"/>
  <c r="P35" i="8"/>
  <c r="O35" i="8"/>
  <c r="N35" i="8"/>
  <c r="BN34" i="8"/>
  <c r="BM34" i="8"/>
  <c r="AV34" i="8"/>
  <c r="AU34" i="8"/>
  <c r="AM34" i="8"/>
  <c r="AL34" i="8"/>
  <c r="AK34" i="8"/>
  <c r="AJ34" i="8"/>
  <c r="AI34" i="8"/>
  <c r="AH34" i="8"/>
  <c r="AD34" i="8"/>
  <c r="AC34" i="8"/>
  <c r="AB34" i="8"/>
  <c r="Z34" i="8"/>
  <c r="AA34" i="8" s="1"/>
  <c r="V34" i="8"/>
  <c r="S34" i="8"/>
  <c r="Q34" i="8"/>
  <c r="P34" i="8"/>
  <c r="O34" i="8"/>
  <c r="N34" i="8"/>
  <c r="BN33" i="8"/>
  <c r="BM33" i="8"/>
  <c r="AV33" i="8"/>
  <c r="AU33" i="8"/>
  <c r="AM33" i="8"/>
  <c r="AL33" i="8"/>
  <c r="AK33" i="8"/>
  <c r="AJ33" i="8"/>
  <c r="AI33" i="8"/>
  <c r="AH33" i="8"/>
  <c r="AD33" i="8"/>
  <c r="AC33" i="8"/>
  <c r="AB33" i="8"/>
  <c r="Z33" i="8"/>
  <c r="AA33" i="8" s="1"/>
  <c r="V33" i="8"/>
  <c r="S33" i="8"/>
  <c r="Q33" i="8"/>
  <c r="P33" i="8"/>
  <c r="O33" i="8"/>
  <c r="N33" i="8"/>
  <c r="DI32" i="8"/>
  <c r="DH32" i="8"/>
  <c r="DG32" i="8"/>
  <c r="DF32" i="8"/>
  <c r="DE32" i="8"/>
  <c r="DD32" i="8"/>
  <c r="DC32" i="8"/>
  <c r="BN32" i="8"/>
  <c r="BM32" i="8"/>
  <c r="AV32" i="8"/>
  <c r="AU32" i="8"/>
  <c r="AM32" i="8"/>
  <c r="AL32" i="8"/>
  <c r="AK32" i="8"/>
  <c r="AJ32" i="8"/>
  <c r="AI32" i="8"/>
  <c r="AH32" i="8"/>
  <c r="AD32" i="8"/>
  <c r="AC32" i="8"/>
  <c r="AB32" i="8"/>
  <c r="Z32" i="8"/>
  <c r="AA32" i="8" s="1"/>
  <c r="V32" i="8"/>
  <c r="S32" i="8"/>
  <c r="Q32" i="8"/>
  <c r="P32" i="8"/>
  <c r="O32" i="8"/>
  <c r="N32" i="8"/>
  <c r="BN31" i="8"/>
  <c r="BM31" i="8"/>
  <c r="AV31" i="8"/>
  <c r="AU31" i="8"/>
  <c r="AM31" i="8"/>
  <c r="AL31" i="8"/>
  <c r="AK31" i="8"/>
  <c r="AJ31" i="8"/>
  <c r="AI31" i="8"/>
  <c r="AH31" i="8"/>
  <c r="AD31" i="8"/>
  <c r="AC31" i="8"/>
  <c r="AB31" i="8"/>
  <c r="Z31" i="8"/>
  <c r="AA31" i="8" s="1"/>
  <c r="V31" i="8"/>
  <c r="S31" i="8"/>
  <c r="Q31" i="8"/>
  <c r="P31" i="8"/>
  <c r="O31" i="8"/>
  <c r="N31" i="8"/>
  <c r="DI30" i="8"/>
  <c r="DH30" i="8"/>
  <c r="DG30" i="8"/>
  <c r="DF30" i="8"/>
  <c r="DE30" i="8"/>
  <c r="DD30" i="8"/>
  <c r="DC30" i="8"/>
  <c r="BN30" i="8"/>
  <c r="BM30" i="8"/>
  <c r="AV30" i="8"/>
  <c r="AU30" i="8"/>
  <c r="AM30" i="8"/>
  <c r="AL30" i="8"/>
  <c r="AK30" i="8"/>
  <c r="AJ30" i="8"/>
  <c r="AI30" i="8"/>
  <c r="AH30" i="8"/>
  <c r="AD30" i="8"/>
  <c r="AC30" i="8"/>
  <c r="AB30" i="8"/>
  <c r="Z30" i="8"/>
  <c r="AA30" i="8" s="1"/>
  <c r="V30" i="8"/>
  <c r="S30" i="8"/>
  <c r="Q30" i="8"/>
  <c r="P30" i="8"/>
  <c r="O30" i="8"/>
  <c r="N30" i="8"/>
  <c r="DL29" i="8"/>
  <c r="DK29" i="8"/>
  <c r="DJ29" i="8"/>
  <c r="DI29" i="8"/>
  <c r="BN29" i="8"/>
  <c r="BM29" i="8"/>
  <c r="AV29" i="8"/>
  <c r="AU29" i="8"/>
  <c r="AM29" i="8"/>
  <c r="AL29" i="8"/>
  <c r="AK29" i="8"/>
  <c r="AJ29" i="8"/>
  <c r="AI29" i="8"/>
  <c r="AH29" i="8"/>
  <c r="AD29" i="8"/>
  <c r="AC29" i="8"/>
  <c r="AB29" i="8"/>
  <c r="Z29" i="8"/>
  <c r="AA29" i="8" s="1"/>
  <c r="V29" i="8"/>
  <c r="S29" i="8"/>
  <c r="Q29" i="8"/>
  <c r="P29" i="8"/>
  <c r="O29" i="8"/>
  <c r="N29" i="8"/>
  <c r="DN28" i="8"/>
  <c r="DL28" i="8"/>
  <c r="DK28" i="8"/>
  <c r="DJ28" i="8"/>
  <c r="DI28" i="8"/>
  <c r="BN28" i="8"/>
  <c r="BM28" i="8"/>
  <c r="AV28" i="8"/>
  <c r="AU28" i="8"/>
  <c r="AM28" i="8"/>
  <c r="AL28" i="8"/>
  <c r="AK28" i="8"/>
  <c r="AJ28" i="8"/>
  <c r="AI28" i="8"/>
  <c r="AH28" i="8"/>
  <c r="AD28" i="8"/>
  <c r="AC28" i="8"/>
  <c r="AB28" i="8"/>
  <c r="Z28" i="8"/>
  <c r="AA28" i="8" s="1"/>
  <c r="V28" i="8"/>
  <c r="S28" i="8"/>
  <c r="Q28" i="8"/>
  <c r="P28" i="8"/>
  <c r="O28" i="8"/>
  <c r="N28" i="8"/>
  <c r="DN27" i="8"/>
  <c r="DL27" i="8"/>
  <c r="DK27" i="8"/>
  <c r="DJ27" i="8"/>
  <c r="DI27" i="8"/>
  <c r="BN27" i="8"/>
  <c r="BM27" i="8"/>
  <c r="AV27" i="8"/>
  <c r="AU27" i="8"/>
  <c r="AM27" i="8"/>
  <c r="AL27" i="8"/>
  <c r="AK27" i="8"/>
  <c r="AJ27" i="8"/>
  <c r="AI27" i="8"/>
  <c r="AH27" i="8"/>
  <c r="AD27" i="8"/>
  <c r="AC27" i="8"/>
  <c r="AB27" i="8"/>
  <c r="Z27" i="8"/>
  <c r="AA27" i="8" s="1"/>
  <c r="V27" i="8"/>
  <c r="S27" i="8"/>
  <c r="Q27" i="8"/>
  <c r="P27" i="8"/>
  <c r="O27" i="8"/>
  <c r="N27" i="8"/>
  <c r="DN26" i="8"/>
  <c r="DL26" i="8"/>
  <c r="DK26" i="8"/>
  <c r="DJ26" i="8"/>
  <c r="DI26" i="8"/>
  <c r="BN26" i="8"/>
  <c r="BM26" i="8"/>
  <c r="AV26" i="8"/>
  <c r="AU26" i="8"/>
  <c r="AM26" i="8"/>
  <c r="AL26" i="8"/>
  <c r="AK26" i="8"/>
  <c r="AJ26" i="8"/>
  <c r="AI26" i="8"/>
  <c r="AH26" i="8"/>
  <c r="AD26" i="8"/>
  <c r="AC26" i="8"/>
  <c r="AB26" i="8"/>
  <c r="Z26" i="8"/>
  <c r="AA26" i="8" s="1"/>
  <c r="V26" i="8"/>
  <c r="S26" i="8"/>
  <c r="Q26" i="8"/>
  <c r="P26" i="8"/>
  <c r="O26" i="8"/>
  <c r="N26" i="8"/>
  <c r="DN25" i="8"/>
  <c r="DL25" i="8"/>
  <c r="DK25" i="8"/>
  <c r="DJ25" i="8"/>
  <c r="DI25" i="8"/>
  <c r="BN25" i="8"/>
  <c r="BM25" i="8"/>
  <c r="AV25" i="8"/>
  <c r="AU25" i="8"/>
  <c r="AM25" i="8"/>
  <c r="AL25" i="8"/>
  <c r="AK25" i="8"/>
  <c r="AJ25" i="8"/>
  <c r="AI25" i="8"/>
  <c r="AH25" i="8"/>
  <c r="AD25" i="8"/>
  <c r="AC25" i="8"/>
  <c r="AB25" i="8"/>
  <c r="Z25" i="8"/>
  <c r="AA25" i="8" s="1"/>
  <c r="V25" i="8"/>
  <c r="S25" i="8"/>
  <c r="Q25" i="8"/>
  <c r="P25" i="8"/>
  <c r="O25" i="8"/>
  <c r="N25" i="8"/>
  <c r="DN24" i="8"/>
  <c r="DL24" i="8"/>
  <c r="DK24" i="8"/>
  <c r="DJ24" i="8"/>
  <c r="DI24" i="8"/>
  <c r="BN24" i="8"/>
  <c r="BM24" i="8"/>
  <c r="AV24" i="8"/>
  <c r="AU24" i="8"/>
  <c r="AM24" i="8"/>
  <c r="AL24" i="8"/>
  <c r="AK24" i="8"/>
  <c r="AJ24" i="8"/>
  <c r="AI24" i="8"/>
  <c r="AH24" i="8"/>
  <c r="AD24" i="8"/>
  <c r="AC24" i="8"/>
  <c r="AB24" i="8"/>
  <c r="Z24" i="8"/>
  <c r="AA24" i="8" s="1"/>
  <c r="V24" i="8"/>
  <c r="S24" i="8"/>
  <c r="Q24" i="8"/>
  <c r="P24" i="8"/>
  <c r="O24" i="8"/>
  <c r="N24" i="8"/>
  <c r="DN23" i="8"/>
  <c r="DL23" i="8"/>
  <c r="DK23" i="8"/>
  <c r="DJ23" i="8"/>
  <c r="DI23" i="8"/>
  <c r="BN23" i="8"/>
  <c r="BM23" i="8"/>
  <c r="AV23" i="8"/>
  <c r="AU23" i="8"/>
  <c r="AM23" i="8"/>
  <c r="AL23" i="8"/>
  <c r="AK23" i="8"/>
  <c r="AJ23" i="8"/>
  <c r="AI23" i="8"/>
  <c r="AH23" i="8"/>
  <c r="AD23" i="8"/>
  <c r="AC23" i="8"/>
  <c r="AB23" i="8"/>
  <c r="Z23" i="8"/>
  <c r="AA23" i="8" s="1"/>
  <c r="V23" i="8"/>
  <c r="S23" i="8"/>
  <c r="Q23" i="8"/>
  <c r="P23" i="8"/>
  <c r="O23" i="8"/>
  <c r="N23" i="8"/>
  <c r="DN22" i="8"/>
  <c r="DL22" i="8"/>
  <c r="DK22" i="8"/>
  <c r="DJ22" i="8"/>
  <c r="DI22" i="8"/>
  <c r="BN22" i="8"/>
  <c r="BM22" i="8"/>
  <c r="AV22" i="8"/>
  <c r="AU22" i="8"/>
  <c r="AM22" i="8"/>
  <c r="AL22" i="8"/>
  <c r="AK22" i="8"/>
  <c r="AJ22" i="8"/>
  <c r="AI22" i="8"/>
  <c r="AH22" i="8"/>
  <c r="AD22" i="8"/>
  <c r="AC22" i="8"/>
  <c r="AB22" i="8"/>
  <c r="Z22" i="8"/>
  <c r="AA22" i="8" s="1"/>
  <c r="V22" i="8"/>
  <c r="S22" i="8"/>
  <c r="Q22" i="8"/>
  <c r="P22" i="8"/>
  <c r="O22" i="8"/>
  <c r="N22" i="8"/>
  <c r="DN21" i="8"/>
  <c r="DL21" i="8"/>
  <c r="DK21" i="8"/>
  <c r="DJ21" i="8"/>
  <c r="DI21" i="8"/>
  <c r="BY21" i="8"/>
  <c r="CC21" i="8" s="1"/>
  <c r="BV21" i="8"/>
  <c r="BN21" i="8"/>
  <c r="BM21" i="8"/>
  <c r="AV21" i="8"/>
  <c r="AU21" i="8"/>
  <c r="AM21" i="8"/>
  <c r="AL21" i="8"/>
  <c r="AK21" i="8"/>
  <c r="AJ21" i="8"/>
  <c r="AI21" i="8"/>
  <c r="AH21" i="8"/>
  <c r="AD21" i="8"/>
  <c r="AC21" i="8"/>
  <c r="AB21" i="8"/>
  <c r="Z21" i="8"/>
  <c r="AA21" i="8" s="1"/>
  <c r="V21" i="8"/>
  <c r="S21" i="8"/>
  <c r="Q21" i="8"/>
  <c r="P21" i="8"/>
  <c r="O21" i="8"/>
  <c r="N21" i="8"/>
  <c r="DN20" i="8"/>
  <c r="DL20" i="8"/>
  <c r="DK20" i="8"/>
  <c r="DJ20" i="8"/>
  <c r="DI20" i="8"/>
  <c r="BN20" i="8"/>
  <c r="BM20" i="8"/>
  <c r="AV20" i="8"/>
  <c r="AU20" i="8"/>
  <c r="AM20" i="8"/>
  <c r="AL20" i="8"/>
  <c r="AK20" i="8"/>
  <c r="AJ20" i="8"/>
  <c r="AI20" i="8"/>
  <c r="AH20" i="8"/>
  <c r="AD20" i="8"/>
  <c r="AC20" i="8"/>
  <c r="AB20" i="8"/>
  <c r="Z20" i="8"/>
  <c r="AA20" i="8" s="1"/>
  <c r="V20" i="8"/>
  <c r="S20" i="8"/>
  <c r="Q20" i="8"/>
  <c r="P20" i="8"/>
  <c r="O20" i="8"/>
  <c r="N20" i="8"/>
  <c r="DN19" i="8"/>
  <c r="DL19" i="8"/>
  <c r="DK19" i="8"/>
  <c r="DJ19" i="8"/>
  <c r="DI19" i="8"/>
  <c r="BV19" i="8"/>
  <c r="BN19" i="8"/>
  <c r="BM19" i="8"/>
  <c r="AV19" i="8"/>
  <c r="AU19" i="8"/>
  <c r="AM19" i="8"/>
  <c r="AL19" i="8"/>
  <c r="AK19" i="8"/>
  <c r="AJ19" i="8"/>
  <c r="AI19" i="8"/>
  <c r="AH19" i="8"/>
  <c r="AD19" i="8"/>
  <c r="AC19" i="8"/>
  <c r="AB19" i="8"/>
  <c r="Z19" i="8"/>
  <c r="AA19" i="8" s="1"/>
  <c r="V19" i="8"/>
  <c r="S19" i="8"/>
  <c r="Q19" i="8"/>
  <c r="P19" i="8"/>
  <c r="O19" i="8"/>
  <c r="N19" i="8"/>
  <c r="DN18" i="8"/>
  <c r="DL18" i="8"/>
  <c r="DK18" i="8"/>
  <c r="DJ18" i="8"/>
  <c r="DI18" i="8"/>
  <c r="BN18" i="8"/>
  <c r="BM18" i="8"/>
  <c r="AV18" i="8"/>
  <c r="AU18" i="8"/>
  <c r="AM18" i="8"/>
  <c r="AL18" i="8"/>
  <c r="AK18" i="8"/>
  <c r="AJ18" i="8"/>
  <c r="AI18" i="8"/>
  <c r="AH18" i="8"/>
  <c r="AD18" i="8"/>
  <c r="AC18" i="8"/>
  <c r="AB18" i="8"/>
  <c r="Z18" i="8"/>
  <c r="AA18" i="8" s="1"/>
  <c r="V18" i="8"/>
  <c r="S18" i="8"/>
  <c r="Q18" i="8"/>
  <c r="P18" i="8"/>
  <c r="O18" i="8"/>
  <c r="N18" i="8"/>
  <c r="DN17" i="8"/>
  <c r="DL17" i="8"/>
  <c r="DK17" i="8"/>
  <c r="DJ17" i="8"/>
  <c r="DI17" i="8"/>
  <c r="BY17" i="8"/>
  <c r="CC17" i="8" s="1"/>
  <c r="BV17" i="8"/>
  <c r="BN17" i="8"/>
  <c r="BM17" i="8"/>
  <c r="AV17" i="8"/>
  <c r="AU17" i="8"/>
  <c r="AM17" i="8"/>
  <c r="AL17" i="8"/>
  <c r="AK17" i="8"/>
  <c r="AJ17" i="8"/>
  <c r="AI17" i="8"/>
  <c r="AH17" i="8"/>
  <c r="AD17" i="8"/>
  <c r="AC17" i="8"/>
  <c r="AB17" i="8"/>
  <c r="Z17" i="8"/>
  <c r="AA17" i="8" s="1"/>
  <c r="V17" i="8"/>
  <c r="S17" i="8"/>
  <c r="Q17" i="8"/>
  <c r="P17" i="8"/>
  <c r="O17" i="8"/>
  <c r="N17" i="8"/>
  <c r="DN16" i="8"/>
  <c r="DL16" i="8"/>
  <c r="DK16" i="8"/>
  <c r="DJ16" i="8"/>
  <c r="DI16" i="8"/>
  <c r="BN16" i="8"/>
  <c r="BM16" i="8"/>
  <c r="AV16" i="8"/>
  <c r="AU16" i="8"/>
  <c r="AM16" i="8"/>
  <c r="AL16" i="8"/>
  <c r="AK16" i="8"/>
  <c r="AJ16" i="8"/>
  <c r="AI16" i="8"/>
  <c r="AH16" i="8"/>
  <c r="AD16" i="8"/>
  <c r="AC16" i="8"/>
  <c r="AB16" i="8"/>
  <c r="Z16" i="8"/>
  <c r="AA16" i="8" s="1"/>
  <c r="V16" i="8"/>
  <c r="S16" i="8"/>
  <c r="Q16" i="8"/>
  <c r="P16" i="8"/>
  <c r="O16" i="8"/>
  <c r="N16" i="8"/>
  <c r="DN15" i="8"/>
  <c r="DL15" i="8"/>
  <c r="DK15" i="8"/>
  <c r="DJ15" i="8"/>
  <c r="DI15" i="8"/>
  <c r="CC15" i="8"/>
  <c r="BY15" i="8"/>
  <c r="BV15" i="8"/>
  <c r="BN15" i="8"/>
  <c r="BM15" i="8"/>
  <c r="AV15" i="8"/>
  <c r="AU15" i="8"/>
  <c r="AM15" i="8"/>
  <c r="AL15" i="8"/>
  <c r="AK15" i="8"/>
  <c r="AJ15" i="8"/>
  <c r="AI15" i="8"/>
  <c r="AH15" i="8"/>
  <c r="AD15" i="8"/>
  <c r="AC15" i="8"/>
  <c r="AB15" i="8"/>
  <c r="Z15" i="8"/>
  <c r="AA15" i="8" s="1"/>
  <c r="V15" i="8"/>
  <c r="S15" i="8"/>
  <c r="Q15" i="8"/>
  <c r="P15" i="8"/>
  <c r="O15" i="8"/>
  <c r="N15" i="8"/>
  <c r="DN14" i="8"/>
  <c r="DL14" i="8"/>
  <c r="DK14" i="8"/>
  <c r="DJ14" i="8"/>
  <c r="DI14" i="8"/>
  <c r="BN14" i="8"/>
  <c r="BM14" i="8"/>
  <c r="AV14" i="8"/>
  <c r="AU14" i="8"/>
  <c r="AM14" i="8"/>
  <c r="AL14" i="8"/>
  <c r="AK14" i="8"/>
  <c r="AJ14" i="8"/>
  <c r="AI14" i="8"/>
  <c r="AH14" i="8"/>
  <c r="AD14" i="8"/>
  <c r="AC14" i="8"/>
  <c r="AB14" i="8"/>
  <c r="Z14" i="8"/>
  <c r="AA14" i="8" s="1"/>
  <c r="V14" i="8"/>
  <c r="S14" i="8"/>
  <c r="Q14" i="8"/>
  <c r="P14" i="8"/>
  <c r="O14" i="8"/>
  <c r="N14" i="8"/>
  <c r="DN13" i="8"/>
  <c r="DL13" i="8"/>
  <c r="DK13" i="8"/>
  <c r="DJ13" i="8"/>
  <c r="DI13" i="8"/>
  <c r="BY13" i="8"/>
  <c r="CC13" i="8" s="1"/>
  <c r="BV13" i="8"/>
  <c r="BN13" i="8"/>
  <c r="BM13" i="8"/>
  <c r="AV13" i="8"/>
  <c r="AU13" i="8"/>
  <c r="AM13" i="8"/>
  <c r="AL13" i="8"/>
  <c r="AK13" i="8"/>
  <c r="AJ13" i="8"/>
  <c r="AI13" i="8"/>
  <c r="AH13" i="8"/>
  <c r="AD13" i="8"/>
  <c r="AC13" i="8"/>
  <c r="AB13" i="8"/>
  <c r="Z13" i="8"/>
  <c r="AA13" i="8" s="1"/>
  <c r="V13" i="8"/>
  <c r="S13" i="8"/>
  <c r="Q13" i="8"/>
  <c r="P13" i="8"/>
  <c r="O13" i="8"/>
  <c r="N13" i="8"/>
  <c r="DN12" i="8"/>
  <c r="DL12" i="8"/>
  <c r="DK12" i="8"/>
  <c r="DJ12" i="8"/>
  <c r="DI12" i="8"/>
  <c r="BN12" i="8"/>
  <c r="BM12" i="8"/>
  <c r="AV12" i="8"/>
  <c r="AU12" i="8"/>
  <c r="AM12" i="8"/>
  <c r="AL12" i="8"/>
  <c r="AK12" i="8"/>
  <c r="AJ12" i="8"/>
  <c r="AI12" i="8"/>
  <c r="AH12" i="8"/>
  <c r="AD12" i="8"/>
  <c r="AC12" i="8"/>
  <c r="AB12" i="8"/>
  <c r="Z12" i="8"/>
  <c r="AA12" i="8" s="1"/>
  <c r="V12" i="8"/>
  <c r="S12" i="8"/>
  <c r="Q12" i="8"/>
  <c r="P12" i="8"/>
  <c r="O12" i="8"/>
  <c r="N12" i="8"/>
  <c r="DN11" i="8"/>
  <c r="DL11" i="8"/>
  <c r="DK11" i="8"/>
  <c r="DJ11" i="8"/>
  <c r="DI11" i="8"/>
  <c r="CC11" i="8"/>
  <c r="BY11" i="8"/>
  <c r="BV11" i="8"/>
  <c r="BN11" i="8"/>
  <c r="BM11" i="8"/>
  <c r="AV11" i="8"/>
  <c r="AU11" i="8"/>
  <c r="AM11" i="8"/>
  <c r="AL11" i="8"/>
  <c r="AK11" i="8"/>
  <c r="AJ11" i="8"/>
  <c r="AI11" i="8"/>
  <c r="AH11" i="8"/>
  <c r="AD11" i="8"/>
  <c r="AC11" i="8"/>
  <c r="AB11" i="8"/>
  <c r="Z11" i="8"/>
  <c r="AA11" i="8" s="1"/>
  <c r="V11" i="8"/>
  <c r="S11" i="8"/>
  <c r="Q11" i="8"/>
  <c r="P11" i="8"/>
  <c r="O11" i="8"/>
  <c r="N11" i="8"/>
  <c r="DN10" i="8"/>
  <c r="DL10" i="8"/>
  <c r="DK10" i="8"/>
  <c r="DJ10" i="8"/>
  <c r="DI10" i="8"/>
  <c r="BN10" i="8"/>
  <c r="BM10" i="8"/>
  <c r="AV10" i="8"/>
  <c r="AU10" i="8"/>
  <c r="AM10" i="8"/>
  <c r="AL10" i="8"/>
  <c r="AK10" i="8"/>
  <c r="AJ10" i="8"/>
  <c r="AI10" i="8"/>
  <c r="AH10" i="8"/>
  <c r="AD10" i="8"/>
  <c r="AC10" i="8"/>
  <c r="AB10" i="8"/>
  <c r="Z10" i="8"/>
  <c r="AA10" i="8" s="1"/>
  <c r="V10" i="8"/>
  <c r="S10" i="8"/>
  <c r="Q10" i="8"/>
  <c r="P10" i="8"/>
  <c r="O10" i="8"/>
  <c r="N10" i="8"/>
  <c r="DN9" i="8"/>
  <c r="DL9" i="8"/>
  <c r="DK9" i="8"/>
  <c r="DJ9" i="8"/>
  <c r="DI9" i="8"/>
  <c r="BV9" i="8"/>
  <c r="BN9" i="8"/>
  <c r="BM9" i="8"/>
  <c r="AV9" i="8"/>
  <c r="AU9" i="8"/>
  <c r="AM9" i="8"/>
  <c r="AL9" i="8"/>
  <c r="AK9" i="8"/>
  <c r="AJ9" i="8"/>
  <c r="AI9" i="8"/>
  <c r="AH9" i="8"/>
  <c r="AD9" i="8"/>
  <c r="AC9" i="8"/>
  <c r="AB9" i="8"/>
  <c r="Z9" i="8"/>
  <c r="AA9" i="8" s="1"/>
  <c r="V9" i="8"/>
  <c r="S9" i="8"/>
  <c r="Q9" i="8"/>
  <c r="P9" i="8"/>
  <c r="O9" i="8"/>
  <c r="N9" i="8"/>
  <c r="DN8" i="8"/>
  <c r="DL8" i="8"/>
  <c r="DK8" i="8"/>
  <c r="DJ8" i="8"/>
  <c r="DI8" i="8"/>
  <c r="BN8" i="8"/>
  <c r="BM8" i="8"/>
  <c r="AV8" i="8"/>
  <c r="AU8" i="8"/>
  <c r="AM8" i="8"/>
  <c r="AL8" i="8"/>
  <c r="AK8" i="8"/>
  <c r="AJ8" i="8"/>
  <c r="AI8" i="8"/>
  <c r="AH8" i="8"/>
  <c r="AD8" i="8"/>
  <c r="AC8" i="8"/>
  <c r="AB8" i="8"/>
  <c r="Z8" i="8"/>
  <c r="AA8" i="8" s="1"/>
  <c r="V8" i="8"/>
  <c r="S8" i="8"/>
  <c r="Q8" i="8"/>
  <c r="P8" i="8"/>
  <c r="O8" i="8"/>
  <c r="N8" i="8"/>
  <c r="DN7" i="8"/>
  <c r="DL7" i="8"/>
  <c r="DK7" i="8"/>
  <c r="DJ7" i="8"/>
  <c r="DI7" i="8"/>
  <c r="CC7" i="8"/>
  <c r="BY7" i="8"/>
  <c r="BV7" i="8"/>
  <c r="BV23" i="8" s="1"/>
  <c r="BN7" i="8"/>
  <c r="BM7" i="8"/>
  <c r="AV7" i="8"/>
  <c r="AU7" i="8"/>
  <c r="AM7" i="8"/>
  <c r="AL7" i="8"/>
  <c r="AK7" i="8"/>
  <c r="AJ7" i="8"/>
  <c r="AI7" i="8"/>
  <c r="AH7" i="8"/>
  <c r="AD7" i="8"/>
  <c r="AC7" i="8"/>
  <c r="AB7" i="8"/>
  <c r="Z7" i="8"/>
  <c r="AA7" i="8" s="1"/>
  <c r="V7" i="8"/>
  <c r="S7" i="8"/>
  <c r="Q7" i="8"/>
  <c r="P7" i="8"/>
  <c r="O7" i="8"/>
  <c r="N7" i="8"/>
  <c r="DN6" i="8"/>
  <c r="DL6" i="8"/>
  <c r="DK6" i="8"/>
  <c r="DJ6" i="8"/>
  <c r="DI6" i="8"/>
  <c r="BN6" i="8"/>
  <c r="BM74" i="8" s="1"/>
  <c r="BM6" i="8"/>
  <c r="BM75" i="8" s="1"/>
  <c r="AD6" i="8"/>
  <c r="AC6" i="8"/>
  <c r="AB6" i="8"/>
  <c r="Z6" i="8"/>
  <c r="AA6" i="8" s="1"/>
  <c r="V6" i="8"/>
  <c r="S6" i="8"/>
  <c r="Q6" i="8"/>
  <c r="P6" i="8"/>
  <c r="O6" i="8"/>
  <c r="N6" i="8"/>
  <c r="BY5" i="8"/>
  <c r="CC5" i="8" s="1"/>
  <c r="CC23" i="8" s="1"/>
  <c r="CC25" i="8" s="1"/>
  <c r="BV5" i="8"/>
  <c r="N168" i="7"/>
  <c r="M168" i="7"/>
  <c r="D23" i="5" s="1"/>
  <c r="L168" i="7"/>
  <c r="C23" i="5" s="1"/>
  <c r="K168" i="7"/>
  <c r="D21" i="5" s="1"/>
  <c r="J168" i="7"/>
  <c r="I168" i="7"/>
  <c r="C19" i="5" s="1"/>
  <c r="H168" i="7"/>
  <c r="N166" i="7"/>
  <c r="D17" i="5" s="1"/>
  <c r="M166" i="7"/>
  <c r="L166" i="7"/>
  <c r="K166" i="7"/>
  <c r="J166" i="7"/>
  <c r="I166" i="7"/>
  <c r="H166" i="7"/>
  <c r="S165" i="7"/>
  <c r="Q165" i="7"/>
  <c r="P165" i="7"/>
  <c r="O165" i="7"/>
  <c r="N165" i="7"/>
  <c r="S164" i="7"/>
  <c r="Q164" i="7"/>
  <c r="P164" i="7"/>
  <c r="O164" i="7"/>
  <c r="N164" i="7"/>
  <c r="S163" i="7"/>
  <c r="Q163" i="7"/>
  <c r="P163" i="7"/>
  <c r="O163" i="7"/>
  <c r="N163" i="7"/>
  <c r="S162" i="7"/>
  <c r="Q162" i="7"/>
  <c r="P162" i="7"/>
  <c r="O162" i="7"/>
  <c r="N162" i="7"/>
  <c r="S161" i="7"/>
  <c r="Q161" i="7"/>
  <c r="P161" i="7"/>
  <c r="O161" i="7"/>
  <c r="N161" i="7"/>
  <c r="S160" i="7"/>
  <c r="Q160" i="7"/>
  <c r="P160" i="7"/>
  <c r="O160" i="7"/>
  <c r="N160" i="7"/>
  <c r="S159" i="7"/>
  <c r="Q159" i="7"/>
  <c r="P159" i="7"/>
  <c r="O159" i="7"/>
  <c r="N159" i="7"/>
  <c r="S158" i="7"/>
  <c r="Q158" i="7"/>
  <c r="P158" i="7"/>
  <c r="O158" i="7"/>
  <c r="N158" i="7"/>
  <c r="S157" i="7"/>
  <c r="Q157" i="7"/>
  <c r="P157" i="7"/>
  <c r="O157" i="7"/>
  <c r="N157" i="7"/>
  <c r="S156" i="7"/>
  <c r="Q156" i="7"/>
  <c r="P156" i="7"/>
  <c r="O156" i="7"/>
  <c r="N156" i="7"/>
  <c r="S155" i="7"/>
  <c r="Q155" i="7"/>
  <c r="P155" i="7"/>
  <c r="O155" i="7"/>
  <c r="N155" i="7"/>
  <c r="S154" i="7"/>
  <c r="Q154" i="7"/>
  <c r="P154" i="7"/>
  <c r="O154" i="7"/>
  <c r="N154" i="7"/>
  <c r="S153" i="7"/>
  <c r="Q153" i="7"/>
  <c r="P153" i="7"/>
  <c r="O153" i="7"/>
  <c r="N153" i="7"/>
  <c r="S152" i="7"/>
  <c r="Q152" i="7"/>
  <c r="P152" i="7"/>
  <c r="O152" i="7"/>
  <c r="N152" i="7"/>
  <c r="S151" i="7"/>
  <c r="Q151" i="7"/>
  <c r="P151" i="7"/>
  <c r="O151" i="7"/>
  <c r="N151" i="7"/>
  <c r="S150" i="7"/>
  <c r="Q150" i="7"/>
  <c r="P150" i="7"/>
  <c r="O150" i="7"/>
  <c r="N150" i="7"/>
  <c r="S149" i="7"/>
  <c r="Q149" i="7"/>
  <c r="P149" i="7"/>
  <c r="O149" i="7"/>
  <c r="N149" i="7"/>
  <c r="S148" i="7"/>
  <c r="Q148" i="7"/>
  <c r="P148" i="7"/>
  <c r="O148" i="7"/>
  <c r="N148" i="7"/>
  <c r="S147" i="7"/>
  <c r="Q147" i="7"/>
  <c r="P147" i="7"/>
  <c r="O147" i="7"/>
  <c r="N147" i="7"/>
  <c r="DN146" i="7"/>
  <c r="S146" i="7"/>
  <c r="Q146" i="7"/>
  <c r="P146" i="7"/>
  <c r="O146" i="7"/>
  <c r="N146" i="7"/>
  <c r="DN145" i="7"/>
  <c r="Y145" i="7"/>
  <c r="S145" i="7"/>
  <c r="Q145" i="7"/>
  <c r="P145" i="7"/>
  <c r="O145" i="7"/>
  <c r="N145" i="7"/>
  <c r="DN144" i="7"/>
  <c r="AD144" i="7"/>
  <c r="AC144" i="7"/>
  <c r="AB144" i="7"/>
  <c r="Z144" i="7"/>
  <c r="AA144" i="7" s="1"/>
  <c r="V144" i="7"/>
  <c r="S144" i="7"/>
  <c r="Q144" i="7"/>
  <c r="P144" i="7"/>
  <c r="O144" i="7"/>
  <c r="N144" i="7"/>
  <c r="DN143" i="7"/>
  <c r="AD143" i="7"/>
  <c r="AC143" i="7"/>
  <c r="AB143" i="7"/>
  <c r="Z143" i="7"/>
  <c r="AA143" i="7" s="1"/>
  <c r="V143" i="7"/>
  <c r="S143" i="7"/>
  <c r="Q143" i="7"/>
  <c r="P143" i="7"/>
  <c r="O143" i="7"/>
  <c r="N143" i="7"/>
  <c r="DN142" i="7"/>
  <c r="AD142" i="7"/>
  <c r="AC142" i="7"/>
  <c r="AB142" i="7"/>
  <c r="Z142" i="7"/>
  <c r="AA142" i="7" s="1"/>
  <c r="V142" i="7"/>
  <c r="S142" i="7"/>
  <c r="Q142" i="7"/>
  <c r="P142" i="7"/>
  <c r="O142" i="7"/>
  <c r="N142" i="7"/>
  <c r="DN141" i="7"/>
  <c r="AD141" i="7"/>
  <c r="AC141" i="7"/>
  <c r="AB141" i="7"/>
  <c r="Z141" i="7"/>
  <c r="AA141" i="7" s="1"/>
  <c r="V141" i="7"/>
  <c r="S141" i="7"/>
  <c r="Q141" i="7"/>
  <c r="P141" i="7"/>
  <c r="O141" i="7"/>
  <c r="N141" i="7"/>
  <c r="DN140" i="7"/>
  <c r="AD140" i="7"/>
  <c r="AC140" i="7"/>
  <c r="AB140" i="7"/>
  <c r="Z140" i="7"/>
  <c r="AA140" i="7" s="1"/>
  <c r="V140" i="7"/>
  <c r="S140" i="7"/>
  <c r="Q140" i="7"/>
  <c r="P140" i="7"/>
  <c r="O140" i="7"/>
  <c r="N140" i="7"/>
  <c r="DN139" i="7"/>
  <c r="AD139" i="7"/>
  <c r="AC139" i="7"/>
  <c r="AB139" i="7"/>
  <c r="Z139" i="7"/>
  <c r="AA139" i="7" s="1"/>
  <c r="V139" i="7"/>
  <c r="S139" i="7"/>
  <c r="Q139" i="7"/>
  <c r="P139" i="7"/>
  <c r="O139" i="7"/>
  <c r="N139" i="7"/>
  <c r="DN138" i="7"/>
  <c r="AD138" i="7"/>
  <c r="AC138" i="7"/>
  <c r="AB138" i="7"/>
  <c r="Z138" i="7"/>
  <c r="AA138" i="7" s="1"/>
  <c r="V138" i="7"/>
  <c r="S138" i="7"/>
  <c r="Q138" i="7"/>
  <c r="P138" i="7"/>
  <c r="O138" i="7"/>
  <c r="N138" i="7"/>
  <c r="AD137" i="7"/>
  <c r="AC137" i="7"/>
  <c r="AB137" i="7"/>
  <c r="Z137" i="7"/>
  <c r="AA137" i="7" s="1"/>
  <c r="V137" i="7"/>
  <c r="S137" i="7"/>
  <c r="Q137" i="7"/>
  <c r="P137" i="7"/>
  <c r="O137" i="7"/>
  <c r="N137" i="7"/>
  <c r="AD136" i="7"/>
  <c r="AC136" i="7"/>
  <c r="AB136" i="7"/>
  <c r="Z136" i="7"/>
  <c r="AA136" i="7" s="1"/>
  <c r="V136" i="7"/>
  <c r="S136" i="7"/>
  <c r="Q136" i="7"/>
  <c r="P136" i="7"/>
  <c r="O136" i="7"/>
  <c r="N136" i="7"/>
  <c r="AD135" i="7"/>
  <c r="AC135" i="7"/>
  <c r="AB135" i="7"/>
  <c r="Z135" i="7"/>
  <c r="AA135" i="7" s="1"/>
  <c r="V135" i="7"/>
  <c r="S135" i="7"/>
  <c r="Q135" i="7"/>
  <c r="P135" i="7"/>
  <c r="O135" i="7"/>
  <c r="N135" i="7"/>
  <c r="AD134" i="7"/>
  <c r="AC134" i="7"/>
  <c r="AB134" i="7"/>
  <c r="Z134" i="7"/>
  <c r="AA134" i="7" s="1"/>
  <c r="V134" i="7"/>
  <c r="S134" i="7"/>
  <c r="Q134" i="7"/>
  <c r="P134" i="7"/>
  <c r="O134" i="7"/>
  <c r="N134" i="7"/>
  <c r="DN133" i="7"/>
  <c r="AD133" i="7"/>
  <c r="AC133" i="7"/>
  <c r="AB133" i="7"/>
  <c r="Z133" i="7"/>
  <c r="AA133" i="7" s="1"/>
  <c r="V133" i="7"/>
  <c r="S133" i="7"/>
  <c r="Q133" i="7"/>
  <c r="P133" i="7"/>
  <c r="O133" i="7"/>
  <c r="N133" i="7"/>
  <c r="DN132" i="7"/>
  <c r="AD132" i="7"/>
  <c r="AC132" i="7"/>
  <c r="AB132" i="7"/>
  <c r="Z132" i="7"/>
  <c r="AA132" i="7" s="1"/>
  <c r="V132" i="7"/>
  <c r="S132" i="7"/>
  <c r="Q132" i="7"/>
  <c r="P132" i="7"/>
  <c r="O132" i="7"/>
  <c r="N132" i="7"/>
  <c r="DN131" i="7"/>
  <c r="AD131" i="7"/>
  <c r="AC131" i="7"/>
  <c r="AB131" i="7"/>
  <c r="Z131" i="7"/>
  <c r="AA131" i="7" s="1"/>
  <c r="V131" i="7"/>
  <c r="S131" i="7"/>
  <c r="Q131" i="7"/>
  <c r="P131" i="7"/>
  <c r="O131" i="7"/>
  <c r="N131" i="7"/>
  <c r="DN130" i="7"/>
  <c r="AD130" i="7"/>
  <c r="AC130" i="7"/>
  <c r="AB130" i="7"/>
  <c r="Z130" i="7"/>
  <c r="AA130" i="7" s="1"/>
  <c r="V130" i="7"/>
  <c r="S130" i="7"/>
  <c r="Q130" i="7"/>
  <c r="P130" i="7"/>
  <c r="O130" i="7"/>
  <c r="N130" i="7"/>
  <c r="DN129" i="7"/>
  <c r="AD129" i="7"/>
  <c r="AC129" i="7"/>
  <c r="AB129" i="7"/>
  <c r="Z129" i="7"/>
  <c r="AA129" i="7" s="1"/>
  <c r="V129" i="7"/>
  <c r="S129" i="7"/>
  <c r="Q129" i="7"/>
  <c r="P129" i="7"/>
  <c r="O129" i="7"/>
  <c r="N129" i="7"/>
  <c r="DN128" i="7"/>
  <c r="AD128" i="7"/>
  <c r="AC128" i="7"/>
  <c r="AB128" i="7"/>
  <c r="Z128" i="7"/>
  <c r="AA128" i="7" s="1"/>
  <c r="V128" i="7"/>
  <c r="S128" i="7"/>
  <c r="Q128" i="7"/>
  <c r="P128" i="7"/>
  <c r="O128" i="7"/>
  <c r="N128" i="7"/>
  <c r="DN127" i="7"/>
  <c r="AD127" i="7"/>
  <c r="AC127" i="7"/>
  <c r="AB127" i="7"/>
  <c r="Z127" i="7"/>
  <c r="AA127" i="7" s="1"/>
  <c r="V127" i="7"/>
  <c r="S127" i="7"/>
  <c r="Q127" i="7"/>
  <c r="P127" i="7"/>
  <c r="O127" i="7"/>
  <c r="N127" i="7"/>
  <c r="DN126" i="7"/>
  <c r="AD126" i="7"/>
  <c r="AC126" i="7"/>
  <c r="AB126" i="7"/>
  <c r="Z126" i="7"/>
  <c r="AA126" i="7" s="1"/>
  <c r="V126" i="7"/>
  <c r="S126" i="7"/>
  <c r="Q126" i="7"/>
  <c r="P126" i="7"/>
  <c r="O126" i="7"/>
  <c r="N126" i="7"/>
  <c r="DN125" i="7"/>
  <c r="AD125" i="7"/>
  <c r="AC125" i="7"/>
  <c r="AB125" i="7"/>
  <c r="Z125" i="7"/>
  <c r="AA125" i="7" s="1"/>
  <c r="V125" i="7"/>
  <c r="S125" i="7"/>
  <c r="Q125" i="7"/>
  <c r="P125" i="7"/>
  <c r="O125" i="7"/>
  <c r="N125" i="7"/>
  <c r="DN124" i="7"/>
  <c r="AD124" i="7"/>
  <c r="AC124" i="7"/>
  <c r="AB124" i="7"/>
  <c r="Z124" i="7"/>
  <c r="AA124" i="7" s="1"/>
  <c r="V124" i="7"/>
  <c r="S124" i="7"/>
  <c r="Q124" i="7"/>
  <c r="P124" i="7"/>
  <c r="O124" i="7"/>
  <c r="N124" i="7"/>
  <c r="DN123" i="7"/>
  <c r="AD123" i="7"/>
  <c r="AC123" i="7"/>
  <c r="AB123" i="7"/>
  <c r="Z123" i="7"/>
  <c r="AA123" i="7" s="1"/>
  <c r="V123" i="7"/>
  <c r="S123" i="7"/>
  <c r="Q123" i="7"/>
  <c r="P123" i="7"/>
  <c r="O123" i="7"/>
  <c r="N123" i="7"/>
  <c r="DN122" i="7"/>
  <c r="AD122" i="7"/>
  <c r="AC122" i="7"/>
  <c r="AB122" i="7"/>
  <c r="Z122" i="7"/>
  <c r="AA122" i="7" s="1"/>
  <c r="V122" i="7"/>
  <c r="S122" i="7"/>
  <c r="Q122" i="7"/>
  <c r="P122" i="7"/>
  <c r="O122" i="7"/>
  <c r="N122" i="7"/>
  <c r="DN121" i="7"/>
  <c r="AD121" i="7"/>
  <c r="AC121" i="7"/>
  <c r="AB121" i="7"/>
  <c r="Z121" i="7"/>
  <c r="AA121" i="7" s="1"/>
  <c r="V121" i="7"/>
  <c r="S121" i="7"/>
  <c r="Q121" i="7"/>
  <c r="P121" i="7"/>
  <c r="O121" i="7"/>
  <c r="N121" i="7"/>
  <c r="DN120" i="7"/>
  <c r="AD120" i="7"/>
  <c r="AC120" i="7"/>
  <c r="AB120" i="7"/>
  <c r="Z120" i="7"/>
  <c r="AA120" i="7" s="1"/>
  <c r="V120" i="7"/>
  <c r="S120" i="7"/>
  <c r="Q120" i="7"/>
  <c r="P120" i="7"/>
  <c r="O120" i="7"/>
  <c r="N120" i="7"/>
  <c r="DN119" i="7"/>
  <c r="AD119" i="7"/>
  <c r="AC119" i="7"/>
  <c r="AB119" i="7"/>
  <c r="Z119" i="7"/>
  <c r="AA119" i="7" s="1"/>
  <c r="V119" i="7"/>
  <c r="S119" i="7"/>
  <c r="Q119" i="7"/>
  <c r="P119" i="7"/>
  <c r="O119" i="7"/>
  <c r="N119" i="7"/>
  <c r="DN118" i="7"/>
  <c r="AD118" i="7"/>
  <c r="AC118" i="7"/>
  <c r="AB118" i="7"/>
  <c r="Z118" i="7"/>
  <c r="AA118" i="7" s="1"/>
  <c r="V118" i="7"/>
  <c r="S118" i="7"/>
  <c r="Q118" i="7"/>
  <c r="P118" i="7"/>
  <c r="O118" i="7"/>
  <c r="N118" i="7"/>
  <c r="DN117" i="7"/>
  <c r="AD117" i="7"/>
  <c r="AC117" i="7"/>
  <c r="AB117" i="7"/>
  <c r="Z117" i="7"/>
  <c r="AA117" i="7" s="1"/>
  <c r="V117" i="7"/>
  <c r="S117" i="7"/>
  <c r="Q117" i="7"/>
  <c r="P117" i="7"/>
  <c r="O117" i="7"/>
  <c r="N117" i="7"/>
  <c r="DN116" i="7"/>
  <c r="AD116" i="7"/>
  <c r="AC116" i="7"/>
  <c r="AB116" i="7"/>
  <c r="Z116" i="7"/>
  <c r="AA116" i="7" s="1"/>
  <c r="V116" i="7"/>
  <c r="S116" i="7"/>
  <c r="Q116" i="7"/>
  <c r="P116" i="7"/>
  <c r="O116" i="7"/>
  <c r="N116" i="7"/>
  <c r="DN115" i="7"/>
  <c r="AD115" i="7"/>
  <c r="AC115" i="7"/>
  <c r="AB115" i="7"/>
  <c r="Z115" i="7"/>
  <c r="AA115" i="7" s="1"/>
  <c r="V115" i="7"/>
  <c r="S115" i="7"/>
  <c r="Q115" i="7"/>
  <c r="P115" i="7"/>
  <c r="O115" i="7"/>
  <c r="N115" i="7"/>
  <c r="DN114" i="7"/>
  <c r="AD114" i="7"/>
  <c r="AC114" i="7"/>
  <c r="AB114" i="7"/>
  <c r="Z114" i="7"/>
  <c r="AA114" i="7" s="1"/>
  <c r="V114" i="7"/>
  <c r="S114" i="7"/>
  <c r="Q114" i="7"/>
  <c r="P114" i="7"/>
  <c r="O114" i="7"/>
  <c r="N114" i="7"/>
  <c r="DN113" i="7"/>
  <c r="AD113" i="7"/>
  <c r="AC113" i="7"/>
  <c r="AB113" i="7"/>
  <c r="Z113" i="7"/>
  <c r="AA113" i="7" s="1"/>
  <c r="V113" i="7"/>
  <c r="S113" i="7"/>
  <c r="Q113" i="7"/>
  <c r="P113" i="7"/>
  <c r="O113" i="7"/>
  <c r="N113" i="7"/>
  <c r="DN112" i="7"/>
  <c r="AD112" i="7"/>
  <c r="AC112" i="7"/>
  <c r="AB112" i="7"/>
  <c r="Z112" i="7"/>
  <c r="AA112" i="7" s="1"/>
  <c r="V112" i="7"/>
  <c r="S112" i="7"/>
  <c r="Q112" i="7"/>
  <c r="P112" i="7"/>
  <c r="O112" i="7"/>
  <c r="N112" i="7"/>
  <c r="DN111" i="7"/>
  <c r="AD111" i="7"/>
  <c r="AC111" i="7"/>
  <c r="AB111" i="7"/>
  <c r="Z111" i="7"/>
  <c r="AA111" i="7" s="1"/>
  <c r="V111" i="7"/>
  <c r="S111" i="7"/>
  <c r="Q111" i="7"/>
  <c r="P111" i="7"/>
  <c r="O111" i="7"/>
  <c r="N111" i="7"/>
  <c r="DN110" i="7"/>
  <c r="AD110" i="7"/>
  <c r="AC110" i="7"/>
  <c r="AB110" i="7"/>
  <c r="Z110" i="7"/>
  <c r="AA110" i="7" s="1"/>
  <c r="V110" i="7"/>
  <c r="S110" i="7"/>
  <c r="Q110" i="7"/>
  <c r="P110" i="7"/>
  <c r="O110" i="7"/>
  <c r="N110" i="7"/>
  <c r="DN109" i="7"/>
  <c r="AD109" i="7"/>
  <c r="AC109" i="7"/>
  <c r="AB109" i="7"/>
  <c r="Z109" i="7"/>
  <c r="AA109" i="7" s="1"/>
  <c r="V109" i="7"/>
  <c r="S109" i="7"/>
  <c r="Q109" i="7"/>
  <c r="P109" i="7"/>
  <c r="O109" i="7"/>
  <c r="N109" i="7"/>
  <c r="DN108" i="7"/>
  <c r="AD108" i="7"/>
  <c r="AC108" i="7"/>
  <c r="AB108" i="7"/>
  <c r="Z108" i="7"/>
  <c r="AA108" i="7" s="1"/>
  <c r="V108" i="7"/>
  <c r="S108" i="7"/>
  <c r="Q108" i="7"/>
  <c r="P108" i="7"/>
  <c r="O108" i="7"/>
  <c r="N108" i="7"/>
  <c r="DN107" i="7"/>
  <c r="AD107" i="7"/>
  <c r="AC107" i="7"/>
  <c r="AB107" i="7"/>
  <c r="Z107" i="7"/>
  <c r="AA107" i="7" s="1"/>
  <c r="V107" i="7"/>
  <c r="S107" i="7"/>
  <c r="Q107" i="7"/>
  <c r="P107" i="7"/>
  <c r="O107" i="7"/>
  <c r="N107" i="7"/>
  <c r="DN106" i="7"/>
  <c r="AD106" i="7"/>
  <c r="AC106" i="7"/>
  <c r="AB106" i="7"/>
  <c r="Z106" i="7"/>
  <c r="AA106" i="7" s="1"/>
  <c r="V106" i="7"/>
  <c r="S106" i="7"/>
  <c r="Q106" i="7"/>
  <c r="P106" i="7"/>
  <c r="O106" i="7"/>
  <c r="N106" i="7"/>
  <c r="DN105" i="7"/>
  <c r="AD105" i="7"/>
  <c r="AC105" i="7"/>
  <c r="AB105" i="7"/>
  <c r="Z105" i="7"/>
  <c r="AA105" i="7" s="1"/>
  <c r="V105" i="7"/>
  <c r="S105" i="7"/>
  <c r="Q105" i="7"/>
  <c r="P105" i="7"/>
  <c r="O105" i="7"/>
  <c r="N105" i="7"/>
  <c r="DN104" i="7"/>
  <c r="AD104" i="7"/>
  <c r="AC104" i="7"/>
  <c r="AB104" i="7"/>
  <c r="Z104" i="7"/>
  <c r="AA104" i="7" s="1"/>
  <c r="V104" i="7"/>
  <c r="S104" i="7"/>
  <c r="Q104" i="7"/>
  <c r="P104" i="7"/>
  <c r="O104" i="7"/>
  <c r="N104" i="7"/>
  <c r="DN103" i="7"/>
  <c r="AD103" i="7"/>
  <c r="AC103" i="7"/>
  <c r="AB103" i="7"/>
  <c r="Z103" i="7"/>
  <c r="AA103" i="7" s="1"/>
  <c r="V103" i="7"/>
  <c r="S103" i="7"/>
  <c r="Q103" i="7"/>
  <c r="P103" i="7"/>
  <c r="O103" i="7"/>
  <c r="N103" i="7"/>
  <c r="DN102" i="7"/>
  <c r="AD102" i="7"/>
  <c r="AC102" i="7"/>
  <c r="AB102" i="7"/>
  <c r="Z102" i="7"/>
  <c r="AA102" i="7" s="1"/>
  <c r="V102" i="7"/>
  <c r="S102" i="7"/>
  <c r="Q102" i="7"/>
  <c r="P102" i="7"/>
  <c r="O102" i="7"/>
  <c r="N102" i="7"/>
  <c r="DN101" i="7"/>
  <c r="AD101" i="7"/>
  <c r="AC101" i="7"/>
  <c r="AB101" i="7"/>
  <c r="Z101" i="7"/>
  <c r="AA101" i="7" s="1"/>
  <c r="V101" i="7"/>
  <c r="S101" i="7"/>
  <c r="Q101" i="7"/>
  <c r="P101" i="7"/>
  <c r="O101" i="7"/>
  <c r="N101" i="7"/>
  <c r="DN100" i="7"/>
  <c r="AD100" i="7"/>
  <c r="AC100" i="7"/>
  <c r="AB100" i="7"/>
  <c r="Z100" i="7"/>
  <c r="AA100" i="7" s="1"/>
  <c r="V100" i="7"/>
  <c r="S100" i="7"/>
  <c r="Q100" i="7"/>
  <c r="P100" i="7"/>
  <c r="O100" i="7"/>
  <c r="N100" i="7"/>
  <c r="DN99" i="7"/>
  <c r="AD99" i="7"/>
  <c r="AC99" i="7"/>
  <c r="AB99" i="7"/>
  <c r="Z99" i="7"/>
  <c r="AA99" i="7" s="1"/>
  <c r="V99" i="7"/>
  <c r="S99" i="7"/>
  <c r="Q99" i="7"/>
  <c r="P99" i="7"/>
  <c r="O99" i="7"/>
  <c r="N99" i="7"/>
  <c r="DN98" i="7"/>
  <c r="AD98" i="7"/>
  <c r="AC98" i="7"/>
  <c r="AB98" i="7"/>
  <c r="Z98" i="7"/>
  <c r="AA98" i="7" s="1"/>
  <c r="V98" i="7"/>
  <c r="S98" i="7"/>
  <c r="Q98" i="7"/>
  <c r="P98" i="7"/>
  <c r="O98" i="7"/>
  <c r="N98" i="7"/>
  <c r="DN97" i="7"/>
  <c r="AD97" i="7"/>
  <c r="AC97" i="7"/>
  <c r="AB97" i="7"/>
  <c r="Z97" i="7"/>
  <c r="AA97" i="7" s="1"/>
  <c r="V97" i="7"/>
  <c r="S97" i="7"/>
  <c r="Q97" i="7"/>
  <c r="P97" i="7"/>
  <c r="O97" i="7"/>
  <c r="N97" i="7"/>
  <c r="DN96" i="7"/>
  <c r="AD96" i="7"/>
  <c r="AC96" i="7"/>
  <c r="AB96" i="7"/>
  <c r="Z96" i="7"/>
  <c r="AA96" i="7" s="1"/>
  <c r="V96" i="7"/>
  <c r="S96" i="7"/>
  <c r="Q96" i="7"/>
  <c r="P96" i="7"/>
  <c r="O96" i="7"/>
  <c r="N96" i="7"/>
  <c r="DN95" i="7"/>
  <c r="AD95" i="7"/>
  <c r="AC95" i="7"/>
  <c r="AB95" i="7"/>
  <c r="Z95" i="7"/>
  <c r="AA95" i="7" s="1"/>
  <c r="V95" i="7"/>
  <c r="S95" i="7"/>
  <c r="Q95" i="7"/>
  <c r="P95" i="7"/>
  <c r="O95" i="7"/>
  <c r="N95" i="7"/>
  <c r="DN94" i="7"/>
  <c r="AD94" i="7"/>
  <c r="AC94" i="7"/>
  <c r="AB94" i="7"/>
  <c r="Z94" i="7"/>
  <c r="AA94" i="7" s="1"/>
  <c r="V94" i="7"/>
  <c r="S94" i="7"/>
  <c r="Q94" i="7"/>
  <c r="P94" i="7"/>
  <c r="O94" i="7"/>
  <c r="N94" i="7"/>
  <c r="DN93" i="7"/>
  <c r="AD93" i="7"/>
  <c r="AC93" i="7"/>
  <c r="AB93" i="7"/>
  <c r="Z93" i="7"/>
  <c r="AA93" i="7" s="1"/>
  <c r="V93" i="7"/>
  <c r="S93" i="7"/>
  <c r="Q93" i="7"/>
  <c r="P93" i="7"/>
  <c r="O93" i="7"/>
  <c r="N93" i="7"/>
  <c r="DN92" i="7"/>
  <c r="AD92" i="7"/>
  <c r="AC92" i="7"/>
  <c r="AB92" i="7"/>
  <c r="Z92" i="7"/>
  <c r="AA92" i="7" s="1"/>
  <c r="V92" i="7"/>
  <c r="S92" i="7"/>
  <c r="Q92" i="7"/>
  <c r="P92" i="7"/>
  <c r="O92" i="7"/>
  <c r="N92" i="7"/>
  <c r="DN91" i="7"/>
  <c r="AD91" i="7"/>
  <c r="AC91" i="7"/>
  <c r="AB91" i="7"/>
  <c r="Z91" i="7"/>
  <c r="AA91" i="7" s="1"/>
  <c r="V91" i="7"/>
  <c r="S91" i="7"/>
  <c r="Q91" i="7"/>
  <c r="P91" i="7"/>
  <c r="O91" i="7"/>
  <c r="N91" i="7"/>
  <c r="DN90" i="7"/>
  <c r="AD90" i="7"/>
  <c r="AC90" i="7"/>
  <c r="AB90" i="7"/>
  <c r="Z90" i="7"/>
  <c r="AA90" i="7" s="1"/>
  <c r="V90" i="7"/>
  <c r="S90" i="7"/>
  <c r="Q90" i="7"/>
  <c r="P90" i="7"/>
  <c r="O90" i="7"/>
  <c r="N90" i="7"/>
  <c r="DN89" i="7"/>
  <c r="AD89" i="7"/>
  <c r="AC89" i="7"/>
  <c r="AB89" i="7"/>
  <c r="Z89" i="7"/>
  <c r="AA89" i="7" s="1"/>
  <c r="V89" i="7"/>
  <c r="S89" i="7"/>
  <c r="Q89" i="7"/>
  <c r="P89" i="7"/>
  <c r="O89" i="7"/>
  <c r="N89" i="7"/>
  <c r="DN88" i="7"/>
  <c r="AD88" i="7"/>
  <c r="AC88" i="7"/>
  <c r="AB88" i="7"/>
  <c r="Z88" i="7"/>
  <c r="AA88" i="7" s="1"/>
  <c r="V88" i="7"/>
  <c r="S88" i="7"/>
  <c r="Q88" i="7"/>
  <c r="P88" i="7"/>
  <c r="O88" i="7"/>
  <c r="N88" i="7"/>
  <c r="DN87" i="7"/>
  <c r="AD87" i="7"/>
  <c r="AC87" i="7"/>
  <c r="AB87" i="7"/>
  <c r="Z87" i="7"/>
  <c r="AA87" i="7" s="1"/>
  <c r="V87" i="7"/>
  <c r="S87" i="7"/>
  <c r="Q87" i="7"/>
  <c r="P87" i="7"/>
  <c r="O87" i="7"/>
  <c r="N87" i="7"/>
  <c r="DN86" i="7"/>
  <c r="AD86" i="7"/>
  <c r="AC86" i="7"/>
  <c r="AB86" i="7"/>
  <c r="Z86" i="7"/>
  <c r="AA86" i="7" s="1"/>
  <c r="V86" i="7"/>
  <c r="S86" i="7"/>
  <c r="Q86" i="7"/>
  <c r="P86" i="7"/>
  <c r="O86" i="7"/>
  <c r="N86" i="7"/>
  <c r="DN85" i="7"/>
  <c r="AD85" i="7"/>
  <c r="AC85" i="7"/>
  <c r="AB85" i="7"/>
  <c r="Z85" i="7"/>
  <c r="AA85" i="7" s="1"/>
  <c r="V85" i="7"/>
  <c r="S85" i="7"/>
  <c r="Q85" i="7"/>
  <c r="P85" i="7"/>
  <c r="O85" i="7"/>
  <c r="N85" i="7"/>
  <c r="DN84" i="7"/>
  <c r="AD84" i="7"/>
  <c r="AC84" i="7"/>
  <c r="AB84" i="7"/>
  <c r="Z84" i="7"/>
  <c r="AA84" i="7" s="1"/>
  <c r="V84" i="7"/>
  <c r="S84" i="7"/>
  <c r="Q84" i="7"/>
  <c r="P84" i="7"/>
  <c r="O84" i="7"/>
  <c r="N84" i="7"/>
  <c r="DN83" i="7"/>
  <c r="AD83" i="7"/>
  <c r="AC83" i="7"/>
  <c r="AB83" i="7"/>
  <c r="Z83" i="7"/>
  <c r="AA83" i="7" s="1"/>
  <c r="V83" i="7"/>
  <c r="S83" i="7"/>
  <c r="Q83" i="7"/>
  <c r="P83" i="7"/>
  <c r="O83" i="7"/>
  <c r="N83" i="7"/>
  <c r="DN82" i="7"/>
  <c r="AD82" i="7"/>
  <c r="AC82" i="7"/>
  <c r="AB82" i="7"/>
  <c r="Z82" i="7"/>
  <c r="AA82" i="7" s="1"/>
  <c r="V82" i="7"/>
  <c r="S82" i="7"/>
  <c r="Q82" i="7"/>
  <c r="P82" i="7"/>
  <c r="O82" i="7"/>
  <c r="N82" i="7"/>
  <c r="DN81" i="7"/>
  <c r="AD81" i="7"/>
  <c r="AC81" i="7"/>
  <c r="AB81" i="7"/>
  <c r="Z81" i="7"/>
  <c r="AA81" i="7" s="1"/>
  <c r="V81" i="7"/>
  <c r="S81" i="7"/>
  <c r="Q81" i="7"/>
  <c r="P81" i="7"/>
  <c r="O81" i="7"/>
  <c r="N81" i="7"/>
  <c r="DN80" i="7"/>
  <c r="AD80" i="7"/>
  <c r="AC80" i="7"/>
  <c r="AB80" i="7"/>
  <c r="Z80" i="7"/>
  <c r="AA80" i="7" s="1"/>
  <c r="V80" i="7"/>
  <c r="S80" i="7"/>
  <c r="Q80" i="7"/>
  <c r="P80" i="7"/>
  <c r="O80" i="7"/>
  <c r="N80" i="7"/>
  <c r="DN79" i="7"/>
  <c r="AD79" i="7"/>
  <c r="AC79" i="7"/>
  <c r="AB79" i="7"/>
  <c r="Z79" i="7"/>
  <c r="AA79" i="7" s="1"/>
  <c r="V79" i="7"/>
  <c r="S79" i="7"/>
  <c r="Q79" i="7"/>
  <c r="P79" i="7"/>
  <c r="O79" i="7"/>
  <c r="N79" i="7"/>
  <c r="DN78" i="7"/>
  <c r="AD78" i="7"/>
  <c r="AC78" i="7"/>
  <c r="AB78" i="7"/>
  <c r="Z78" i="7"/>
  <c r="AA78" i="7" s="1"/>
  <c r="V78" i="7"/>
  <c r="S78" i="7"/>
  <c r="Q78" i="7"/>
  <c r="P78" i="7"/>
  <c r="O78" i="7"/>
  <c r="N78" i="7"/>
  <c r="DN77" i="7"/>
  <c r="AD77" i="7"/>
  <c r="AC77" i="7"/>
  <c r="AB77" i="7"/>
  <c r="Z77" i="7"/>
  <c r="AA77" i="7" s="1"/>
  <c r="V77" i="7"/>
  <c r="S77" i="7"/>
  <c r="Q77" i="7"/>
  <c r="P77" i="7"/>
  <c r="O77" i="7"/>
  <c r="N77" i="7"/>
  <c r="DN76" i="7"/>
  <c r="AD76" i="7"/>
  <c r="AC76" i="7"/>
  <c r="AB76" i="7"/>
  <c r="Z76" i="7"/>
  <c r="AA76" i="7" s="1"/>
  <c r="V76" i="7"/>
  <c r="S76" i="7"/>
  <c r="Q76" i="7"/>
  <c r="P76" i="7"/>
  <c r="O76" i="7"/>
  <c r="N76" i="7"/>
  <c r="DN75" i="7"/>
  <c r="AD75" i="7"/>
  <c r="AC75" i="7"/>
  <c r="AB75" i="7"/>
  <c r="Z75" i="7"/>
  <c r="AA75" i="7" s="1"/>
  <c r="V75" i="7"/>
  <c r="S75" i="7"/>
  <c r="Q75" i="7"/>
  <c r="P75" i="7"/>
  <c r="O75" i="7"/>
  <c r="N75" i="7"/>
  <c r="AD74" i="7"/>
  <c r="AC74" i="7"/>
  <c r="AB74" i="7"/>
  <c r="Z74" i="7"/>
  <c r="AA74" i="7" s="1"/>
  <c r="V74" i="7"/>
  <c r="S74" i="7"/>
  <c r="Q74" i="7"/>
  <c r="P74" i="7"/>
  <c r="O74" i="7"/>
  <c r="N74" i="7"/>
  <c r="BL73" i="7"/>
  <c r="AD73" i="7"/>
  <c r="AC73" i="7"/>
  <c r="AB73" i="7"/>
  <c r="Z73" i="7"/>
  <c r="AA73" i="7" s="1"/>
  <c r="V73" i="7"/>
  <c r="S73" i="7"/>
  <c r="Q73" i="7"/>
  <c r="P73" i="7"/>
  <c r="O73" i="7"/>
  <c r="N73" i="7"/>
  <c r="BK72" i="7"/>
  <c r="BY19" i="7" s="1"/>
  <c r="CC19" i="7" s="1"/>
  <c r="AD72" i="7"/>
  <c r="AC72" i="7"/>
  <c r="AB72" i="7"/>
  <c r="Z72" i="7"/>
  <c r="AA72" i="7" s="1"/>
  <c r="V72" i="7"/>
  <c r="S72" i="7"/>
  <c r="Q72" i="7"/>
  <c r="P72" i="7"/>
  <c r="O72" i="7"/>
  <c r="N72" i="7"/>
  <c r="BJ71" i="7"/>
  <c r="AD71" i="7"/>
  <c r="AC71" i="7"/>
  <c r="AB71" i="7"/>
  <c r="Z71" i="7"/>
  <c r="AA71" i="7" s="1"/>
  <c r="V71" i="7"/>
  <c r="S71" i="7"/>
  <c r="Q71" i="7"/>
  <c r="P71" i="7"/>
  <c r="O71" i="7"/>
  <c r="N71" i="7"/>
  <c r="DN70" i="7"/>
  <c r="BI70" i="7"/>
  <c r="AT70" i="7"/>
  <c r="AS70" i="7"/>
  <c r="AR70" i="7"/>
  <c r="AQ70" i="7"/>
  <c r="AP70" i="7"/>
  <c r="AO70" i="7"/>
  <c r="AD70" i="7"/>
  <c r="AC70" i="7"/>
  <c r="AB70" i="7"/>
  <c r="Z70" i="7"/>
  <c r="AA70" i="7" s="1"/>
  <c r="V70" i="7"/>
  <c r="S70" i="7"/>
  <c r="Q70" i="7"/>
  <c r="P70" i="7"/>
  <c r="O70" i="7"/>
  <c r="N70" i="7"/>
  <c r="DN69" i="7"/>
  <c r="BH69" i="7"/>
  <c r="AT69" i="7"/>
  <c r="AS69" i="7"/>
  <c r="AR69" i="7"/>
  <c r="AQ69" i="7"/>
  <c r="AP69" i="7"/>
  <c r="AO69" i="7"/>
  <c r="AD69" i="7"/>
  <c r="AC69" i="7"/>
  <c r="AB69" i="7"/>
  <c r="Z69" i="7"/>
  <c r="AA69" i="7" s="1"/>
  <c r="V69" i="7"/>
  <c r="S69" i="7"/>
  <c r="Q69" i="7"/>
  <c r="P69" i="7"/>
  <c r="O69" i="7"/>
  <c r="N69" i="7"/>
  <c r="DN68" i="7"/>
  <c r="BG68" i="7"/>
  <c r="AV68" i="7"/>
  <c r="AU68" i="7"/>
  <c r="AM68" i="7"/>
  <c r="AL68" i="7"/>
  <c r="AK68" i="7"/>
  <c r="AJ68" i="7"/>
  <c r="AI68" i="7"/>
  <c r="AH68" i="7"/>
  <c r="AD68" i="7"/>
  <c r="AC68" i="7"/>
  <c r="AB68" i="7"/>
  <c r="Z68" i="7"/>
  <c r="AA68" i="7" s="1"/>
  <c r="V68" i="7"/>
  <c r="S68" i="7"/>
  <c r="Q68" i="7"/>
  <c r="P68" i="7"/>
  <c r="O68" i="7"/>
  <c r="N68" i="7"/>
  <c r="DN67" i="7"/>
  <c r="BF67" i="7"/>
  <c r="BY9" i="7" s="1"/>
  <c r="CC9" i="7" s="1"/>
  <c r="AV67" i="7"/>
  <c r="AU67" i="7"/>
  <c r="AM67" i="7"/>
  <c r="AL67" i="7"/>
  <c r="AK67" i="7"/>
  <c r="AJ67" i="7"/>
  <c r="AI67" i="7"/>
  <c r="AH67" i="7"/>
  <c r="AD67" i="7"/>
  <c r="AC67" i="7"/>
  <c r="AB67" i="7"/>
  <c r="Z67" i="7"/>
  <c r="AA67" i="7" s="1"/>
  <c r="V67" i="7"/>
  <c r="S67" i="7"/>
  <c r="Q67" i="7"/>
  <c r="P67" i="7"/>
  <c r="O67" i="7"/>
  <c r="N67" i="7"/>
  <c r="DN66" i="7"/>
  <c r="BE66" i="7"/>
  <c r="AV66" i="7"/>
  <c r="AU66" i="7"/>
  <c r="AM66" i="7"/>
  <c r="AL66" i="7"/>
  <c r="AK66" i="7"/>
  <c r="AJ66" i="7"/>
  <c r="AI66" i="7"/>
  <c r="AH66" i="7"/>
  <c r="AD66" i="7"/>
  <c r="AC66" i="7"/>
  <c r="AB66" i="7"/>
  <c r="Z66" i="7"/>
  <c r="AA66" i="7" s="1"/>
  <c r="V66" i="7"/>
  <c r="S66" i="7"/>
  <c r="Q66" i="7"/>
  <c r="P66" i="7"/>
  <c r="O66" i="7"/>
  <c r="N66" i="7"/>
  <c r="DN65" i="7"/>
  <c r="BD65" i="7"/>
  <c r="AV65" i="7"/>
  <c r="AU65" i="7"/>
  <c r="AM65" i="7"/>
  <c r="AL65" i="7"/>
  <c r="AK65" i="7"/>
  <c r="AJ65" i="7"/>
  <c r="AI65" i="7"/>
  <c r="AH65" i="7"/>
  <c r="AD65" i="7"/>
  <c r="AC65" i="7"/>
  <c r="AB65" i="7"/>
  <c r="Z65" i="7"/>
  <c r="AA65" i="7" s="1"/>
  <c r="V65" i="7"/>
  <c r="S65" i="7"/>
  <c r="Q65" i="7"/>
  <c r="P65" i="7"/>
  <c r="O65" i="7"/>
  <c r="N65" i="7"/>
  <c r="DN64" i="7"/>
  <c r="BC64" i="7"/>
  <c r="AV64" i="7"/>
  <c r="AU64" i="7"/>
  <c r="AM64" i="7"/>
  <c r="AL64" i="7"/>
  <c r="AK64" i="7"/>
  <c r="AJ64" i="7"/>
  <c r="AI64" i="7"/>
  <c r="AH64" i="7"/>
  <c r="AD64" i="7"/>
  <c r="AC64" i="7"/>
  <c r="AB64" i="7"/>
  <c r="Z64" i="7"/>
  <c r="AA64" i="7" s="1"/>
  <c r="V64" i="7"/>
  <c r="S64" i="7"/>
  <c r="Q64" i="7"/>
  <c r="P64" i="7"/>
  <c r="O64" i="7"/>
  <c r="N64" i="7"/>
  <c r="DN63" i="7"/>
  <c r="BB63" i="7"/>
  <c r="AV63" i="7"/>
  <c r="AU63" i="7"/>
  <c r="AM63" i="7"/>
  <c r="AL63" i="7"/>
  <c r="AK63" i="7"/>
  <c r="AJ63" i="7"/>
  <c r="AI63" i="7"/>
  <c r="AH63" i="7"/>
  <c r="AD63" i="7"/>
  <c r="AC63" i="7"/>
  <c r="AB63" i="7"/>
  <c r="Z63" i="7"/>
  <c r="AA63" i="7" s="1"/>
  <c r="V63" i="7"/>
  <c r="S63" i="7"/>
  <c r="Q63" i="7"/>
  <c r="P63" i="7"/>
  <c r="O63" i="7"/>
  <c r="N63" i="7"/>
  <c r="DN62" i="7"/>
  <c r="BA62" i="7"/>
  <c r="AV62" i="7"/>
  <c r="AU62" i="7"/>
  <c r="AM62" i="7"/>
  <c r="AL62" i="7"/>
  <c r="AK62" i="7"/>
  <c r="AJ62" i="7"/>
  <c r="AI62" i="7"/>
  <c r="AH62" i="7"/>
  <c r="AD62" i="7"/>
  <c r="AC62" i="7"/>
  <c r="AB62" i="7"/>
  <c r="Z62" i="7"/>
  <c r="AA62" i="7" s="1"/>
  <c r="V62" i="7"/>
  <c r="S62" i="7"/>
  <c r="Q62" i="7"/>
  <c r="P62" i="7"/>
  <c r="O62" i="7"/>
  <c r="N62" i="7"/>
  <c r="DN61" i="7"/>
  <c r="BN61" i="7"/>
  <c r="BM61" i="7"/>
  <c r="AV61" i="7"/>
  <c r="AU61" i="7"/>
  <c r="AM61" i="7"/>
  <c r="AL61" i="7"/>
  <c r="AK61" i="7"/>
  <c r="AJ61" i="7"/>
  <c r="AI61" i="7"/>
  <c r="AH61" i="7"/>
  <c r="AD61" i="7"/>
  <c r="AC61" i="7"/>
  <c r="AB61" i="7"/>
  <c r="Z61" i="7"/>
  <c r="AA61" i="7" s="1"/>
  <c r="V61" i="7"/>
  <c r="S61" i="7"/>
  <c r="Q61" i="7"/>
  <c r="P61" i="7"/>
  <c r="O61" i="7"/>
  <c r="N61" i="7"/>
  <c r="DN60" i="7"/>
  <c r="BN60" i="7"/>
  <c r="BM60" i="7"/>
  <c r="AV60" i="7"/>
  <c r="AU60" i="7"/>
  <c r="AM60" i="7"/>
  <c r="AL60" i="7"/>
  <c r="AK60" i="7"/>
  <c r="AJ60" i="7"/>
  <c r="AI60" i="7"/>
  <c r="AH60" i="7"/>
  <c r="AD60" i="7"/>
  <c r="AC60" i="7"/>
  <c r="AB60" i="7"/>
  <c r="Z60" i="7"/>
  <c r="AA60" i="7" s="1"/>
  <c r="V60" i="7"/>
  <c r="S60" i="7"/>
  <c r="Q60" i="7"/>
  <c r="P60" i="7"/>
  <c r="O60" i="7"/>
  <c r="N60" i="7"/>
  <c r="DN59" i="7"/>
  <c r="BN59" i="7"/>
  <c r="BM59" i="7"/>
  <c r="AV59" i="7"/>
  <c r="AU59" i="7"/>
  <c r="AM59" i="7"/>
  <c r="AL59" i="7"/>
  <c r="AK59" i="7"/>
  <c r="AJ59" i="7"/>
  <c r="AI59" i="7"/>
  <c r="AH59" i="7"/>
  <c r="AD59" i="7"/>
  <c r="AC59" i="7"/>
  <c r="AB59" i="7"/>
  <c r="Z59" i="7"/>
  <c r="AA59" i="7" s="1"/>
  <c r="V59" i="7"/>
  <c r="S59" i="7"/>
  <c r="Q59" i="7"/>
  <c r="P59" i="7"/>
  <c r="O59" i="7"/>
  <c r="N59" i="7"/>
  <c r="DN58" i="7"/>
  <c r="BN58" i="7"/>
  <c r="BM58" i="7"/>
  <c r="AV58" i="7"/>
  <c r="AU58" i="7"/>
  <c r="AM58" i="7"/>
  <c r="AL58" i="7"/>
  <c r="AK58" i="7"/>
  <c r="AJ58" i="7"/>
  <c r="AI58" i="7"/>
  <c r="AH58" i="7"/>
  <c r="AD58" i="7"/>
  <c r="AC58" i="7"/>
  <c r="AB58" i="7"/>
  <c r="Z58" i="7"/>
  <c r="AA58" i="7" s="1"/>
  <c r="V58" i="7"/>
  <c r="S58" i="7"/>
  <c r="Q58" i="7"/>
  <c r="P58" i="7"/>
  <c r="O58" i="7"/>
  <c r="N58" i="7"/>
  <c r="DN57" i="7"/>
  <c r="BN57" i="7"/>
  <c r="BM57" i="7"/>
  <c r="AV57" i="7"/>
  <c r="AU57" i="7"/>
  <c r="AM57" i="7"/>
  <c r="AL57" i="7"/>
  <c r="AK57" i="7"/>
  <c r="AJ57" i="7"/>
  <c r="AI57" i="7"/>
  <c r="AH57" i="7"/>
  <c r="AD57" i="7"/>
  <c r="AC57" i="7"/>
  <c r="AB57" i="7"/>
  <c r="Z57" i="7"/>
  <c r="AA57" i="7" s="1"/>
  <c r="V57" i="7"/>
  <c r="S57" i="7"/>
  <c r="Q57" i="7"/>
  <c r="P57" i="7"/>
  <c r="O57" i="7"/>
  <c r="N57" i="7"/>
  <c r="DN56" i="7"/>
  <c r="BN56" i="7"/>
  <c r="BM56" i="7"/>
  <c r="AV56" i="7"/>
  <c r="AU56" i="7"/>
  <c r="AM56" i="7"/>
  <c r="AL56" i="7"/>
  <c r="AK56" i="7"/>
  <c r="AJ56" i="7"/>
  <c r="AI56" i="7"/>
  <c r="AH56" i="7"/>
  <c r="AD56" i="7"/>
  <c r="AC56" i="7"/>
  <c r="AB56" i="7"/>
  <c r="Z56" i="7"/>
  <c r="AA56" i="7" s="1"/>
  <c r="V56" i="7"/>
  <c r="S56" i="7"/>
  <c r="Q56" i="7"/>
  <c r="P56" i="7"/>
  <c r="O56" i="7"/>
  <c r="N56" i="7"/>
  <c r="DN55" i="7"/>
  <c r="BN55" i="7"/>
  <c r="BM55" i="7"/>
  <c r="AV55" i="7"/>
  <c r="AU55" i="7"/>
  <c r="AM55" i="7"/>
  <c r="AL55" i="7"/>
  <c r="AK55" i="7"/>
  <c r="AJ55" i="7"/>
  <c r="AI55" i="7"/>
  <c r="AH55" i="7"/>
  <c r="AD55" i="7"/>
  <c r="AC55" i="7"/>
  <c r="AB55" i="7"/>
  <c r="Z55" i="7"/>
  <c r="AA55" i="7" s="1"/>
  <c r="V55" i="7"/>
  <c r="S55" i="7"/>
  <c r="Q55" i="7"/>
  <c r="P55" i="7"/>
  <c r="O55" i="7"/>
  <c r="N55" i="7"/>
  <c r="DN54" i="7"/>
  <c r="BN54" i="7"/>
  <c r="BM54" i="7"/>
  <c r="AV54" i="7"/>
  <c r="AU54" i="7"/>
  <c r="AM54" i="7"/>
  <c r="AL54" i="7"/>
  <c r="AK54" i="7"/>
  <c r="AJ54" i="7"/>
  <c r="AI54" i="7"/>
  <c r="AH54" i="7"/>
  <c r="AD54" i="7"/>
  <c r="AC54" i="7"/>
  <c r="AB54" i="7"/>
  <c r="Z54" i="7"/>
  <c r="AA54" i="7" s="1"/>
  <c r="V54" i="7"/>
  <c r="S54" i="7"/>
  <c r="Q54" i="7"/>
  <c r="P54" i="7"/>
  <c r="O54" i="7"/>
  <c r="N54" i="7"/>
  <c r="DN53" i="7"/>
  <c r="BN53" i="7"/>
  <c r="BM53" i="7"/>
  <c r="AV53" i="7"/>
  <c r="AU53" i="7"/>
  <c r="AM53" i="7"/>
  <c r="AL53" i="7"/>
  <c r="AK53" i="7"/>
  <c r="AJ53" i="7"/>
  <c r="AI53" i="7"/>
  <c r="AH53" i="7"/>
  <c r="AD53" i="7"/>
  <c r="AC53" i="7"/>
  <c r="AB53" i="7"/>
  <c r="Z53" i="7"/>
  <c r="AA53" i="7" s="1"/>
  <c r="V53" i="7"/>
  <c r="S53" i="7"/>
  <c r="Q53" i="7"/>
  <c r="P53" i="7"/>
  <c r="O53" i="7"/>
  <c r="N53" i="7"/>
  <c r="DN52" i="7"/>
  <c r="BN52" i="7"/>
  <c r="BM52" i="7"/>
  <c r="AV52" i="7"/>
  <c r="AU52" i="7"/>
  <c r="AM52" i="7"/>
  <c r="AL52" i="7"/>
  <c r="AK52" i="7"/>
  <c r="AJ52" i="7"/>
  <c r="AI52" i="7"/>
  <c r="AH52" i="7"/>
  <c r="AD52" i="7"/>
  <c r="AC52" i="7"/>
  <c r="AB52" i="7"/>
  <c r="Z52" i="7"/>
  <c r="AA52" i="7" s="1"/>
  <c r="V52" i="7"/>
  <c r="S52" i="7"/>
  <c r="Q52" i="7"/>
  <c r="P52" i="7"/>
  <c r="O52" i="7"/>
  <c r="N52" i="7"/>
  <c r="DN51" i="7"/>
  <c r="BN51" i="7"/>
  <c r="BM51" i="7"/>
  <c r="AV51" i="7"/>
  <c r="AU51" i="7"/>
  <c r="AM51" i="7"/>
  <c r="AL51" i="7"/>
  <c r="AK51" i="7"/>
  <c r="AJ51" i="7"/>
  <c r="AI51" i="7"/>
  <c r="AH51" i="7"/>
  <c r="AD51" i="7"/>
  <c r="AC51" i="7"/>
  <c r="AB51" i="7"/>
  <c r="Z51" i="7"/>
  <c r="AA51" i="7" s="1"/>
  <c r="V51" i="7"/>
  <c r="S51" i="7"/>
  <c r="Q51" i="7"/>
  <c r="P51" i="7"/>
  <c r="O51" i="7"/>
  <c r="N51" i="7"/>
  <c r="DN50" i="7"/>
  <c r="BN50" i="7"/>
  <c r="BM50" i="7"/>
  <c r="AV50" i="7"/>
  <c r="AU50" i="7"/>
  <c r="AM50" i="7"/>
  <c r="AL50" i="7"/>
  <c r="AK50" i="7"/>
  <c r="AJ50" i="7"/>
  <c r="AI50" i="7"/>
  <c r="AH50" i="7"/>
  <c r="AD50" i="7"/>
  <c r="AC50" i="7"/>
  <c r="AB50" i="7"/>
  <c r="Z50" i="7"/>
  <c r="AA50" i="7" s="1"/>
  <c r="V50" i="7"/>
  <c r="S50" i="7"/>
  <c r="Q50" i="7"/>
  <c r="P50" i="7"/>
  <c r="O50" i="7"/>
  <c r="N50" i="7"/>
  <c r="DN49" i="7"/>
  <c r="BN49" i="7"/>
  <c r="BM49" i="7"/>
  <c r="AV49" i="7"/>
  <c r="AU49" i="7"/>
  <c r="AM49" i="7"/>
  <c r="AL49" i="7"/>
  <c r="AK49" i="7"/>
  <c r="AJ49" i="7"/>
  <c r="AI49" i="7"/>
  <c r="AH49" i="7"/>
  <c r="AD49" i="7"/>
  <c r="AC49" i="7"/>
  <c r="AB49" i="7"/>
  <c r="Z49" i="7"/>
  <c r="AA49" i="7" s="1"/>
  <c r="V49" i="7"/>
  <c r="S49" i="7"/>
  <c r="Q49" i="7"/>
  <c r="P49" i="7"/>
  <c r="O49" i="7"/>
  <c r="N49" i="7"/>
  <c r="DN48" i="7"/>
  <c r="BN48" i="7"/>
  <c r="BM48" i="7"/>
  <c r="AV48" i="7"/>
  <c r="AU48" i="7"/>
  <c r="AM48" i="7"/>
  <c r="AL48" i="7"/>
  <c r="AK48" i="7"/>
  <c r="AJ48" i="7"/>
  <c r="AI48" i="7"/>
  <c r="AH48" i="7"/>
  <c r="AD48" i="7"/>
  <c r="AC48" i="7"/>
  <c r="AB48" i="7"/>
  <c r="Z48" i="7"/>
  <c r="AA48" i="7" s="1"/>
  <c r="V48" i="7"/>
  <c r="S48" i="7"/>
  <c r="Q48" i="7"/>
  <c r="P48" i="7"/>
  <c r="O48" i="7"/>
  <c r="N48" i="7"/>
  <c r="DN47" i="7"/>
  <c r="BN47" i="7"/>
  <c r="BM47" i="7"/>
  <c r="AV47" i="7"/>
  <c r="AU47" i="7"/>
  <c r="AM47" i="7"/>
  <c r="AL47" i="7"/>
  <c r="AK47" i="7"/>
  <c r="AJ47" i="7"/>
  <c r="AI47" i="7"/>
  <c r="AH47" i="7"/>
  <c r="AD47" i="7"/>
  <c r="AC47" i="7"/>
  <c r="AB47" i="7"/>
  <c r="Z47" i="7"/>
  <c r="AA47" i="7" s="1"/>
  <c r="V47" i="7"/>
  <c r="S47" i="7"/>
  <c r="Q47" i="7"/>
  <c r="P47" i="7"/>
  <c r="O47" i="7"/>
  <c r="N47" i="7"/>
  <c r="DN46" i="7"/>
  <c r="BN46" i="7"/>
  <c r="BM46" i="7"/>
  <c r="AV46" i="7"/>
  <c r="AU46" i="7"/>
  <c r="AM46" i="7"/>
  <c r="AL46" i="7"/>
  <c r="AK46" i="7"/>
  <c r="AJ46" i="7"/>
  <c r="AI46" i="7"/>
  <c r="AH46" i="7"/>
  <c r="AD46" i="7"/>
  <c r="AC46" i="7"/>
  <c r="AB46" i="7"/>
  <c r="Z46" i="7"/>
  <c r="AA46" i="7" s="1"/>
  <c r="V46" i="7"/>
  <c r="S46" i="7"/>
  <c r="Q46" i="7"/>
  <c r="P46" i="7"/>
  <c r="O46" i="7"/>
  <c r="N46" i="7"/>
  <c r="DN45" i="7"/>
  <c r="BN45" i="7"/>
  <c r="BM45" i="7"/>
  <c r="AV45" i="7"/>
  <c r="AU45" i="7"/>
  <c r="AM45" i="7"/>
  <c r="AL45" i="7"/>
  <c r="AK45" i="7"/>
  <c r="AJ45" i="7"/>
  <c r="AI45" i="7"/>
  <c r="AH45" i="7"/>
  <c r="AD45" i="7"/>
  <c r="AC45" i="7"/>
  <c r="AB45" i="7"/>
  <c r="Z45" i="7"/>
  <c r="AA45" i="7" s="1"/>
  <c r="V45" i="7"/>
  <c r="S45" i="7"/>
  <c r="Q45" i="7"/>
  <c r="P45" i="7"/>
  <c r="O45" i="7"/>
  <c r="N45" i="7"/>
  <c r="DN44" i="7"/>
  <c r="BN44" i="7"/>
  <c r="BM44" i="7"/>
  <c r="AV44" i="7"/>
  <c r="AU44" i="7"/>
  <c r="AM44" i="7"/>
  <c r="AL44" i="7"/>
  <c r="AK44" i="7"/>
  <c r="AJ44" i="7"/>
  <c r="AI44" i="7"/>
  <c r="AH44" i="7"/>
  <c r="AD44" i="7"/>
  <c r="AC44" i="7"/>
  <c r="AB44" i="7"/>
  <c r="Z44" i="7"/>
  <c r="AA44" i="7" s="1"/>
  <c r="V44" i="7"/>
  <c r="S44" i="7"/>
  <c r="Q44" i="7"/>
  <c r="P44" i="7"/>
  <c r="O44" i="7"/>
  <c r="N44" i="7"/>
  <c r="DN43" i="7"/>
  <c r="BN43" i="7"/>
  <c r="BM43" i="7"/>
  <c r="AV43" i="7"/>
  <c r="AU43" i="7"/>
  <c r="AM43" i="7"/>
  <c r="AL43" i="7"/>
  <c r="AK43" i="7"/>
  <c r="AJ43" i="7"/>
  <c r="AI43" i="7"/>
  <c r="AH43" i="7"/>
  <c r="AD43" i="7"/>
  <c r="AC43" i="7"/>
  <c r="AB43" i="7"/>
  <c r="Z43" i="7"/>
  <c r="AA43" i="7" s="1"/>
  <c r="V43" i="7"/>
  <c r="S43" i="7"/>
  <c r="Q43" i="7"/>
  <c r="P43" i="7"/>
  <c r="O43" i="7"/>
  <c r="N43" i="7"/>
  <c r="DN42" i="7"/>
  <c r="BN42" i="7"/>
  <c r="BM42" i="7"/>
  <c r="AV42" i="7"/>
  <c r="AU42" i="7"/>
  <c r="AM42" i="7"/>
  <c r="AL42" i="7"/>
  <c r="AK42" i="7"/>
  <c r="AJ42" i="7"/>
  <c r="AI42" i="7"/>
  <c r="AH42" i="7"/>
  <c r="AD42" i="7"/>
  <c r="AC42" i="7"/>
  <c r="AB42" i="7"/>
  <c r="Z42" i="7"/>
  <c r="AA42" i="7" s="1"/>
  <c r="V42" i="7"/>
  <c r="S42" i="7"/>
  <c r="Q42" i="7"/>
  <c r="P42" i="7"/>
  <c r="O42" i="7"/>
  <c r="N42" i="7"/>
  <c r="DX41" i="7"/>
  <c r="DN41" i="7"/>
  <c r="BN41" i="7"/>
  <c r="BM41" i="7"/>
  <c r="AV41" i="7"/>
  <c r="AU41" i="7"/>
  <c r="AM41" i="7"/>
  <c r="AL41" i="7"/>
  <c r="AK41" i="7"/>
  <c r="AJ41" i="7"/>
  <c r="AI41" i="7"/>
  <c r="AH41" i="7"/>
  <c r="AD41" i="7"/>
  <c r="AC41" i="7"/>
  <c r="AB41" i="7"/>
  <c r="Z41" i="7"/>
  <c r="AA41" i="7" s="1"/>
  <c r="V41" i="7"/>
  <c r="S41" i="7"/>
  <c r="Q41" i="7"/>
  <c r="P41" i="7"/>
  <c r="O41" i="7"/>
  <c r="N41" i="7"/>
  <c r="DW40" i="7"/>
  <c r="DN40" i="7"/>
  <c r="BN40" i="7"/>
  <c r="BM40" i="7"/>
  <c r="AV40" i="7"/>
  <c r="AU40" i="7"/>
  <c r="AM40" i="7"/>
  <c r="AL40" i="7"/>
  <c r="AK40" i="7"/>
  <c r="AJ40" i="7"/>
  <c r="AI40" i="7"/>
  <c r="AH40" i="7"/>
  <c r="AD40" i="7"/>
  <c r="AC40" i="7"/>
  <c r="AB40" i="7"/>
  <c r="Z40" i="7"/>
  <c r="AA40" i="7" s="1"/>
  <c r="V40" i="7"/>
  <c r="S40" i="7"/>
  <c r="Q40" i="7"/>
  <c r="P40" i="7"/>
  <c r="O40" i="7"/>
  <c r="N40" i="7"/>
  <c r="DV39" i="7"/>
  <c r="DN39" i="7"/>
  <c r="BN39" i="7"/>
  <c r="BM39" i="7"/>
  <c r="AV39" i="7"/>
  <c r="AU39" i="7"/>
  <c r="AM39" i="7"/>
  <c r="AL39" i="7"/>
  <c r="AK39" i="7"/>
  <c r="AJ39" i="7"/>
  <c r="AI39" i="7"/>
  <c r="AH39" i="7"/>
  <c r="AD39" i="7"/>
  <c r="AC39" i="7"/>
  <c r="AB39" i="7"/>
  <c r="Z39" i="7"/>
  <c r="AA39" i="7" s="1"/>
  <c r="V39" i="7"/>
  <c r="S39" i="7"/>
  <c r="Q39" i="7"/>
  <c r="P39" i="7"/>
  <c r="O39" i="7"/>
  <c r="N39" i="7"/>
  <c r="DV38" i="7"/>
  <c r="DN38" i="7"/>
  <c r="BN38" i="7"/>
  <c r="BM38" i="7"/>
  <c r="AV38" i="7"/>
  <c r="AU38" i="7"/>
  <c r="AM38" i="7"/>
  <c r="AL38" i="7"/>
  <c r="AK38" i="7"/>
  <c r="AJ38" i="7"/>
  <c r="AI38" i="7"/>
  <c r="AH38" i="7"/>
  <c r="AD38" i="7"/>
  <c r="AC38" i="7"/>
  <c r="AB38" i="7"/>
  <c r="Z38" i="7"/>
  <c r="AA38" i="7" s="1"/>
  <c r="V38" i="7"/>
  <c r="S38" i="7"/>
  <c r="Q38" i="7"/>
  <c r="P38" i="7"/>
  <c r="O38" i="7"/>
  <c r="N38" i="7"/>
  <c r="DU37" i="7"/>
  <c r="DN37" i="7"/>
  <c r="BN37" i="7"/>
  <c r="BM37" i="7"/>
  <c r="AV37" i="7"/>
  <c r="AU37" i="7"/>
  <c r="AM37" i="7"/>
  <c r="AL37" i="7"/>
  <c r="AK37" i="7"/>
  <c r="AJ37" i="7"/>
  <c r="AI37" i="7"/>
  <c r="AH37" i="7"/>
  <c r="AD37" i="7"/>
  <c r="AC37" i="7"/>
  <c r="AB37" i="7"/>
  <c r="Z37" i="7"/>
  <c r="AA37" i="7" s="1"/>
  <c r="V37" i="7"/>
  <c r="S37" i="7"/>
  <c r="Q37" i="7"/>
  <c r="P37" i="7"/>
  <c r="O37" i="7"/>
  <c r="N37" i="7"/>
  <c r="DN36" i="7"/>
  <c r="BN36" i="7"/>
  <c r="BM36" i="7"/>
  <c r="AV36" i="7"/>
  <c r="AU36" i="7"/>
  <c r="AM36" i="7"/>
  <c r="AL36" i="7"/>
  <c r="AK36" i="7"/>
  <c r="AJ36" i="7"/>
  <c r="AI36" i="7"/>
  <c r="AH36" i="7"/>
  <c r="AD36" i="7"/>
  <c r="AC36" i="7"/>
  <c r="AB36" i="7"/>
  <c r="Z36" i="7"/>
  <c r="AA36" i="7" s="1"/>
  <c r="V36" i="7"/>
  <c r="S36" i="7"/>
  <c r="Q36" i="7"/>
  <c r="P36" i="7"/>
  <c r="O36" i="7"/>
  <c r="N36" i="7"/>
  <c r="DN35" i="7"/>
  <c r="BN35" i="7"/>
  <c r="BM35" i="7"/>
  <c r="AV35" i="7"/>
  <c r="AU35" i="7"/>
  <c r="AM35" i="7"/>
  <c r="AL35" i="7"/>
  <c r="AK35" i="7"/>
  <c r="AJ35" i="7"/>
  <c r="AI35" i="7"/>
  <c r="AH35" i="7"/>
  <c r="AD35" i="7"/>
  <c r="AC35" i="7"/>
  <c r="AB35" i="7"/>
  <c r="Z35" i="7"/>
  <c r="AA35" i="7" s="1"/>
  <c r="V35" i="7"/>
  <c r="S35" i="7"/>
  <c r="Q35" i="7"/>
  <c r="P35" i="7"/>
  <c r="O35" i="7"/>
  <c r="N35" i="7"/>
  <c r="BN34" i="7"/>
  <c r="BM34" i="7"/>
  <c r="AV34" i="7"/>
  <c r="AU34" i="7"/>
  <c r="AM34" i="7"/>
  <c r="AL34" i="7"/>
  <c r="AK34" i="7"/>
  <c r="AJ34" i="7"/>
  <c r="AI34" i="7"/>
  <c r="AH34" i="7"/>
  <c r="AD34" i="7"/>
  <c r="AC34" i="7"/>
  <c r="AB34" i="7"/>
  <c r="Z34" i="7"/>
  <c r="AA34" i="7" s="1"/>
  <c r="V34" i="7"/>
  <c r="S34" i="7"/>
  <c r="Q34" i="7"/>
  <c r="P34" i="7"/>
  <c r="O34" i="7"/>
  <c r="N34" i="7"/>
  <c r="BN33" i="7"/>
  <c r="BM33" i="7"/>
  <c r="AV33" i="7"/>
  <c r="AU33" i="7"/>
  <c r="AM33" i="7"/>
  <c r="AL33" i="7"/>
  <c r="AK33" i="7"/>
  <c r="AJ33" i="7"/>
  <c r="AI33" i="7"/>
  <c r="AH33" i="7"/>
  <c r="AD33" i="7"/>
  <c r="AC33" i="7"/>
  <c r="AB33" i="7"/>
  <c r="Z33" i="7"/>
  <c r="AA33" i="7" s="1"/>
  <c r="V33" i="7"/>
  <c r="S33" i="7"/>
  <c r="Q33" i="7"/>
  <c r="P33" i="7"/>
  <c r="O33" i="7"/>
  <c r="N33" i="7"/>
  <c r="DI32" i="7"/>
  <c r="DH32" i="7"/>
  <c r="DG32" i="7"/>
  <c r="DF32" i="7"/>
  <c r="DE32" i="7"/>
  <c r="DD32" i="7"/>
  <c r="DC32" i="7"/>
  <c r="BN32" i="7"/>
  <c r="BM32" i="7"/>
  <c r="AV32" i="7"/>
  <c r="AU32" i="7"/>
  <c r="AM32" i="7"/>
  <c r="AL32" i="7"/>
  <c r="AK32" i="7"/>
  <c r="AJ32" i="7"/>
  <c r="AI32" i="7"/>
  <c r="AH32" i="7"/>
  <c r="AD32" i="7"/>
  <c r="AC32" i="7"/>
  <c r="AB32" i="7"/>
  <c r="Z32" i="7"/>
  <c r="AA32" i="7" s="1"/>
  <c r="V32" i="7"/>
  <c r="S32" i="7"/>
  <c r="Q32" i="7"/>
  <c r="P32" i="7"/>
  <c r="O32" i="7"/>
  <c r="N32" i="7"/>
  <c r="BN31" i="7"/>
  <c r="BM31" i="7"/>
  <c r="AV31" i="7"/>
  <c r="AU31" i="7"/>
  <c r="AM31" i="7"/>
  <c r="AL31" i="7"/>
  <c r="AK31" i="7"/>
  <c r="AJ31" i="7"/>
  <c r="AI31" i="7"/>
  <c r="AH31" i="7"/>
  <c r="AD31" i="7"/>
  <c r="AC31" i="7"/>
  <c r="AB31" i="7"/>
  <c r="Z31" i="7"/>
  <c r="AA31" i="7" s="1"/>
  <c r="V31" i="7"/>
  <c r="S31" i="7"/>
  <c r="Q31" i="7"/>
  <c r="P31" i="7"/>
  <c r="O31" i="7"/>
  <c r="N31" i="7"/>
  <c r="DI30" i="7"/>
  <c r="DH30" i="7"/>
  <c r="DG30" i="7"/>
  <c r="DF30" i="7"/>
  <c r="DE30" i="7"/>
  <c r="DD30" i="7"/>
  <c r="DC30" i="7"/>
  <c r="BN30" i="7"/>
  <c r="BM30" i="7"/>
  <c r="AV30" i="7"/>
  <c r="AU30" i="7"/>
  <c r="AM30" i="7"/>
  <c r="AL30" i="7"/>
  <c r="AK30" i="7"/>
  <c r="AJ30" i="7"/>
  <c r="AI30" i="7"/>
  <c r="AH30" i="7"/>
  <c r="AD30" i="7"/>
  <c r="AC30" i="7"/>
  <c r="AB30" i="7"/>
  <c r="Z30" i="7"/>
  <c r="AA30" i="7" s="1"/>
  <c r="V30" i="7"/>
  <c r="S30" i="7"/>
  <c r="Q30" i="7"/>
  <c r="P30" i="7"/>
  <c r="O30" i="7"/>
  <c r="N30" i="7"/>
  <c r="DL29" i="7"/>
  <c r="DK29" i="7"/>
  <c r="DJ29" i="7"/>
  <c r="DI29" i="7"/>
  <c r="BN29" i="7"/>
  <c r="BM29" i="7"/>
  <c r="AV29" i="7"/>
  <c r="AU29" i="7"/>
  <c r="AM29" i="7"/>
  <c r="AL29" i="7"/>
  <c r="AK29" i="7"/>
  <c r="AJ29" i="7"/>
  <c r="AI29" i="7"/>
  <c r="AH29" i="7"/>
  <c r="AD29" i="7"/>
  <c r="AC29" i="7"/>
  <c r="AB29" i="7"/>
  <c r="Z29" i="7"/>
  <c r="AA29" i="7" s="1"/>
  <c r="V29" i="7"/>
  <c r="S29" i="7"/>
  <c r="Q29" i="7"/>
  <c r="P29" i="7"/>
  <c r="O29" i="7"/>
  <c r="N29" i="7"/>
  <c r="DN28" i="7"/>
  <c r="DL28" i="7"/>
  <c r="DK28" i="7"/>
  <c r="DJ28" i="7"/>
  <c r="DI28" i="7"/>
  <c r="BN28" i="7"/>
  <c r="BM28" i="7"/>
  <c r="AV28" i="7"/>
  <c r="AU28" i="7"/>
  <c r="AM28" i="7"/>
  <c r="AL28" i="7"/>
  <c r="AK28" i="7"/>
  <c r="AJ28" i="7"/>
  <c r="AI28" i="7"/>
  <c r="AH28" i="7"/>
  <c r="AD28" i="7"/>
  <c r="AC28" i="7"/>
  <c r="AB28" i="7"/>
  <c r="Z28" i="7"/>
  <c r="AA28" i="7" s="1"/>
  <c r="V28" i="7"/>
  <c r="S28" i="7"/>
  <c r="Q28" i="7"/>
  <c r="P28" i="7"/>
  <c r="O28" i="7"/>
  <c r="N28" i="7"/>
  <c r="DN27" i="7"/>
  <c r="DL27" i="7"/>
  <c r="DK27" i="7"/>
  <c r="DJ27" i="7"/>
  <c r="DI27" i="7"/>
  <c r="BN27" i="7"/>
  <c r="BM27" i="7"/>
  <c r="AV27" i="7"/>
  <c r="AU27" i="7"/>
  <c r="AM27" i="7"/>
  <c r="AL27" i="7"/>
  <c r="AK27" i="7"/>
  <c r="AJ27" i="7"/>
  <c r="AI27" i="7"/>
  <c r="AH27" i="7"/>
  <c r="AD27" i="7"/>
  <c r="AC27" i="7"/>
  <c r="AB27" i="7"/>
  <c r="Z27" i="7"/>
  <c r="AA27" i="7" s="1"/>
  <c r="V27" i="7"/>
  <c r="S27" i="7"/>
  <c r="Q27" i="7"/>
  <c r="P27" i="7"/>
  <c r="O27" i="7"/>
  <c r="N27" i="7"/>
  <c r="DN26" i="7"/>
  <c r="DL26" i="7"/>
  <c r="DK26" i="7"/>
  <c r="DJ26" i="7"/>
  <c r="DI26" i="7"/>
  <c r="BN26" i="7"/>
  <c r="BM26" i="7"/>
  <c r="AV26" i="7"/>
  <c r="AU26" i="7"/>
  <c r="AM26" i="7"/>
  <c r="AL26" i="7"/>
  <c r="AK26" i="7"/>
  <c r="AJ26" i="7"/>
  <c r="AI26" i="7"/>
  <c r="AH26" i="7"/>
  <c r="AD26" i="7"/>
  <c r="AC26" i="7"/>
  <c r="AB26" i="7"/>
  <c r="Z26" i="7"/>
  <c r="AA26" i="7" s="1"/>
  <c r="V26" i="7"/>
  <c r="S26" i="7"/>
  <c r="Q26" i="7"/>
  <c r="P26" i="7"/>
  <c r="O26" i="7"/>
  <c r="N26" i="7"/>
  <c r="DN25" i="7"/>
  <c r="DL25" i="7"/>
  <c r="DK25" i="7"/>
  <c r="DJ25" i="7"/>
  <c r="DI25" i="7"/>
  <c r="BN25" i="7"/>
  <c r="BM25" i="7"/>
  <c r="AV25" i="7"/>
  <c r="AU25" i="7"/>
  <c r="AM25" i="7"/>
  <c r="AL25" i="7"/>
  <c r="AK25" i="7"/>
  <c r="AJ25" i="7"/>
  <c r="AI25" i="7"/>
  <c r="AH25" i="7"/>
  <c r="AD25" i="7"/>
  <c r="AC25" i="7"/>
  <c r="AB25" i="7"/>
  <c r="Z25" i="7"/>
  <c r="AA25" i="7" s="1"/>
  <c r="V25" i="7"/>
  <c r="S25" i="7"/>
  <c r="Q25" i="7"/>
  <c r="P25" i="7"/>
  <c r="O25" i="7"/>
  <c r="N25" i="7"/>
  <c r="DN24" i="7"/>
  <c r="DL24" i="7"/>
  <c r="DK24" i="7"/>
  <c r="DJ24" i="7"/>
  <c r="DI24" i="7"/>
  <c r="BN24" i="7"/>
  <c r="BM24" i="7"/>
  <c r="AV24" i="7"/>
  <c r="AU24" i="7"/>
  <c r="AM24" i="7"/>
  <c r="AL24" i="7"/>
  <c r="AK24" i="7"/>
  <c r="AJ24" i="7"/>
  <c r="AI24" i="7"/>
  <c r="AH24" i="7"/>
  <c r="AD24" i="7"/>
  <c r="AC24" i="7"/>
  <c r="AB24" i="7"/>
  <c r="Z24" i="7"/>
  <c r="AA24" i="7" s="1"/>
  <c r="V24" i="7"/>
  <c r="S24" i="7"/>
  <c r="Q24" i="7"/>
  <c r="P24" i="7"/>
  <c r="O24" i="7"/>
  <c r="N24" i="7"/>
  <c r="DN23" i="7"/>
  <c r="DL23" i="7"/>
  <c r="DK23" i="7"/>
  <c r="DJ23" i="7"/>
  <c r="DI23" i="7"/>
  <c r="BN23" i="7"/>
  <c r="BM23" i="7"/>
  <c r="AV23" i="7"/>
  <c r="AU23" i="7"/>
  <c r="AM23" i="7"/>
  <c r="AL23" i="7"/>
  <c r="AK23" i="7"/>
  <c r="AJ23" i="7"/>
  <c r="AI23" i="7"/>
  <c r="AH23" i="7"/>
  <c r="AD23" i="7"/>
  <c r="AC23" i="7"/>
  <c r="AB23" i="7"/>
  <c r="Z23" i="7"/>
  <c r="AA23" i="7" s="1"/>
  <c r="V23" i="7"/>
  <c r="S23" i="7"/>
  <c r="Q23" i="7"/>
  <c r="P23" i="7"/>
  <c r="O23" i="7"/>
  <c r="N23" i="7"/>
  <c r="DN22" i="7"/>
  <c r="DL22" i="7"/>
  <c r="DK22" i="7"/>
  <c r="DJ22" i="7"/>
  <c r="DI22" i="7"/>
  <c r="BN22" i="7"/>
  <c r="BM22" i="7"/>
  <c r="AV22" i="7"/>
  <c r="AU22" i="7"/>
  <c r="AM22" i="7"/>
  <c r="AL22" i="7"/>
  <c r="AK22" i="7"/>
  <c r="AJ22" i="7"/>
  <c r="AI22" i="7"/>
  <c r="AH22" i="7"/>
  <c r="AD22" i="7"/>
  <c r="AC22" i="7"/>
  <c r="AB22" i="7"/>
  <c r="Z22" i="7"/>
  <c r="AA22" i="7" s="1"/>
  <c r="V22" i="7"/>
  <c r="S22" i="7"/>
  <c r="Q22" i="7"/>
  <c r="P22" i="7"/>
  <c r="O22" i="7"/>
  <c r="N22" i="7"/>
  <c r="DN21" i="7"/>
  <c r="DL21" i="7"/>
  <c r="DK21" i="7"/>
  <c r="DJ21" i="7"/>
  <c r="DI21" i="7"/>
  <c r="BY21" i="7"/>
  <c r="CC21" i="7" s="1"/>
  <c r="BV21" i="7"/>
  <c r="BN21" i="7"/>
  <c r="BM21" i="7"/>
  <c r="AV21" i="7"/>
  <c r="AU21" i="7"/>
  <c r="AM21" i="7"/>
  <c r="AL21" i="7"/>
  <c r="AK21" i="7"/>
  <c r="AJ21" i="7"/>
  <c r="AI21" i="7"/>
  <c r="AH21" i="7"/>
  <c r="AD21" i="7"/>
  <c r="AC21" i="7"/>
  <c r="AB21" i="7"/>
  <c r="Z21" i="7"/>
  <c r="AA21" i="7" s="1"/>
  <c r="V21" i="7"/>
  <c r="S21" i="7"/>
  <c r="Q21" i="7"/>
  <c r="P21" i="7"/>
  <c r="O21" i="7"/>
  <c r="N21" i="7"/>
  <c r="DN20" i="7"/>
  <c r="DL20" i="7"/>
  <c r="DK20" i="7"/>
  <c r="DJ20" i="7"/>
  <c r="DI20" i="7"/>
  <c r="BN20" i="7"/>
  <c r="BM20" i="7"/>
  <c r="AV20" i="7"/>
  <c r="AU20" i="7"/>
  <c r="AM20" i="7"/>
  <c r="AL20" i="7"/>
  <c r="AK20" i="7"/>
  <c r="AJ20" i="7"/>
  <c r="AI20" i="7"/>
  <c r="AH20" i="7"/>
  <c r="AD20" i="7"/>
  <c r="AC20" i="7"/>
  <c r="AB20" i="7"/>
  <c r="Z20" i="7"/>
  <c r="AA20" i="7" s="1"/>
  <c r="V20" i="7"/>
  <c r="S20" i="7"/>
  <c r="Q20" i="7"/>
  <c r="P20" i="7"/>
  <c r="O20" i="7"/>
  <c r="N20" i="7"/>
  <c r="DN19" i="7"/>
  <c r="DL19" i="7"/>
  <c r="DK19" i="7"/>
  <c r="DJ19" i="7"/>
  <c r="DI19" i="7"/>
  <c r="BV19" i="7"/>
  <c r="BN19" i="7"/>
  <c r="BM19" i="7"/>
  <c r="AV19" i="7"/>
  <c r="AU19" i="7"/>
  <c r="AM19" i="7"/>
  <c r="AL19" i="7"/>
  <c r="AK19" i="7"/>
  <c r="AJ19" i="7"/>
  <c r="AI19" i="7"/>
  <c r="AH19" i="7"/>
  <c r="AD19" i="7"/>
  <c r="AC19" i="7"/>
  <c r="AB19" i="7"/>
  <c r="Z19" i="7"/>
  <c r="AA19" i="7" s="1"/>
  <c r="V19" i="7"/>
  <c r="S19" i="7"/>
  <c r="Q19" i="7"/>
  <c r="P19" i="7"/>
  <c r="O19" i="7"/>
  <c r="N19" i="7"/>
  <c r="DN18" i="7"/>
  <c r="DL18" i="7"/>
  <c r="DK18" i="7"/>
  <c r="DJ18" i="7"/>
  <c r="DI18" i="7"/>
  <c r="BN18" i="7"/>
  <c r="BM18" i="7"/>
  <c r="AV18" i="7"/>
  <c r="AU18" i="7"/>
  <c r="AM18" i="7"/>
  <c r="AL18" i="7"/>
  <c r="AK18" i="7"/>
  <c r="AJ18" i="7"/>
  <c r="AI18" i="7"/>
  <c r="AH18" i="7"/>
  <c r="AD18" i="7"/>
  <c r="AC18" i="7"/>
  <c r="AB18" i="7"/>
  <c r="Z18" i="7"/>
  <c r="AA18" i="7" s="1"/>
  <c r="V18" i="7"/>
  <c r="S18" i="7"/>
  <c r="Q18" i="7"/>
  <c r="P18" i="7"/>
  <c r="O18" i="7"/>
  <c r="N18" i="7"/>
  <c r="DN17" i="7"/>
  <c r="DL17" i="7"/>
  <c r="DK17" i="7"/>
  <c r="DJ17" i="7"/>
  <c r="DI17" i="7"/>
  <c r="BY17" i="7"/>
  <c r="CC17" i="7" s="1"/>
  <c r="BV17" i="7"/>
  <c r="BN17" i="7"/>
  <c r="BM17" i="7"/>
  <c r="AV17" i="7"/>
  <c r="AU17" i="7"/>
  <c r="AM17" i="7"/>
  <c r="AL17" i="7"/>
  <c r="AK17" i="7"/>
  <c r="AJ17" i="7"/>
  <c r="AI17" i="7"/>
  <c r="AH17" i="7"/>
  <c r="AD17" i="7"/>
  <c r="AC17" i="7"/>
  <c r="AB17" i="7"/>
  <c r="Z17" i="7"/>
  <c r="AA17" i="7" s="1"/>
  <c r="V17" i="7"/>
  <c r="S17" i="7"/>
  <c r="Q17" i="7"/>
  <c r="P17" i="7"/>
  <c r="O17" i="7"/>
  <c r="N17" i="7"/>
  <c r="DN16" i="7"/>
  <c r="DL16" i="7"/>
  <c r="DK16" i="7"/>
  <c r="DJ16" i="7"/>
  <c r="DI16" i="7"/>
  <c r="BN16" i="7"/>
  <c r="BM16" i="7"/>
  <c r="AV16" i="7"/>
  <c r="AU16" i="7"/>
  <c r="AM16" i="7"/>
  <c r="AL16" i="7"/>
  <c r="AK16" i="7"/>
  <c r="AJ16" i="7"/>
  <c r="AI16" i="7"/>
  <c r="AH16" i="7"/>
  <c r="AD16" i="7"/>
  <c r="AC16" i="7"/>
  <c r="AB16" i="7"/>
  <c r="Z16" i="7"/>
  <c r="AA16" i="7" s="1"/>
  <c r="V16" i="7"/>
  <c r="S16" i="7"/>
  <c r="Q16" i="7"/>
  <c r="P16" i="7"/>
  <c r="O16" i="7"/>
  <c r="N16" i="7"/>
  <c r="DN15" i="7"/>
  <c r="DL15" i="7"/>
  <c r="DK15" i="7"/>
  <c r="DJ15" i="7"/>
  <c r="DI15" i="7"/>
  <c r="CC15" i="7"/>
  <c r="BY15" i="7"/>
  <c r="BV15" i="7"/>
  <c r="BN15" i="7"/>
  <c r="BM15" i="7"/>
  <c r="AV15" i="7"/>
  <c r="AU15" i="7"/>
  <c r="AM15" i="7"/>
  <c r="AL15" i="7"/>
  <c r="AK15" i="7"/>
  <c r="AJ15" i="7"/>
  <c r="AI15" i="7"/>
  <c r="AH15" i="7"/>
  <c r="AD15" i="7"/>
  <c r="AC15" i="7"/>
  <c r="AB15" i="7"/>
  <c r="Z15" i="7"/>
  <c r="AA15" i="7" s="1"/>
  <c r="V15" i="7"/>
  <c r="S15" i="7"/>
  <c r="Q15" i="7"/>
  <c r="P15" i="7"/>
  <c r="O15" i="7"/>
  <c r="N15" i="7"/>
  <c r="DN14" i="7"/>
  <c r="DL14" i="7"/>
  <c r="DK14" i="7"/>
  <c r="DJ14" i="7"/>
  <c r="DI14" i="7"/>
  <c r="BN14" i="7"/>
  <c r="BM14" i="7"/>
  <c r="AV14" i="7"/>
  <c r="AU14" i="7"/>
  <c r="AM14" i="7"/>
  <c r="AL14" i="7"/>
  <c r="AK14" i="7"/>
  <c r="AJ14" i="7"/>
  <c r="AI14" i="7"/>
  <c r="AH14" i="7"/>
  <c r="AD14" i="7"/>
  <c r="AC14" i="7"/>
  <c r="AB14" i="7"/>
  <c r="Z14" i="7"/>
  <c r="AA14" i="7" s="1"/>
  <c r="V14" i="7"/>
  <c r="S14" i="7"/>
  <c r="Q14" i="7"/>
  <c r="P14" i="7"/>
  <c r="O14" i="7"/>
  <c r="N14" i="7"/>
  <c r="DN13" i="7"/>
  <c r="DL13" i="7"/>
  <c r="DK13" i="7"/>
  <c r="DJ13" i="7"/>
  <c r="DI13" i="7"/>
  <c r="BY13" i="7"/>
  <c r="CC13" i="7" s="1"/>
  <c r="BV13" i="7"/>
  <c r="BN13" i="7"/>
  <c r="BM13" i="7"/>
  <c r="AV13" i="7"/>
  <c r="AU13" i="7"/>
  <c r="AM13" i="7"/>
  <c r="AL13" i="7"/>
  <c r="AK13" i="7"/>
  <c r="AJ13" i="7"/>
  <c r="AI13" i="7"/>
  <c r="AH13" i="7"/>
  <c r="AD13" i="7"/>
  <c r="AC13" i="7"/>
  <c r="AB13" i="7"/>
  <c r="Z13" i="7"/>
  <c r="AA13" i="7" s="1"/>
  <c r="V13" i="7"/>
  <c r="S13" i="7"/>
  <c r="Q13" i="7"/>
  <c r="P13" i="7"/>
  <c r="O13" i="7"/>
  <c r="N13" i="7"/>
  <c r="DN12" i="7"/>
  <c r="DL12" i="7"/>
  <c r="DK12" i="7"/>
  <c r="DJ12" i="7"/>
  <c r="DI12" i="7"/>
  <c r="BN12" i="7"/>
  <c r="BM12" i="7"/>
  <c r="AV12" i="7"/>
  <c r="AU12" i="7"/>
  <c r="AM12" i="7"/>
  <c r="AL12" i="7"/>
  <c r="AK12" i="7"/>
  <c r="AJ12" i="7"/>
  <c r="AI12" i="7"/>
  <c r="AH12" i="7"/>
  <c r="AD12" i="7"/>
  <c r="AC12" i="7"/>
  <c r="AB12" i="7"/>
  <c r="Z12" i="7"/>
  <c r="AA12" i="7" s="1"/>
  <c r="V12" i="7"/>
  <c r="S12" i="7"/>
  <c r="Q12" i="7"/>
  <c r="P12" i="7"/>
  <c r="O12" i="7"/>
  <c r="N12" i="7"/>
  <c r="DN11" i="7"/>
  <c r="DL11" i="7"/>
  <c r="DK11" i="7"/>
  <c r="DJ11" i="7"/>
  <c r="DI11" i="7"/>
  <c r="CC11" i="7"/>
  <c r="BY11" i="7"/>
  <c r="BV11" i="7"/>
  <c r="BN11" i="7"/>
  <c r="BM11" i="7"/>
  <c r="AV11" i="7"/>
  <c r="AU11" i="7"/>
  <c r="AM11" i="7"/>
  <c r="AL11" i="7"/>
  <c r="AK11" i="7"/>
  <c r="AJ11" i="7"/>
  <c r="AI11" i="7"/>
  <c r="AH11" i="7"/>
  <c r="AD11" i="7"/>
  <c r="AC11" i="7"/>
  <c r="AB11" i="7"/>
  <c r="Z11" i="7"/>
  <c r="AA11" i="7" s="1"/>
  <c r="V11" i="7"/>
  <c r="S11" i="7"/>
  <c r="Q11" i="7"/>
  <c r="P11" i="7"/>
  <c r="O11" i="7"/>
  <c r="N11" i="7"/>
  <c r="DN10" i="7"/>
  <c r="DL10" i="7"/>
  <c r="DK10" i="7"/>
  <c r="DJ10" i="7"/>
  <c r="DI10" i="7"/>
  <c r="BN10" i="7"/>
  <c r="BM10" i="7"/>
  <c r="AV10" i="7"/>
  <c r="AU10" i="7"/>
  <c r="AM10" i="7"/>
  <c r="AL10" i="7"/>
  <c r="AK10" i="7"/>
  <c r="AJ10" i="7"/>
  <c r="AI10" i="7"/>
  <c r="AH10" i="7"/>
  <c r="AD10" i="7"/>
  <c r="AC10" i="7"/>
  <c r="AB10" i="7"/>
  <c r="Z10" i="7"/>
  <c r="AA10" i="7" s="1"/>
  <c r="V10" i="7"/>
  <c r="S10" i="7"/>
  <c r="Q10" i="7"/>
  <c r="P10" i="7"/>
  <c r="O10" i="7"/>
  <c r="N10" i="7"/>
  <c r="DN9" i="7"/>
  <c r="DL9" i="7"/>
  <c r="DK9" i="7"/>
  <c r="DJ9" i="7"/>
  <c r="DI9" i="7"/>
  <c r="BV9" i="7"/>
  <c r="BN9" i="7"/>
  <c r="BM9" i="7"/>
  <c r="AV9" i="7"/>
  <c r="AU9" i="7"/>
  <c r="AM9" i="7"/>
  <c r="AL9" i="7"/>
  <c r="AK9" i="7"/>
  <c r="AJ9" i="7"/>
  <c r="AI9" i="7"/>
  <c r="AH9" i="7"/>
  <c r="AD9" i="7"/>
  <c r="AC9" i="7"/>
  <c r="AB9" i="7"/>
  <c r="Z9" i="7"/>
  <c r="AA9" i="7" s="1"/>
  <c r="V9" i="7"/>
  <c r="S9" i="7"/>
  <c r="Q9" i="7"/>
  <c r="P9" i="7"/>
  <c r="O9" i="7"/>
  <c r="N9" i="7"/>
  <c r="DN8" i="7"/>
  <c r="DL8" i="7"/>
  <c r="DK8" i="7"/>
  <c r="DJ8" i="7"/>
  <c r="DI8" i="7"/>
  <c r="BN8" i="7"/>
  <c r="BM8" i="7"/>
  <c r="AV8" i="7"/>
  <c r="AU8" i="7"/>
  <c r="AM8" i="7"/>
  <c r="AL8" i="7"/>
  <c r="AK8" i="7"/>
  <c r="AJ8" i="7"/>
  <c r="AI8" i="7"/>
  <c r="AH8" i="7"/>
  <c r="AD8" i="7"/>
  <c r="AC8" i="7"/>
  <c r="AB8" i="7"/>
  <c r="Z8" i="7"/>
  <c r="AA8" i="7" s="1"/>
  <c r="V8" i="7"/>
  <c r="S8" i="7"/>
  <c r="Q8" i="7"/>
  <c r="P8" i="7"/>
  <c r="O8" i="7"/>
  <c r="N8" i="7"/>
  <c r="DN7" i="7"/>
  <c r="DL7" i="7"/>
  <c r="DK7" i="7"/>
  <c r="DJ7" i="7"/>
  <c r="DI7" i="7"/>
  <c r="CC7" i="7"/>
  <c r="BY7" i="7"/>
  <c r="BV7" i="7"/>
  <c r="BN7" i="7"/>
  <c r="BM7" i="7"/>
  <c r="AV7" i="7"/>
  <c r="AU7" i="7"/>
  <c r="AM7" i="7"/>
  <c r="AL7" i="7"/>
  <c r="AK7" i="7"/>
  <c r="AJ7" i="7"/>
  <c r="AI7" i="7"/>
  <c r="AH7" i="7"/>
  <c r="AD7" i="7"/>
  <c r="AC7" i="7"/>
  <c r="AB7" i="7"/>
  <c r="Z7" i="7"/>
  <c r="AA7" i="7" s="1"/>
  <c r="V7" i="7"/>
  <c r="S7" i="7"/>
  <c r="Q7" i="7"/>
  <c r="P7" i="7"/>
  <c r="O7" i="7"/>
  <c r="N7" i="7"/>
  <c r="DN6" i="7"/>
  <c r="DL6" i="7"/>
  <c r="DK6" i="7"/>
  <c r="DJ6" i="7"/>
  <c r="DI6" i="7"/>
  <c r="BN6" i="7"/>
  <c r="BM74" i="7" s="1"/>
  <c r="BM6" i="7"/>
  <c r="BM75" i="7" s="1"/>
  <c r="AD6" i="7"/>
  <c r="AC6" i="7"/>
  <c r="AB6" i="7"/>
  <c r="Z6" i="7"/>
  <c r="AA6" i="7" s="1"/>
  <c r="V6" i="7"/>
  <c r="S6" i="7"/>
  <c r="Q6" i="7"/>
  <c r="P6" i="7"/>
  <c r="O6" i="7"/>
  <c r="N6" i="7"/>
  <c r="BY5" i="7"/>
  <c r="CC5" i="7" s="1"/>
  <c r="BV5" i="7"/>
  <c r="BV23" i="7" s="1"/>
  <c r="CF5" i="20"/>
  <c r="CF7" i="20"/>
  <c r="CF9" i="20"/>
  <c r="CF11" i="20"/>
  <c r="CF13" i="20"/>
  <c r="CF15" i="20"/>
  <c r="CF17" i="20"/>
  <c r="CF19" i="20"/>
  <c r="AM20" i="5" l="1"/>
  <c r="AG19" i="5"/>
  <c r="AI18" i="5"/>
  <c r="AK17" i="5"/>
  <c r="AL20" i="5"/>
  <c r="AN19" i="5"/>
  <c r="AH18" i="5"/>
  <c r="AJ17" i="5"/>
  <c r="AN20" i="5"/>
  <c r="AK20" i="5"/>
  <c r="AM19" i="5"/>
  <c r="AG18" i="5"/>
  <c r="AI17" i="5"/>
  <c r="AH19" i="5"/>
  <c r="AJ20" i="5"/>
  <c r="AL19" i="5"/>
  <c r="AN18" i="5"/>
  <c r="AH17" i="5"/>
  <c r="AI20" i="5"/>
  <c r="AK19" i="5"/>
  <c r="AM18" i="5"/>
  <c r="AG17" i="5"/>
  <c r="AL17" i="5"/>
  <c r="AH20" i="5"/>
  <c r="AJ19" i="5"/>
  <c r="AL18" i="5"/>
  <c r="AN17" i="5"/>
  <c r="AG20" i="5"/>
  <c r="AI19" i="5"/>
  <c r="AK18" i="5"/>
  <c r="AM17" i="5"/>
  <c r="AJ18" i="5"/>
  <c r="AN24" i="5"/>
  <c r="AH23" i="5"/>
  <c r="AJ22" i="5"/>
  <c r="AL21" i="5"/>
  <c r="AM24" i="5"/>
  <c r="AG23" i="5"/>
  <c r="AI22" i="5"/>
  <c r="AK21" i="5"/>
  <c r="AL24" i="5"/>
  <c r="AN23" i="5"/>
  <c r="AH22" i="5"/>
  <c r="AJ21" i="5"/>
  <c r="AG24" i="5"/>
  <c r="AK24" i="5"/>
  <c r="AM23" i="5"/>
  <c r="AG22" i="5"/>
  <c r="AI21" i="5"/>
  <c r="AK22" i="5"/>
  <c r="AJ24" i="5"/>
  <c r="AL23" i="5"/>
  <c r="AN22" i="5"/>
  <c r="AH21" i="5"/>
  <c r="AI23" i="5"/>
  <c r="AI24" i="5"/>
  <c r="AK23" i="5"/>
  <c r="AM22" i="5"/>
  <c r="AG21" i="5"/>
  <c r="AM21" i="5"/>
  <c r="AH24" i="5"/>
  <c r="AJ23" i="5"/>
  <c r="AL22" i="5"/>
  <c r="AN21" i="5"/>
  <c r="AI46" i="5"/>
  <c r="AK45" i="5"/>
  <c r="AM44" i="5"/>
  <c r="AG43" i="5"/>
  <c r="AH46" i="5"/>
  <c r="AJ45" i="5"/>
  <c r="AL44" i="5"/>
  <c r="AN43" i="5"/>
  <c r="AL45" i="5"/>
  <c r="AG46" i="5"/>
  <c r="AI45" i="5"/>
  <c r="AK44" i="5"/>
  <c r="AM43" i="5"/>
  <c r="AH43" i="5"/>
  <c r="AN46" i="5"/>
  <c r="AH45" i="5"/>
  <c r="AJ44" i="5"/>
  <c r="AL43" i="5"/>
  <c r="AJ46" i="5"/>
  <c r="AM46" i="5"/>
  <c r="AG45" i="5"/>
  <c r="AI44" i="5"/>
  <c r="AK43" i="5"/>
  <c r="AL46" i="5"/>
  <c r="AN45" i="5"/>
  <c r="AH44" i="5"/>
  <c r="AJ43" i="5"/>
  <c r="AN44" i="5"/>
  <c r="AK46" i="5"/>
  <c r="AM45" i="5"/>
  <c r="AG44" i="5"/>
  <c r="AI43" i="5"/>
  <c r="AK54" i="5"/>
  <c r="AM53" i="5"/>
  <c r="AG52" i="5"/>
  <c r="AI51" i="5"/>
  <c r="AJ54" i="5"/>
  <c r="AL53" i="5"/>
  <c r="AN52" i="5"/>
  <c r="AH51" i="5"/>
  <c r="AI54" i="5"/>
  <c r="AK53" i="5"/>
  <c r="AM52" i="5"/>
  <c r="AG51" i="5"/>
  <c r="AH54" i="5"/>
  <c r="AJ53" i="5"/>
  <c r="AL52" i="5"/>
  <c r="AN51" i="5"/>
  <c r="AH52" i="5"/>
  <c r="AG54" i="5"/>
  <c r="AI53" i="5"/>
  <c r="AK52" i="5"/>
  <c r="AM51" i="5"/>
  <c r="AN53" i="5"/>
  <c r="AN54" i="5"/>
  <c r="AH53" i="5"/>
  <c r="AJ52" i="5"/>
  <c r="AL51" i="5"/>
  <c r="AL54" i="5"/>
  <c r="AJ51" i="5"/>
  <c r="AM54" i="5"/>
  <c r="AG53" i="5"/>
  <c r="AI52" i="5"/>
  <c r="AK51" i="5"/>
  <c r="AH42" i="5"/>
  <c r="AJ41" i="5"/>
  <c r="AL40" i="5"/>
  <c r="AN39" i="5"/>
  <c r="AG42" i="5"/>
  <c r="AI41" i="5"/>
  <c r="AK40" i="5"/>
  <c r="AM39" i="5"/>
  <c r="AI42" i="5"/>
  <c r="AN42" i="5"/>
  <c r="AH41" i="5"/>
  <c r="AJ40" i="5"/>
  <c r="AL39" i="5"/>
  <c r="AM42" i="5"/>
  <c r="AG41" i="5"/>
  <c r="AI40" i="5"/>
  <c r="AK39" i="5"/>
  <c r="AG39" i="5"/>
  <c r="AL42" i="5"/>
  <c r="AN41" i="5"/>
  <c r="AH40" i="5"/>
  <c r="AJ39" i="5"/>
  <c r="AM40" i="5"/>
  <c r="AK42" i="5"/>
  <c r="AM41" i="5"/>
  <c r="AG40" i="5"/>
  <c r="AI39" i="5"/>
  <c r="AJ42" i="5"/>
  <c r="AL41" i="5"/>
  <c r="AN40" i="5"/>
  <c r="AH39" i="5"/>
  <c r="AK41" i="5"/>
  <c r="AK12" i="5"/>
  <c r="AM11" i="5"/>
  <c r="AG10" i="5"/>
  <c r="AI9" i="5"/>
  <c r="AJ12" i="5"/>
  <c r="AL11" i="5"/>
  <c r="AN10" i="5"/>
  <c r="AH9" i="5"/>
  <c r="AH10" i="5"/>
  <c r="AI12" i="5"/>
  <c r="AK11" i="5"/>
  <c r="AM10" i="5"/>
  <c r="AG9" i="5"/>
  <c r="AN11" i="5"/>
  <c r="AH12" i="5"/>
  <c r="AJ11" i="5"/>
  <c r="AL10" i="5"/>
  <c r="AN9" i="5"/>
  <c r="AG12" i="5"/>
  <c r="AI11" i="5"/>
  <c r="AK10" i="5"/>
  <c r="AM9" i="5"/>
  <c r="AN12" i="5"/>
  <c r="AH11" i="5"/>
  <c r="AJ10" i="5"/>
  <c r="AL9" i="5"/>
  <c r="AJ9" i="5"/>
  <c r="AM12" i="5"/>
  <c r="AG11" i="5"/>
  <c r="AI10" i="5"/>
  <c r="AK9" i="5"/>
  <c r="AL12" i="5"/>
  <c r="AM62" i="5"/>
  <c r="AG61" i="5"/>
  <c r="AI60" i="5"/>
  <c r="AK59" i="5"/>
  <c r="AL62" i="5"/>
  <c r="AN61" i="5"/>
  <c r="AH60" i="5"/>
  <c r="AJ59" i="5"/>
  <c r="AK62" i="5"/>
  <c r="AM61" i="5"/>
  <c r="AG60" i="5"/>
  <c r="AI59" i="5"/>
  <c r="AJ62" i="5"/>
  <c r="AL61" i="5"/>
  <c r="AN60" i="5"/>
  <c r="AH59" i="5"/>
  <c r="AN62" i="5"/>
  <c r="AI62" i="5"/>
  <c r="AK61" i="5"/>
  <c r="AM60" i="5"/>
  <c r="AG59" i="5"/>
  <c r="AJ60" i="5"/>
  <c r="AH62" i="5"/>
  <c r="AJ61" i="5"/>
  <c r="AL60" i="5"/>
  <c r="AN59" i="5"/>
  <c r="AH61" i="5"/>
  <c r="AL59" i="5"/>
  <c r="AG62" i="5"/>
  <c r="AI61" i="5"/>
  <c r="AK60" i="5"/>
  <c r="AM59" i="5"/>
  <c r="AJ50" i="5"/>
  <c r="AL49" i="5"/>
  <c r="AN48" i="5"/>
  <c r="AH47" i="5"/>
  <c r="AI50" i="5"/>
  <c r="AK49" i="5"/>
  <c r="AM48" i="5"/>
  <c r="AG47" i="5"/>
  <c r="AH50" i="5"/>
  <c r="AJ49" i="5"/>
  <c r="AL48" i="5"/>
  <c r="AN47" i="5"/>
  <c r="AK50" i="5"/>
  <c r="AG50" i="5"/>
  <c r="AI49" i="5"/>
  <c r="AK48" i="5"/>
  <c r="AM47" i="5"/>
  <c r="AN50" i="5"/>
  <c r="AH49" i="5"/>
  <c r="AJ48" i="5"/>
  <c r="AL47" i="5"/>
  <c r="AI47" i="5"/>
  <c r="AM50" i="5"/>
  <c r="AG49" i="5"/>
  <c r="AI48" i="5"/>
  <c r="AK47" i="5"/>
  <c r="AG48" i="5"/>
  <c r="AL50" i="5"/>
  <c r="AN49" i="5"/>
  <c r="AH48" i="5"/>
  <c r="AJ47" i="5"/>
  <c r="AM49" i="5"/>
  <c r="AL58" i="5"/>
  <c r="AN57" i="5"/>
  <c r="AH56" i="5"/>
  <c r="AJ55" i="5"/>
  <c r="AK55" i="5"/>
  <c r="AK58" i="5"/>
  <c r="AM57" i="5"/>
  <c r="AG56" i="5"/>
  <c r="AI55" i="5"/>
  <c r="AJ58" i="5"/>
  <c r="AL57" i="5"/>
  <c r="AN56" i="5"/>
  <c r="AH55" i="5"/>
  <c r="AI58" i="5"/>
  <c r="AK57" i="5"/>
  <c r="AM56" i="5"/>
  <c r="AG55" i="5"/>
  <c r="AG57" i="5"/>
  <c r="AH58" i="5"/>
  <c r="AJ57" i="5"/>
  <c r="AL56" i="5"/>
  <c r="AN55" i="5"/>
  <c r="AI56" i="5"/>
  <c r="AG58" i="5"/>
  <c r="AI57" i="5"/>
  <c r="AK56" i="5"/>
  <c r="AM55" i="5"/>
  <c r="AM58" i="5"/>
  <c r="AN58" i="5"/>
  <c r="AH57" i="5"/>
  <c r="AJ56" i="5"/>
  <c r="AL55" i="5"/>
  <c r="AL16" i="5"/>
  <c r="AN15" i="5"/>
  <c r="AH14" i="5"/>
  <c r="AJ13" i="5"/>
  <c r="AM16" i="5"/>
  <c r="AK16" i="5"/>
  <c r="AM15" i="5"/>
  <c r="AG14" i="5"/>
  <c r="AI13" i="5"/>
  <c r="AG15" i="5"/>
  <c r="AJ16" i="5"/>
  <c r="AL15" i="5"/>
  <c r="AN14" i="5"/>
  <c r="AH13" i="5"/>
  <c r="AI16" i="5"/>
  <c r="AK15" i="5"/>
  <c r="AM14" i="5"/>
  <c r="AG13" i="5"/>
  <c r="AK13" i="5"/>
  <c r="AH16" i="5"/>
  <c r="AJ15" i="5"/>
  <c r="AL14" i="5"/>
  <c r="AN13" i="5"/>
  <c r="AG16" i="5"/>
  <c r="AI15" i="5"/>
  <c r="AK14" i="5"/>
  <c r="AM13" i="5"/>
  <c r="AI14" i="5"/>
  <c r="AN16" i="5"/>
  <c r="AH15" i="5"/>
  <c r="AJ14" i="5"/>
  <c r="AL13" i="5"/>
  <c r="AG28" i="5"/>
  <c r="AI27" i="5"/>
  <c r="AK26" i="5"/>
  <c r="AM25" i="5"/>
  <c r="AL26" i="5"/>
  <c r="AN28" i="5"/>
  <c r="AH27" i="5"/>
  <c r="AJ26" i="5"/>
  <c r="AL25" i="5"/>
  <c r="AJ27" i="5"/>
  <c r="AM28" i="5"/>
  <c r="AG27" i="5"/>
  <c r="AI26" i="5"/>
  <c r="AK25" i="5"/>
  <c r="AL28" i="5"/>
  <c r="AN27" i="5"/>
  <c r="AH26" i="5"/>
  <c r="AJ25" i="5"/>
  <c r="AK28" i="5"/>
  <c r="AM27" i="5"/>
  <c r="AG26" i="5"/>
  <c r="AI25" i="5"/>
  <c r="AJ28" i="5"/>
  <c r="AL27" i="5"/>
  <c r="AN26" i="5"/>
  <c r="AH25" i="5"/>
  <c r="AH28" i="5"/>
  <c r="AI28" i="5"/>
  <c r="AK27" i="5"/>
  <c r="AM26" i="5"/>
  <c r="AG25" i="5"/>
  <c r="AN25" i="5"/>
  <c r="BZ13" i="9"/>
  <c r="BZ17" i="7"/>
  <c r="AE140" i="8"/>
  <c r="DJ36" i="10"/>
  <c r="O172" i="10"/>
  <c r="AO21" i="5" s="1"/>
  <c r="Y15" i="5"/>
  <c r="AE133" i="7"/>
  <c r="DI34" i="7"/>
  <c r="Y21" i="5"/>
  <c r="AO43" i="5"/>
  <c r="DI34" i="8"/>
  <c r="DJ36" i="7"/>
  <c r="DI34" i="10"/>
  <c r="AO25" i="5"/>
  <c r="Y25" i="5"/>
  <c r="CF27" i="20"/>
  <c r="BZ5" i="7"/>
  <c r="C7" i="5"/>
  <c r="BZ7" i="7"/>
  <c r="C9" i="5"/>
  <c r="D7" i="5"/>
  <c r="BZ19" i="7"/>
  <c r="C21" i="5"/>
  <c r="D19" i="5"/>
  <c r="C11" i="5"/>
  <c r="D9" i="5"/>
  <c r="C13" i="5"/>
  <c r="D11" i="5"/>
  <c r="C15" i="5"/>
  <c r="D13" i="5"/>
  <c r="C17" i="5"/>
  <c r="D15" i="5"/>
  <c r="AE77" i="10"/>
  <c r="AE142" i="7"/>
  <c r="AE13" i="8"/>
  <c r="BZ11" i="8"/>
  <c r="BZ13" i="10"/>
  <c r="BZ21" i="8"/>
  <c r="BZ15" i="7"/>
  <c r="BZ13" i="8"/>
  <c r="BZ11" i="7"/>
  <c r="BZ9" i="7"/>
  <c r="BZ9" i="8"/>
  <c r="BZ11" i="9"/>
  <c r="BZ15" i="10"/>
  <c r="BZ21" i="7"/>
  <c r="BZ13" i="7"/>
  <c r="BZ15" i="8"/>
  <c r="AK69" i="10"/>
  <c r="AJ70" i="10"/>
  <c r="AH69" i="10"/>
  <c r="AM70" i="8"/>
  <c r="AJ69" i="7"/>
  <c r="AM69" i="7"/>
  <c r="AI70" i="7"/>
  <c r="AM69" i="8"/>
  <c r="AI70" i="9"/>
  <c r="AV69" i="10"/>
  <c r="AI71" i="10" s="1"/>
  <c r="AJ70" i="9"/>
  <c r="AK70" i="7"/>
  <c r="AJ70" i="8"/>
  <c r="AM70" i="7"/>
  <c r="AI69" i="8"/>
  <c r="AH69" i="7"/>
  <c r="AL70" i="7"/>
  <c r="AH70" i="7"/>
  <c r="AH69" i="8"/>
  <c r="AK70" i="8"/>
  <c r="AI69" i="9"/>
  <c r="AL70" i="9"/>
  <c r="AJ69" i="10"/>
  <c r="AM70" i="10"/>
  <c r="AI69" i="7"/>
  <c r="AL69" i="7"/>
  <c r="AL70" i="8"/>
  <c r="AJ69" i="9"/>
  <c r="AM70" i="9"/>
  <c r="AL69" i="9"/>
  <c r="AM69" i="10"/>
  <c r="AJ69" i="8"/>
  <c r="AL69" i="8"/>
  <c r="AK69" i="9"/>
  <c r="AL69" i="10"/>
  <c r="AK69" i="7"/>
  <c r="AK69" i="8"/>
  <c r="AH70" i="10"/>
  <c r="AI70" i="10"/>
  <c r="AM69" i="9"/>
  <c r="AJ70" i="7"/>
  <c r="AI70" i="8"/>
  <c r="AH70" i="9"/>
  <c r="AK70" i="10"/>
  <c r="AH70" i="8"/>
  <c r="AH69" i="9"/>
  <c r="AK70" i="9"/>
  <c r="AI69" i="10"/>
  <c r="AL70" i="10"/>
  <c r="AE107" i="7"/>
  <c r="AE123" i="7"/>
  <c r="AE128" i="7"/>
  <c r="AE114" i="8"/>
  <c r="AE22" i="9"/>
  <c r="AE53" i="9"/>
  <c r="AE72" i="9"/>
  <c r="AE83" i="9"/>
  <c r="AE91" i="9"/>
  <c r="AE87" i="7"/>
  <c r="AE122" i="10"/>
  <c r="AE127" i="10"/>
  <c r="AE30" i="7"/>
  <c r="AE104" i="10"/>
  <c r="AE109" i="10"/>
  <c r="AE33" i="7"/>
  <c r="AE134" i="9"/>
  <c r="AE14" i="7"/>
  <c r="AE17" i="7"/>
  <c r="AE20" i="7"/>
  <c r="AE33" i="10"/>
  <c r="AE6" i="7"/>
  <c r="AE50" i="7"/>
  <c r="AE98" i="7"/>
  <c r="AE103" i="7"/>
  <c r="AE19" i="8"/>
  <c r="AE53" i="8"/>
  <c r="AE37" i="9"/>
  <c r="AE102" i="9"/>
  <c r="AE31" i="10"/>
  <c r="AE35" i="10"/>
  <c r="AE84" i="10"/>
  <c r="AE97" i="10"/>
  <c r="AE116" i="7"/>
  <c r="AE16" i="8"/>
  <c r="AE115" i="8"/>
  <c r="AE70" i="9"/>
  <c r="AE79" i="10"/>
  <c r="AE123" i="10"/>
  <c r="AE131" i="10"/>
  <c r="AE143" i="10"/>
  <c r="AE43" i="7"/>
  <c r="AE33" i="8"/>
  <c r="AE57" i="9"/>
  <c r="AE123" i="9"/>
  <c r="AB148" i="10"/>
  <c r="AE113" i="10"/>
  <c r="AE57" i="7"/>
  <c r="AE70" i="7"/>
  <c r="AE36" i="9"/>
  <c r="AE40" i="9"/>
  <c r="AE141" i="10"/>
  <c r="AE66" i="7"/>
  <c r="AE80" i="8"/>
  <c r="AE98" i="8"/>
  <c r="AE19" i="10"/>
  <c r="AE28" i="10"/>
  <c r="AE32" i="10"/>
  <c r="AE44" i="10"/>
  <c r="AE47" i="10"/>
  <c r="AE50" i="10"/>
  <c r="AE58" i="10"/>
  <c r="AE88" i="10"/>
  <c r="AE111" i="10"/>
  <c r="AE37" i="7"/>
  <c r="AE53" i="7"/>
  <c r="AE29" i="8"/>
  <c r="AE30" i="8"/>
  <c r="AE88" i="8"/>
  <c r="AE24" i="9"/>
  <c r="AE50" i="9"/>
  <c r="AE78" i="9"/>
  <c r="AE94" i="9"/>
  <c r="AE107" i="9"/>
  <c r="AE70" i="10"/>
  <c r="AE73" i="10"/>
  <c r="AE76" i="10"/>
  <c r="AE81" i="10"/>
  <c r="AE22" i="8"/>
  <c r="AE9" i="7"/>
  <c r="AE46" i="7"/>
  <c r="AE68" i="7"/>
  <c r="AE73" i="7"/>
  <c r="AE131" i="7"/>
  <c r="AE21" i="8"/>
  <c r="AE35" i="8"/>
  <c r="AE43" i="8"/>
  <c r="AE74" i="8"/>
  <c r="AE78" i="8"/>
  <c r="AE84" i="8"/>
  <c r="AE101" i="8"/>
  <c r="AE130" i="8"/>
  <c r="AE43" i="9"/>
  <c r="AE90" i="9"/>
  <c r="AE122" i="9"/>
  <c r="AE138" i="9"/>
  <c r="AE143" i="9"/>
  <c r="AE91" i="7"/>
  <c r="AE121" i="7"/>
  <c r="AE126" i="7"/>
  <c r="AE11" i="8"/>
  <c r="AE55" i="8"/>
  <c r="AE96" i="8"/>
  <c r="AE120" i="8"/>
  <c r="AE133" i="8"/>
  <c r="AE144" i="8"/>
  <c r="AE76" i="9"/>
  <c r="AE81" i="9"/>
  <c r="AE110" i="9"/>
  <c r="AE125" i="9"/>
  <c r="AE132" i="9"/>
  <c r="AE12" i="7"/>
  <c r="AE26" i="7"/>
  <c r="AE38" i="7"/>
  <c r="AE42" i="7"/>
  <c r="AE61" i="7"/>
  <c r="AE71" i="7"/>
  <c r="AE114" i="7"/>
  <c r="AE143" i="7"/>
  <c r="AE27" i="8"/>
  <c r="AE63" i="8"/>
  <c r="AE65" i="8"/>
  <c r="AE67" i="8"/>
  <c r="AE69" i="8"/>
  <c r="AE72" i="8"/>
  <c r="AE82" i="8"/>
  <c r="AE99" i="8"/>
  <c r="AE104" i="8"/>
  <c r="AE110" i="8"/>
  <c r="AE116" i="8"/>
  <c r="AE123" i="8"/>
  <c r="AE128" i="8"/>
  <c r="AE142" i="8"/>
  <c r="AE14" i="9"/>
  <c r="AE33" i="9"/>
  <c r="AE45" i="9"/>
  <c r="AE56" i="9"/>
  <c r="AE59" i="9"/>
  <c r="AE27" i="7"/>
  <c r="AE55" i="7"/>
  <c r="AE63" i="7"/>
  <c r="AE109" i="7"/>
  <c r="AE8" i="8"/>
  <c r="AE85" i="8"/>
  <c r="AE131" i="8"/>
  <c r="AE137" i="8"/>
  <c r="AE7" i="9"/>
  <c r="AE9" i="9"/>
  <c r="AE21" i="9"/>
  <c r="AE80" i="10"/>
  <c r="AE61" i="9"/>
  <c r="AE118" i="9"/>
  <c r="AE136" i="9"/>
  <c r="AE29" i="10"/>
  <c r="AE30" i="10"/>
  <c r="AE19" i="7"/>
  <c r="AE22" i="7"/>
  <c r="AE60" i="7"/>
  <c r="AE144" i="7"/>
  <c r="AE73" i="8"/>
  <c r="AE83" i="8"/>
  <c r="AE100" i="8"/>
  <c r="AE117" i="8"/>
  <c r="AE67" i="9"/>
  <c r="AE86" i="9"/>
  <c r="AE99" i="9"/>
  <c r="AE39" i="10"/>
  <c r="AE60" i="10"/>
  <c r="AE16" i="7"/>
  <c r="AE29" i="7"/>
  <c r="AE34" i="7"/>
  <c r="AE47" i="7"/>
  <c r="AE80" i="7"/>
  <c r="AE95" i="7"/>
  <c r="AE100" i="7"/>
  <c r="AE136" i="7"/>
  <c r="AE47" i="8"/>
  <c r="AE66" i="8"/>
  <c r="AE68" i="8"/>
  <c r="AE112" i="8"/>
  <c r="AE132" i="8"/>
  <c r="AE135" i="8"/>
  <c r="AE11" i="9"/>
  <c r="AE13" i="9"/>
  <c r="AE28" i="9"/>
  <c r="AE34" i="9"/>
  <c r="AE49" i="9"/>
  <c r="AE75" i="9"/>
  <c r="AE92" i="9"/>
  <c r="AE114" i="9"/>
  <c r="AE116" i="9"/>
  <c r="AE124" i="9"/>
  <c r="AE137" i="9"/>
  <c r="AE24" i="10"/>
  <c r="AE112" i="10"/>
  <c r="AE21" i="10"/>
  <c r="AE27" i="10"/>
  <c r="AE59" i="10"/>
  <c r="AE62" i="10"/>
  <c r="AE64" i="10"/>
  <c r="AE96" i="10"/>
  <c r="AE108" i="10"/>
  <c r="AE110" i="10"/>
  <c r="AE117" i="10"/>
  <c r="AE130" i="10"/>
  <c r="AE132" i="10"/>
  <c r="AE135" i="10"/>
  <c r="AE56" i="10"/>
  <c r="AE66" i="10"/>
  <c r="AE68" i="10"/>
  <c r="AE86" i="10"/>
  <c r="AE120" i="10"/>
  <c r="AE139" i="10"/>
  <c r="AE144" i="10"/>
  <c r="AE40" i="10"/>
  <c r="AE53" i="10"/>
  <c r="AE89" i="10"/>
  <c r="AE99" i="10"/>
  <c r="AE101" i="10"/>
  <c r="AE106" i="10"/>
  <c r="AE115" i="10"/>
  <c r="AE128" i="10"/>
  <c r="AE136" i="10"/>
  <c r="AE142" i="10"/>
  <c r="AE55" i="10"/>
  <c r="AE72" i="10"/>
  <c r="AE75" i="10"/>
  <c r="AE87" i="10"/>
  <c r="AE121" i="10"/>
  <c r="AE126" i="10"/>
  <c r="AE137" i="10"/>
  <c r="AE43" i="10"/>
  <c r="AE46" i="10"/>
  <c r="AE49" i="10"/>
  <c r="AE52" i="10"/>
  <c r="AE65" i="10"/>
  <c r="AE67" i="10"/>
  <c r="AE69" i="10"/>
  <c r="AE90" i="10"/>
  <c r="AE95" i="10"/>
  <c r="AE129" i="10"/>
  <c r="AE78" i="10"/>
  <c r="AE85" i="10"/>
  <c r="AE93" i="10"/>
  <c r="AE119" i="10"/>
  <c r="AE124" i="10"/>
  <c r="AA147" i="7"/>
  <c r="DK38" i="7"/>
  <c r="AE7" i="7"/>
  <c r="AE18" i="7"/>
  <c r="AE65" i="7"/>
  <c r="N170" i="7"/>
  <c r="AB148" i="7"/>
  <c r="AE15" i="7"/>
  <c r="AE32" i="7"/>
  <c r="AE56" i="7"/>
  <c r="AE74" i="7"/>
  <c r="AE84" i="7"/>
  <c r="O172" i="7"/>
  <c r="AO9" i="5" s="1"/>
  <c r="AC149" i="7"/>
  <c r="AU69" i="7"/>
  <c r="AE41" i="7"/>
  <c r="AE45" i="7"/>
  <c r="AE52" i="7"/>
  <c r="AE72" i="7"/>
  <c r="AE82" i="7"/>
  <c r="P174" i="7"/>
  <c r="Y7" i="5" s="1"/>
  <c r="AV69" i="7"/>
  <c r="AI71" i="7" s="1"/>
  <c r="AE10" i="7"/>
  <c r="AE11" i="7"/>
  <c r="AE23" i="7"/>
  <c r="AE31" i="7"/>
  <c r="AE36" i="7"/>
  <c r="AE62" i="7"/>
  <c r="AE8" i="7"/>
  <c r="AE13" i="7"/>
  <c r="AE40" i="7"/>
  <c r="AE44" i="7"/>
  <c r="AE58" i="7"/>
  <c r="AE64" i="7"/>
  <c r="AE75" i="7"/>
  <c r="AE24" i="7"/>
  <c r="AE28" i="7"/>
  <c r="AE51" i="7"/>
  <c r="AE54" i="7"/>
  <c r="AE21" i="7"/>
  <c r="AE25" i="7"/>
  <c r="AE35" i="7"/>
  <c r="AE39" i="7"/>
  <c r="AE69" i="7"/>
  <c r="AE85" i="7"/>
  <c r="AE101" i="7"/>
  <c r="AE113" i="7"/>
  <c r="AE120" i="7"/>
  <c r="O172" i="8"/>
  <c r="AO13" i="5" s="1"/>
  <c r="AC149" i="8"/>
  <c r="AU69" i="8"/>
  <c r="AE41" i="8"/>
  <c r="AE71" i="8"/>
  <c r="AE75" i="8"/>
  <c r="AE95" i="8"/>
  <c r="AE97" i="8"/>
  <c r="AE127" i="8"/>
  <c r="AE129" i="8"/>
  <c r="AE138" i="8"/>
  <c r="N170" i="9"/>
  <c r="AB148" i="9"/>
  <c r="AE32" i="9"/>
  <c r="AE80" i="9"/>
  <c r="AE89" i="9"/>
  <c r="AE133" i="9"/>
  <c r="AE135" i="9"/>
  <c r="DK38" i="10"/>
  <c r="AE7" i="10"/>
  <c r="AE14" i="10"/>
  <c r="AE77" i="7"/>
  <c r="AE81" i="7"/>
  <c r="AE83" i="7"/>
  <c r="AE90" i="7"/>
  <c r="AE92" i="7"/>
  <c r="AE94" i="7"/>
  <c r="AE97" i="7"/>
  <c r="AE99" i="7"/>
  <c r="AE106" i="7"/>
  <c r="AE108" i="7"/>
  <c r="AE118" i="7"/>
  <c r="AE125" i="7"/>
  <c r="AE127" i="7"/>
  <c r="AE130" i="7"/>
  <c r="AE132" i="7"/>
  <c r="AE135" i="7"/>
  <c r="AE141" i="7"/>
  <c r="P174" i="8"/>
  <c r="Y9" i="5" s="1"/>
  <c r="AA9" i="5" s="1"/>
  <c r="AV69" i="8"/>
  <c r="AI71" i="8" s="1"/>
  <c r="AE12" i="8"/>
  <c r="AE15" i="8"/>
  <c r="AE17" i="8"/>
  <c r="AE31" i="8"/>
  <c r="AE36" i="8"/>
  <c r="AE44" i="8"/>
  <c r="AE48" i="8"/>
  <c r="AE49" i="8"/>
  <c r="AE58" i="8"/>
  <c r="AE86" i="8"/>
  <c r="AE93" i="8"/>
  <c r="AE118" i="8"/>
  <c r="AE125" i="8"/>
  <c r="AE139" i="8"/>
  <c r="AE141" i="8"/>
  <c r="AE143" i="8"/>
  <c r="O172" i="9"/>
  <c r="AO17" i="5" s="1"/>
  <c r="AC149" i="9"/>
  <c r="AU69" i="9"/>
  <c r="AE12" i="9"/>
  <c r="AE15" i="9"/>
  <c r="AE17" i="9"/>
  <c r="AE20" i="9"/>
  <c r="AE23" i="9"/>
  <c r="AE29" i="9"/>
  <c r="AE30" i="9"/>
  <c r="AE41" i="9"/>
  <c r="AE51" i="9"/>
  <c r="AE54" i="9"/>
  <c r="AE63" i="9"/>
  <c r="AE65" i="9"/>
  <c r="AE98" i="9"/>
  <c r="AE100" i="9"/>
  <c r="AE109" i="9"/>
  <c r="AE111" i="9"/>
  <c r="AE120" i="9"/>
  <c r="AE129" i="9"/>
  <c r="AE131" i="9"/>
  <c r="AE15" i="10"/>
  <c r="AE17" i="10"/>
  <c r="AE22" i="10"/>
  <c r="AE79" i="7"/>
  <c r="AE88" i="7"/>
  <c r="AE104" i="7"/>
  <c r="AE111" i="7"/>
  <c r="AE10" i="8"/>
  <c r="AE14" i="8"/>
  <c r="AE20" i="8"/>
  <c r="AE23" i="8"/>
  <c r="AE28" i="8"/>
  <c r="AE40" i="8"/>
  <c r="AE51" i="8"/>
  <c r="AE54" i="8"/>
  <c r="AE61" i="8"/>
  <c r="AE76" i="8"/>
  <c r="AE87" i="8"/>
  <c r="AE89" i="8"/>
  <c r="AE91" i="8"/>
  <c r="AE106" i="8"/>
  <c r="AE108" i="8"/>
  <c r="AE119" i="8"/>
  <c r="AE121" i="8"/>
  <c r="AE134" i="8"/>
  <c r="AE136" i="8"/>
  <c r="P174" i="9"/>
  <c r="Y11" i="5" s="1"/>
  <c r="AV69" i="9"/>
  <c r="AI71" i="9" s="1"/>
  <c r="AE44" i="9"/>
  <c r="AE47" i="9"/>
  <c r="AE60" i="9"/>
  <c r="AE69" i="9"/>
  <c r="AE74" i="9"/>
  <c r="AE85" i="9"/>
  <c r="AE87" i="9"/>
  <c r="AE96" i="9"/>
  <c r="AE105" i="9"/>
  <c r="AE141" i="9"/>
  <c r="N170" i="10"/>
  <c r="AC149" i="10"/>
  <c r="AU69" i="10"/>
  <c r="AE9" i="10"/>
  <c r="AE12" i="10"/>
  <c r="AE23" i="10"/>
  <c r="AE38" i="10"/>
  <c r="AE82" i="10"/>
  <c r="AE91" i="10"/>
  <c r="AE100" i="10"/>
  <c r="AE102" i="10"/>
  <c r="AE133" i="10"/>
  <c r="AA147" i="10"/>
  <c r="AE93" i="7"/>
  <c r="AE139" i="7"/>
  <c r="AE39" i="8"/>
  <c r="AE46" i="8"/>
  <c r="AE50" i="8"/>
  <c r="AE60" i="8"/>
  <c r="AE79" i="8"/>
  <c r="AE81" i="8"/>
  <c r="AE111" i="8"/>
  <c r="AE113" i="8"/>
  <c r="AE8" i="9"/>
  <c r="AE10" i="9"/>
  <c r="AE25" i="9"/>
  <c r="AE31" i="9"/>
  <c r="AE35" i="9"/>
  <c r="AE101" i="9"/>
  <c r="AE103" i="9"/>
  <c r="AE112" i="9"/>
  <c r="AE121" i="9"/>
  <c r="AE127" i="9"/>
  <c r="P174" i="10"/>
  <c r="Y13" i="5" s="1"/>
  <c r="AE10" i="10"/>
  <c r="AE20" i="10"/>
  <c r="AE25" i="10"/>
  <c r="AE37" i="10"/>
  <c r="AE61" i="10"/>
  <c r="AE98" i="10"/>
  <c r="AE107" i="10"/>
  <c r="AE116" i="10"/>
  <c r="AE118" i="10"/>
  <c r="AE140" i="10"/>
  <c r="AE49" i="7"/>
  <c r="AE86" i="7"/>
  <c r="AE89" i="7"/>
  <c r="AE102" i="7"/>
  <c r="AE105" i="7"/>
  <c r="AE112" i="7"/>
  <c r="AE137" i="7"/>
  <c r="DJ36" i="8"/>
  <c r="AE24" i="8"/>
  <c r="AE25" i="8"/>
  <c r="AE32" i="8"/>
  <c r="AE77" i="8"/>
  <c r="AE102" i="8"/>
  <c r="AE109" i="8"/>
  <c r="DI34" i="9"/>
  <c r="AE26" i="9"/>
  <c r="AE39" i="9"/>
  <c r="AE46" i="9"/>
  <c r="AE62" i="9"/>
  <c r="AE64" i="9"/>
  <c r="AE66" i="9"/>
  <c r="AE77" i="9"/>
  <c r="AE79" i="9"/>
  <c r="AE88" i="9"/>
  <c r="AE97" i="9"/>
  <c r="AE139" i="9"/>
  <c r="AE13" i="10"/>
  <c r="AE34" i="10"/>
  <c r="AE63" i="10"/>
  <c r="AE71" i="10"/>
  <c r="AE83" i="10"/>
  <c r="AE92" i="10"/>
  <c r="AE94" i="10"/>
  <c r="AE134" i="10"/>
  <c r="AE138" i="10"/>
  <c r="AE48" i="7"/>
  <c r="AE59" i="7"/>
  <c r="AE67" i="7"/>
  <c r="AE76" i="7"/>
  <c r="AE78" i="7"/>
  <c r="AE96" i="7"/>
  <c r="AE117" i="7"/>
  <c r="AE119" i="7"/>
  <c r="AE122" i="7"/>
  <c r="AE124" i="7"/>
  <c r="AE129" i="7"/>
  <c r="AE140" i="7"/>
  <c r="AA147" i="8"/>
  <c r="DK38" i="8"/>
  <c r="AE7" i="8"/>
  <c r="AE9" i="8"/>
  <c r="AE18" i="8"/>
  <c r="AE26" i="8"/>
  <c r="AE38" i="8"/>
  <c r="AE42" i="8"/>
  <c r="AE56" i="8"/>
  <c r="AE57" i="8"/>
  <c r="AE70" i="8"/>
  <c r="AE90" i="8"/>
  <c r="AE92" i="8"/>
  <c r="AE103" i="8"/>
  <c r="AE105" i="8"/>
  <c r="AE107" i="8"/>
  <c r="AE122" i="8"/>
  <c r="AE124" i="8"/>
  <c r="AE6" i="9"/>
  <c r="DJ36" i="9"/>
  <c r="AE16" i="9"/>
  <c r="AE19" i="9"/>
  <c r="AE27" i="9"/>
  <c r="AE52" i="9"/>
  <c r="AE55" i="9"/>
  <c r="AE68" i="9"/>
  <c r="AE106" i="9"/>
  <c r="AE108" i="9"/>
  <c r="AE117" i="9"/>
  <c r="AE119" i="9"/>
  <c r="AE128" i="9"/>
  <c r="AE130" i="9"/>
  <c r="AE144" i="9"/>
  <c r="AE8" i="10"/>
  <c r="AE11" i="10"/>
  <c r="AE18" i="10"/>
  <c r="AE26" i="10"/>
  <c r="AE42" i="10"/>
  <c r="AE45" i="10"/>
  <c r="AE48" i="10"/>
  <c r="AE51" i="10"/>
  <c r="AE54" i="10"/>
  <c r="AE57" i="10"/>
  <c r="AE74" i="10"/>
  <c r="AE103" i="10"/>
  <c r="AE105" i="10"/>
  <c r="AE114" i="10"/>
  <c r="AE125" i="10"/>
  <c r="AE110" i="7"/>
  <c r="AE115" i="7"/>
  <c r="AE134" i="7"/>
  <c r="AE138" i="7"/>
  <c r="N170" i="8"/>
  <c r="AB148" i="8"/>
  <c r="AE34" i="8"/>
  <c r="AE37" i="8"/>
  <c r="AE45" i="8"/>
  <c r="AE52" i="8"/>
  <c r="AE59" i="8"/>
  <c r="AE62" i="8"/>
  <c r="AE64" i="8"/>
  <c r="AE94" i="8"/>
  <c r="AE126" i="8"/>
  <c r="AA147" i="9"/>
  <c r="DK38" i="9"/>
  <c r="AE18" i="9"/>
  <c r="AE38" i="9"/>
  <c r="AE42" i="9"/>
  <c r="AE48" i="9"/>
  <c r="AE58" i="9"/>
  <c r="AE71" i="9"/>
  <c r="AE73" i="9"/>
  <c r="AE82" i="9"/>
  <c r="AE84" i="9"/>
  <c r="AE93" i="9"/>
  <c r="AE95" i="9"/>
  <c r="AE104" i="9"/>
  <c r="AE113" i="9"/>
  <c r="AE115" i="9"/>
  <c r="AE126" i="9"/>
  <c r="AE140" i="9"/>
  <c r="AE142" i="9"/>
  <c r="AE16" i="10"/>
  <c r="AE36" i="10"/>
  <c r="AE41" i="10"/>
  <c r="Y19" i="5"/>
  <c r="AO39" i="5"/>
  <c r="Y17" i="5"/>
  <c r="AO47" i="5"/>
  <c r="AO59" i="5"/>
  <c r="Y27" i="5"/>
  <c r="AO55" i="5"/>
  <c r="AO51" i="5"/>
  <c r="Y23" i="5"/>
  <c r="AE6" i="10"/>
  <c r="AA146" i="10"/>
  <c r="CC23" i="10"/>
  <c r="CC25" i="10" s="1"/>
  <c r="CC23" i="9"/>
  <c r="CC25" i="9" s="1"/>
  <c r="AA146" i="9"/>
  <c r="AA146" i="8"/>
  <c r="AE6" i="8"/>
  <c r="CC23" i="7"/>
  <c r="CC25" i="7" s="1"/>
  <c r="AA146" i="7"/>
  <c r="AL32" i="5" l="1"/>
  <c r="AH29" i="5"/>
  <c r="AM63" i="5"/>
  <c r="AN67" i="5"/>
  <c r="AL35" i="5"/>
  <c r="AK29" i="5"/>
  <c r="AN32" i="5"/>
  <c r="AN30" i="5"/>
  <c r="AH63" i="5"/>
  <c r="AM64" i="5"/>
  <c r="AN70" i="5"/>
  <c r="AL68" i="5"/>
  <c r="AN68" i="5"/>
  <c r="AM33" i="5"/>
  <c r="AL33" i="5"/>
  <c r="AM29" i="5"/>
  <c r="AN31" i="5"/>
  <c r="AL31" i="5"/>
  <c r="AN64" i="5"/>
  <c r="AJ63" i="5"/>
  <c r="AM66" i="5"/>
  <c r="AN69" i="5"/>
  <c r="AL69" i="5"/>
  <c r="AN35" i="5"/>
  <c r="AG29" i="5"/>
  <c r="AL65" i="5"/>
  <c r="AL63" i="5"/>
  <c r="AM70" i="5"/>
  <c r="AM67" i="5"/>
  <c r="AM34" i="5"/>
  <c r="AL36" i="5"/>
  <c r="AM32" i="5"/>
  <c r="AM30" i="5"/>
  <c r="AI29" i="5"/>
  <c r="AN65" i="5"/>
  <c r="AN63" i="5"/>
  <c r="AJ29" i="5"/>
  <c r="AI63" i="5"/>
  <c r="AL66" i="5"/>
  <c r="AL64" i="5"/>
  <c r="AL70" i="5"/>
  <c r="AM68" i="5"/>
  <c r="AN33" i="5"/>
  <c r="AM35" i="5"/>
  <c r="AL29" i="5"/>
  <c r="AN29" i="5"/>
  <c r="AM31" i="5"/>
  <c r="AG63" i="5"/>
  <c r="AN66" i="5"/>
  <c r="AL67" i="5"/>
  <c r="AM69" i="5"/>
  <c r="AL34" i="5"/>
  <c r="AL30" i="5"/>
  <c r="AM65" i="5"/>
  <c r="AK63" i="5"/>
  <c r="AN34" i="5"/>
  <c r="AN36" i="5"/>
  <c r="AM36" i="5"/>
  <c r="Q27" i="5"/>
  <c r="Z27" i="5" s="1"/>
  <c r="AA27" i="5" s="1"/>
  <c r="Q19" i="5"/>
  <c r="Z19" i="5" s="1"/>
  <c r="AA19" i="5" s="1"/>
  <c r="AD150" i="7"/>
  <c r="Q7" i="5" s="1"/>
  <c r="Z7" i="5" s="1"/>
  <c r="AA7" i="5" s="1"/>
  <c r="AD150" i="10"/>
  <c r="Q13" i="5" s="1"/>
  <c r="Z13" i="5" s="1"/>
  <c r="AA13" i="5" s="1"/>
  <c r="Q15" i="5"/>
  <c r="Z15" i="5" s="1"/>
  <c r="AA15" i="5" s="1"/>
  <c r="AD150" i="8"/>
  <c r="Q17" i="5"/>
  <c r="Z17" i="5" s="1"/>
  <c r="AA17" i="5" s="1"/>
  <c r="Q23" i="5"/>
  <c r="Z23" i="5" s="1"/>
  <c r="AA23" i="5" s="1"/>
  <c r="Q21" i="5"/>
  <c r="Z21" i="5" s="1"/>
  <c r="AA21" i="5" s="1"/>
  <c r="Q25" i="5"/>
  <c r="Z25" i="5" s="1"/>
  <c r="AA25" i="5" s="1"/>
  <c r="AD150" i="9"/>
  <c r="Q11" i="5" s="1"/>
  <c r="Z11" i="5" s="1"/>
  <c r="AA11" i="5" s="1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2" i="20"/>
  <c r="S23" i="20"/>
  <c r="S24" i="20"/>
  <c r="S25" i="20"/>
  <c r="S26" i="20"/>
  <c r="S27" i="20"/>
  <c r="S28" i="20"/>
  <c r="S29" i="20"/>
  <c r="S30" i="20"/>
  <c r="S31" i="20"/>
  <c r="S32" i="20"/>
  <c r="S33" i="20"/>
  <c r="S34" i="20"/>
  <c r="S35" i="20"/>
  <c r="S36" i="20"/>
  <c r="S37" i="20"/>
  <c r="S38" i="20"/>
  <c r="S39" i="20"/>
  <c r="S40" i="20"/>
  <c r="S41" i="20"/>
  <c r="S42" i="20"/>
  <c r="S43" i="20"/>
  <c r="S44" i="20"/>
  <c r="S45" i="20"/>
  <c r="S46" i="20"/>
  <c r="S47" i="20"/>
  <c r="S48" i="20"/>
  <c r="S49" i="20"/>
  <c r="S50" i="20"/>
  <c r="S51" i="20"/>
  <c r="S52" i="20"/>
  <c r="S53" i="20"/>
  <c r="S54" i="20"/>
  <c r="S55" i="20"/>
  <c r="S56" i="20"/>
  <c r="S57" i="20"/>
  <c r="S58" i="20"/>
  <c r="S59" i="20"/>
  <c r="S60" i="20"/>
  <c r="S61" i="20"/>
  <c r="S62" i="20"/>
  <c r="S63" i="20"/>
  <c r="S64" i="20"/>
  <c r="S65" i="20"/>
  <c r="S66" i="20"/>
  <c r="O66" i="20" s="1"/>
  <c r="P66" i="20" s="1"/>
  <c r="S67" i="20"/>
  <c r="S68" i="20"/>
  <c r="S69" i="20"/>
  <c r="O70" i="20"/>
  <c r="O72" i="20"/>
  <c r="AE8" i="5"/>
  <c r="AE7" i="5"/>
  <c r="AE6" i="5"/>
  <c r="AE5" i="5"/>
  <c r="O67" i="20" l="1"/>
  <c r="P67" i="20" s="1"/>
  <c r="P82" i="20"/>
  <c r="Y5" i="5" s="1"/>
  <c r="O65" i="20"/>
  <c r="P65" i="20" s="1"/>
  <c r="P84" i="20"/>
  <c r="P5" i="5" s="1" a="1"/>
  <c r="P5" i="5" s="1"/>
  <c r="P29" i="5" s="1"/>
  <c r="AL72" i="5"/>
  <c r="AM73" i="5"/>
  <c r="AN74" i="5"/>
  <c r="AM74" i="5"/>
  <c r="AM71" i="5"/>
  <c r="AN72" i="5"/>
  <c r="AN71" i="5"/>
  <c r="AL71" i="5"/>
  <c r="AL73" i="5"/>
  <c r="AM72" i="5"/>
  <c r="AN73" i="5"/>
  <c r="AL74" i="5"/>
  <c r="P37" i="5"/>
  <c r="V35" i="5"/>
  <c r="S35" i="5"/>
  <c r="R35" i="5"/>
  <c r="Q35" i="5"/>
  <c r="V33" i="5"/>
  <c r="U33" i="5"/>
  <c r="S33" i="5"/>
  <c r="R33" i="5"/>
  <c r="Q33" i="5"/>
  <c r="P33" i="5"/>
  <c r="V31" i="5"/>
  <c r="T31" i="5"/>
  <c r="S31" i="5"/>
  <c r="R31" i="5"/>
  <c r="Q31" i="5"/>
  <c r="AK67" i="5"/>
  <c r="AJ67" i="5"/>
  <c r="AI67" i="5"/>
  <c r="AH67" i="5"/>
  <c r="AG67" i="5"/>
  <c r="AF67" i="5"/>
  <c r="AK33" i="5"/>
  <c r="AJ33" i="5"/>
  <c r="AI33" i="5"/>
  <c r="AH33" i="5"/>
  <c r="AG33" i="5"/>
  <c r="AF33" i="5"/>
  <c r="AG71" i="5" l="1"/>
  <c r="AI71" i="5"/>
  <c r="AF71" i="5"/>
  <c r="AH71" i="5"/>
  <c r="AK71" i="5"/>
  <c r="AJ71" i="5"/>
  <c r="R37" i="5"/>
  <c r="S37" i="5"/>
  <c r="T33" i="5"/>
  <c r="T35" i="5"/>
  <c r="V37" i="5"/>
  <c r="AE34" i="5"/>
  <c r="AF35" i="5"/>
  <c r="AJ35" i="5"/>
  <c r="AG36" i="5"/>
  <c r="AF64" i="5"/>
  <c r="AJ64" i="5"/>
  <c r="AG65" i="5"/>
  <c r="AH66" i="5"/>
  <c r="AE68" i="5"/>
  <c r="AF69" i="5"/>
  <c r="AJ69" i="5"/>
  <c r="AG70" i="5"/>
  <c r="AE64" i="5"/>
  <c r="AF65" i="5"/>
  <c r="AJ65" i="5"/>
  <c r="AG66" i="5"/>
  <c r="AO67" i="5"/>
  <c r="AH68" i="5"/>
  <c r="AE69" i="5"/>
  <c r="AF70" i="5"/>
  <c r="AJ70" i="5"/>
  <c r="AE66" i="5"/>
  <c r="AG64" i="5"/>
  <c r="AJ68" i="5"/>
  <c r="AH70" i="5"/>
  <c r="AE31" i="5"/>
  <c r="AE33" i="5"/>
  <c r="AG34" i="5"/>
  <c r="AH35" i="5"/>
  <c r="AE36" i="5"/>
  <c r="AO63" i="5"/>
  <c r="AH64" i="5"/>
  <c r="AE65" i="5"/>
  <c r="AF66" i="5"/>
  <c r="AJ66" i="5"/>
  <c r="AE67" i="5"/>
  <c r="AG68" i="5"/>
  <c r="AH69" i="5"/>
  <c r="AE70" i="5"/>
  <c r="AE63" i="5"/>
  <c r="AH65" i="5"/>
  <c r="AF68" i="5"/>
  <c r="AG69" i="5"/>
  <c r="AE30" i="5"/>
  <c r="AE29" i="5"/>
  <c r="AE32" i="5"/>
  <c r="AO33" i="5"/>
  <c r="AH34" i="5"/>
  <c r="AE35" i="5"/>
  <c r="AF36" i="5"/>
  <c r="AJ36" i="5"/>
  <c r="AF34" i="5"/>
  <c r="AJ34" i="5"/>
  <c r="AG35" i="5"/>
  <c r="AH36" i="5"/>
  <c r="U31" i="5"/>
  <c r="P31" i="5"/>
  <c r="Y31" i="5"/>
  <c r="P35" i="5"/>
  <c r="Y35" i="5"/>
  <c r="AK34" i="5"/>
  <c r="AI36" i="5"/>
  <c r="AI65" i="5"/>
  <c r="AK68" i="5"/>
  <c r="AI70" i="5"/>
  <c r="AI35" i="5"/>
  <c r="Y33" i="5"/>
  <c r="AK35" i="5"/>
  <c r="AI34" i="5"/>
  <c r="AK36" i="5"/>
  <c r="AK65" i="5"/>
  <c r="AI68" i="5"/>
  <c r="AK70" i="5"/>
  <c r="AK64" i="5"/>
  <c r="AI66" i="5"/>
  <c r="AI64" i="5"/>
  <c r="AK66" i="5"/>
  <c r="AK69" i="5"/>
  <c r="AI69" i="5"/>
  <c r="AE72" i="5" l="1"/>
  <c r="T37" i="5"/>
  <c r="AE74" i="5"/>
  <c r="Z35" i="5"/>
  <c r="AE71" i="5"/>
  <c r="AA35" i="5"/>
  <c r="Z31" i="5"/>
  <c r="AE73" i="5"/>
  <c r="AA31" i="5"/>
  <c r="Z33" i="5"/>
  <c r="AA33" i="5"/>
  <c r="BQ71" i="20" l="1"/>
  <c r="BG64" i="20"/>
  <c r="BF63" i="20"/>
  <c r="BE62" i="20"/>
  <c r="BT6" i="20"/>
  <c r="AQ69" i="20"/>
  <c r="AR69" i="20"/>
  <c r="AS69" i="20"/>
  <c r="AT69" i="20"/>
  <c r="AU69" i="20"/>
  <c r="AV69" i="20"/>
  <c r="AQ68" i="20"/>
  <c r="AR68" i="20"/>
  <c r="AS68" i="20"/>
  <c r="AT68" i="20"/>
  <c r="AU68" i="20"/>
  <c r="AV68" i="20"/>
  <c r="AI31" i="5" l="1"/>
  <c r="AI73" i="5" s="1"/>
  <c r="AI32" i="5"/>
  <c r="AI74" i="5" s="1"/>
  <c r="AI30" i="5"/>
  <c r="AI72" i="5" s="1"/>
  <c r="AY68" i="20"/>
  <c r="AK70" i="20" s="1"/>
  <c r="CI17" i="20"/>
  <c r="CM17" i="20" s="1"/>
  <c r="AW68" i="20"/>
  <c r="AJ31" i="5"/>
  <c r="AJ73" i="5" s="1"/>
  <c r="AG30" i="5"/>
  <c r="AG72" i="5" s="1"/>
  <c r="AH32" i="5"/>
  <c r="AH74" i="5" s="1"/>
  <c r="AG31" i="5"/>
  <c r="AG73" i="5" s="1"/>
  <c r="AG32" i="5"/>
  <c r="AG74" i="5" s="1"/>
  <c r="AJ32" i="5"/>
  <c r="AJ74" i="5" s="1"/>
  <c r="AH30" i="5"/>
  <c r="AH72" i="5" s="1"/>
  <c r="AH31" i="5"/>
  <c r="AH73" i="5" s="1"/>
  <c r="AK30" i="5"/>
  <c r="AK72" i="5" s="1"/>
  <c r="AK31" i="5"/>
  <c r="AK73" i="5" s="1"/>
  <c r="AJ30" i="5"/>
  <c r="AJ72" i="5" s="1"/>
  <c r="AK32" i="5"/>
  <c r="AK74" i="5" s="1"/>
  <c r="AJ69" i="20"/>
  <c r="AL69" i="20"/>
  <c r="AN69" i="20"/>
  <c r="AK69" i="20"/>
  <c r="AM69" i="20"/>
  <c r="AO69" i="20"/>
  <c r="AJ68" i="20"/>
  <c r="AK68" i="20"/>
  <c r="AL68" i="20" l="1"/>
  <c r="AM68" i="20" l="1"/>
  <c r="BS73" i="20"/>
  <c r="BR72" i="20"/>
  <c r="BU7" i="20"/>
  <c r="BU8" i="20"/>
  <c r="BU9" i="20"/>
  <c r="BU10" i="20"/>
  <c r="BU11" i="20"/>
  <c r="BU12" i="20"/>
  <c r="BU13" i="20"/>
  <c r="BU14" i="20"/>
  <c r="BU15" i="20"/>
  <c r="BU16" i="20"/>
  <c r="BU17" i="20"/>
  <c r="BU18" i="20"/>
  <c r="BU19" i="20"/>
  <c r="BU20" i="20"/>
  <c r="BU21" i="20"/>
  <c r="BU22" i="20"/>
  <c r="BU23" i="20"/>
  <c r="BU24" i="20"/>
  <c r="BU25" i="20"/>
  <c r="BU26" i="20"/>
  <c r="BU27" i="20"/>
  <c r="BU28" i="20"/>
  <c r="BU29" i="20"/>
  <c r="BU30" i="20"/>
  <c r="BU31" i="20"/>
  <c r="BU32" i="20"/>
  <c r="BU33" i="20"/>
  <c r="BU34" i="20"/>
  <c r="BU35" i="20"/>
  <c r="BU36" i="20"/>
  <c r="BU37" i="20"/>
  <c r="BU38" i="20"/>
  <c r="BU39" i="20"/>
  <c r="BU40" i="20"/>
  <c r="BU41" i="20"/>
  <c r="BU42" i="20"/>
  <c r="BU43" i="20"/>
  <c r="BU44" i="20"/>
  <c r="BU45" i="20"/>
  <c r="BU46" i="20"/>
  <c r="BU47" i="20"/>
  <c r="BU48" i="20"/>
  <c r="BU49" i="20"/>
  <c r="BU50" i="20"/>
  <c r="BU51" i="20"/>
  <c r="BU52" i="20"/>
  <c r="BU53" i="20"/>
  <c r="BU54" i="20"/>
  <c r="BU55" i="20"/>
  <c r="BU56" i="20"/>
  <c r="BU57" i="20"/>
  <c r="BU58" i="20"/>
  <c r="BU59" i="20"/>
  <c r="BU60" i="20"/>
  <c r="BU61" i="20"/>
  <c r="BM70" i="20"/>
  <c r="BL69" i="20"/>
  <c r="BK68" i="20"/>
  <c r="BJ67" i="20"/>
  <c r="BI66" i="20"/>
  <c r="BH65" i="20"/>
  <c r="BT24" i="20"/>
  <c r="BT25" i="20"/>
  <c r="BT26" i="20"/>
  <c r="BT27" i="20"/>
  <c r="BT28" i="20"/>
  <c r="BT29" i="20"/>
  <c r="BT30" i="20"/>
  <c r="BT31" i="20"/>
  <c r="BT32" i="20"/>
  <c r="BT33" i="20"/>
  <c r="BT34" i="20"/>
  <c r="BT35" i="20"/>
  <c r="BT36" i="20"/>
  <c r="BT37" i="20"/>
  <c r="BT38" i="20"/>
  <c r="BT39" i="20"/>
  <c r="BT40" i="20"/>
  <c r="BT41" i="20"/>
  <c r="BT42" i="20"/>
  <c r="BT43" i="20"/>
  <c r="BT44" i="20"/>
  <c r="BT45" i="20"/>
  <c r="BT46" i="20"/>
  <c r="BT47" i="20"/>
  <c r="BT48" i="20"/>
  <c r="BT49" i="20"/>
  <c r="BT50" i="20"/>
  <c r="BT51" i="20"/>
  <c r="BT52" i="20"/>
  <c r="BT53" i="20"/>
  <c r="BT54" i="20"/>
  <c r="BT55" i="20"/>
  <c r="BT56" i="20"/>
  <c r="BT57" i="20"/>
  <c r="BT58" i="20"/>
  <c r="BT59" i="20"/>
  <c r="BT60" i="20"/>
  <c r="BT61" i="20"/>
  <c r="CI5" i="20" l="1"/>
  <c r="CI7" i="20"/>
  <c r="CC7" i="20" s="1"/>
  <c r="CI9" i="20"/>
  <c r="CI11" i="20"/>
  <c r="CI13" i="20"/>
  <c r="CI15" i="20"/>
  <c r="CI19" i="20"/>
  <c r="CM19" i="20" s="1"/>
  <c r="CI21" i="20"/>
  <c r="CM21" i="20" s="1"/>
  <c r="BT74" i="20"/>
  <c r="CC9" i="20" l="1"/>
  <c r="CD9" i="20" s="1"/>
  <c r="CC13" i="20"/>
  <c r="CD13" i="20" s="1"/>
  <c r="CM7" i="20"/>
  <c r="CD7" i="20"/>
  <c r="CM5" i="20"/>
  <c r="CC5" i="20"/>
  <c r="CD5" i="20" s="1"/>
  <c r="CM15" i="20"/>
  <c r="CC15" i="20"/>
  <c r="CD15" i="20" s="1"/>
  <c r="CM13" i="20"/>
  <c r="CM11" i="20"/>
  <c r="CC11" i="20"/>
  <c r="CD11" i="20" s="1"/>
  <c r="CM9" i="20"/>
  <c r="AO68" i="20"/>
  <c r="AN68" i="20"/>
  <c r="BT23" i="20"/>
  <c r="BT22" i="20"/>
  <c r="BT21" i="20"/>
  <c r="BT20" i="20"/>
  <c r="BT19" i="20"/>
  <c r="BT18" i="20"/>
  <c r="BT17" i="20"/>
  <c r="BT16" i="20"/>
  <c r="BT15" i="20"/>
  <c r="BT14" i="20"/>
  <c r="BT13" i="20"/>
  <c r="BT12" i="20"/>
  <c r="BT11" i="20"/>
  <c r="BT10" i="20"/>
  <c r="BT9" i="20"/>
  <c r="BT8" i="20"/>
  <c r="BT7" i="20"/>
  <c r="CM29" i="20" l="1"/>
  <c r="CM31" i="20" s="1"/>
  <c r="O6" i="20"/>
  <c r="BT75" i="20"/>
  <c r="AC6" i="20"/>
  <c r="O78" i="20" l="1"/>
  <c r="P6" i="20"/>
  <c r="O80" i="20" s="1"/>
  <c r="AG6" i="20"/>
  <c r="AF106" i="20" s="1"/>
  <c r="AC102" i="20"/>
  <c r="U35" i="5"/>
  <c r="AD104" i="20"/>
  <c r="AE105" i="20"/>
  <c r="AF8" i="5" l="1"/>
  <c r="AF32" i="5" s="1"/>
  <c r="AF74" i="5" s="1"/>
  <c r="AF6" i="5"/>
  <c r="AF30" i="5" s="1"/>
  <c r="AF72" i="5" s="1"/>
  <c r="AF7" i="5"/>
  <c r="AF31" i="5" s="1"/>
  <c r="AF73" i="5" s="1"/>
  <c r="U37" i="5"/>
  <c r="Q5" i="5"/>
  <c r="Q29" i="5" s="1"/>
  <c r="Y29" i="5" l="1"/>
  <c r="Y37" i="5" s="1"/>
  <c r="Q37" i="5"/>
  <c r="Z5" i="5"/>
  <c r="Z29" i="5" s="1"/>
  <c r="AO5" i="5" l="1"/>
  <c r="AO29" i="5" s="1"/>
  <c r="AO71" i="5" s="1"/>
  <c r="Z37" i="5"/>
  <c r="AA5" i="5"/>
  <c r="AA29" i="5" l="1"/>
  <c r="AA37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<sst xmlns="http://schemas.openxmlformats.org/spreadsheetml/2006/main" count="2903" uniqueCount="259">
  <si>
    <t>DATE</t>
  </si>
  <si>
    <t>CLIENT</t>
  </si>
  <si>
    <t>NATURE</t>
  </si>
  <si>
    <t>LIEUX</t>
  </si>
  <si>
    <t>QUANTITE</t>
  </si>
  <si>
    <t>MARCHE PPT</t>
  </si>
  <si>
    <t>RELAIS FENUA</t>
  </si>
  <si>
    <t>BRENDA COIFFURE</t>
  </si>
  <si>
    <t>WEEK END</t>
  </si>
  <si>
    <t>FARE AYURVEDA</t>
  </si>
  <si>
    <t>STOCK</t>
  </si>
  <si>
    <t>DESIGNATION</t>
  </si>
  <si>
    <t>coco</t>
  </si>
  <si>
    <t>25cl</t>
  </si>
  <si>
    <t>50cl</t>
  </si>
  <si>
    <t>bouch</t>
  </si>
  <si>
    <t>filtres</t>
  </si>
  <si>
    <t>LOYER</t>
  </si>
  <si>
    <t xml:space="preserve">TVA 5% </t>
  </si>
  <si>
    <t>TVA 16%</t>
  </si>
  <si>
    <t>ZERO DECHET</t>
  </si>
  <si>
    <t>DEPOTS</t>
  </si>
  <si>
    <t>ACHATS CONSOMMABLE</t>
  </si>
  <si>
    <t>ACHATS INVESTISSEMENTS</t>
  </si>
  <si>
    <t>INVENTAIRES ET STOCKS</t>
  </si>
  <si>
    <t>VENTE SPECIALE</t>
  </si>
  <si>
    <t>%</t>
  </si>
  <si>
    <t>VENTES</t>
  </si>
  <si>
    <t>TOTAL MONTANT HT</t>
  </si>
  <si>
    <t>TOTAL TVA 5%</t>
  </si>
  <si>
    <t>FOURNISSEURS</t>
  </si>
  <si>
    <t>% PRO</t>
  </si>
  <si>
    <t>TVA 13%</t>
  </si>
  <si>
    <t>MODE PAIEMENT</t>
  </si>
  <si>
    <t>MONTANT       TTC</t>
  </si>
  <si>
    <t>INTERNET</t>
  </si>
  <si>
    <t>COTISATION</t>
  </si>
  <si>
    <t>ELECTRICITE</t>
  </si>
  <si>
    <t>TELEPHONE</t>
  </si>
  <si>
    <t>FORFAIT TEL</t>
  </si>
  <si>
    <t>PAPETERIE</t>
  </si>
  <si>
    <t>DIVERS</t>
  </si>
  <si>
    <t>COCO</t>
  </si>
  <si>
    <t>TOTAL MONTANT PRO</t>
  </si>
  <si>
    <t>TOTAL T.T.C.</t>
  </si>
  <si>
    <t>TOTAL  T.V.A. 16%</t>
  </si>
  <si>
    <t>TOTAL  T.V.A.  13%</t>
  </si>
  <si>
    <t>TOTAL   T.V.A.  5%</t>
  </si>
  <si>
    <t>TOTAL MONTANT H.T.</t>
  </si>
  <si>
    <t>MONTANT T.T.C.</t>
  </si>
  <si>
    <t>BOUTEILLES</t>
  </si>
  <si>
    <t>FILTRE</t>
  </si>
  <si>
    <t>ASSU VOIT</t>
  </si>
  <si>
    <t>TRANSP COCO</t>
  </si>
  <si>
    <t>ENT  VOIT</t>
  </si>
  <si>
    <t>INVENTAIRES JOURNALIERS</t>
  </si>
  <si>
    <t>NOMBRE DE COCOS JETEES</t>
  </si>
  <si>
    <t>NOMBRE DE COCOS UTILISEES</t>
  </si>
  <si>
    <t>NOMBRES DE COCOS RESTANT</t>
  </si>
  <si>
    <t>OBSERVATIONS</t>
  </si>
  <si>
    <t>TOTAL COCOS RESTANTS</t>
  </si>
  <si>
    <t>TOTAL COCOS JETEES</t>
  </si>
  <si>
    <t>TOTAL COCOS</t>
  </si>
  <si>
    <t>TOTAL BOUTEILLES DEPOTS</t>
  </si>
  <si>
    <t>TOTAL T.T.C. DEPOTS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</si>
  <si>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</si>
  <si>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</si>
  <si>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</si>
  <si>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</si>
  <si>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</si>
  <si>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</si>
  <si>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</si>
  <si>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</si>
  <si>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</si>
  <si>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</si>
  <si>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</si>
  <si>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MOIS</t>
  </si>
  <si>
    <t>TRIMESTRE</t>
  </si>
  <si>
    <t>1ER TRIMESTRE</t>
  </si>
  <si>
    <t>2EM TRIMESTRE</t>
  </si>
  <si>
    <t>3EM TRIMESTRE</t>
  </si>
  <si>
    <t>4EM TRIMESTRE</t>
  </si>
  <si>
    <t>INVESTISSEMENTS</t>
  </si>
  <si>
    <t>CONSOMMABLES</t>
  </si>
  <si>
    <t>EMBALALAGES</t>
  </si>
  <si>
    <t>FRAIS LIVRAISON</t>
  </si>
  <si>
    <t>ACHATS TOTALES</t>
  </si>
  <si>
    <t>BENEFICES</t>
  </si>
  <si>
    <t>FRAIS      FIXE</t>
  </si>
  <si>
    <t>DATES</t>
  </si>
  <si>
    <t>MONTANT PRO</t>
  </si>
  <si>
    <t>REF PIECES</t>
  </si>
  <si>
    <t>MONTANT H.T.</t>
  </si>
  <si>
    <t>MR CHALOT</t>
  </si>
  <si>
    <t>CPS</t>
  </si>
  <si>
    <t>TAHITI SUD</t>
  </si>
  <si>
    <t>VODAFONE</t>
  </si>
  <si>
    <t>PLASTISERD</t>
  </si>
  <si>
    <t>VINI</t>
  </si>
  <si>
    <t>SARL ACESS</t>
  </si>
  <si>
    <t>DIVERS 5%</t>
  </si>
  <si>
    <t>DIVERS 16%</t>
  </si>
  <si>
    <t>DIVER 0%</t>
  </si>
  <si>
    <t>PRO ENTR 16%</t>
  </si>
  <si>
    <t>PROD ENTR 5%</t>
  </si>
  <si>
    <t>GENERALI</t>
  </si>
  <si>
    <t>MODE ENCAISSEMENT</t>
  </si>
  <si>
    <t>CLIENT D</t>
  </si>
  <si>
    <t>CLIENT S</t>
  </si>
  <si>
    <t>CLIENT L</t>
  </si>
  <si>
    <t>AUTO EXPRESS</t>
  </si>
  <si>
    <t>FLORENCE</t>
  </si>
  <si>
    <t>CARREFOUR</t>
  </si>
  <si>
    <t>PRO ENTR 0%</t>
  </si>
  <si>
    <t>PRO ENTR 5%</t>
  </si>
  <si>
    <t>VINI16%</t>
  </si>
  <si>
    <t>RECAPITULATIF TRIMESTRIEL T.T.C.</t>
  </si>
  <si>
    <t>CLIENT O</t>
  </si>
  <si>
    <t>CLIENT S+D</t>
  </si>
  <si>
    <t>L</t>
  </si>
  <si>
    <t>10cl</t>
  </si>
  <si>
    <t>75cl</t>
  </si>
  <si>
    <t>5l</t>
  </si>
  <si>
    <t>VENDU</t>
  </si>
  <si>
    <t>TOTAUX 1erTRIM</t>
  </si>
  <si>
    <t>TOTAUX 2erTRIM</t>
  </si>
  <si>
    <t>TOTAUX 3erTRIM</t>
  </si>
  <si>
    <t>TOTAUX ANNEE</t>
  </si>
  <si>
    <t>TOTAUX 4erTRIM</t>
  </si>
  <si>
    <t>CLIENT S+L</t>
  </si>
  <si>
    <t>MAGASIN MANIHI</t>
  </si>
  <si>
    <t>MAGASIN PPT</t>
  </si>
  <si>
    <t>MAGASIN BORA BORA</t>
  </si>
  <si>
    <t>CUMULE TRIMESTRIEL T.V.A.</t>
  </si>
  <si>
    <t>TVA %</t>
  </si>
  <si>
    <t>TOTAUX 1ER TRIMESTRE</t>
  </si>
  <si>
    <t>TOTAUX 2EM TRIMESTRE</t>
  </si>
  <si>
    <t xml:space="preserve">TOTAUX 3EM TRIMESTRE </t>
  </si>
  <si>
    <t xml:space="preserve">TOTAUX 4EM TRIMESTRE </t>
  </si>
  <si>
    <t>VENTES    5%</t>
  </si>
  <si>
    <t>CTTO</t>
  </si>
  <si>
    <t>EXPO</t>
  </si>
  <si>
    <t>SPRAY</t>
  </si>
  <si>
    <t>PACIFIC PLASTIC</t>
  </si>
  <si>
    <t>MOBIL</t>
  </si>
  <si>
    <t>SHELL</t>
  </si>
  <si>
    <t>TOTAL</t>
  </si>
  <si>
    <t>ESSENCE M</t>
  </si>
  <si>
    <t>ESSENCE S</t>
  </si>
  <si>
    <t>ESSENCE T</t>
  </si>
  <si>
    <t>GAZ</t>
  </si>
  <si>
    <t>MAGASIN TEAHUPOO</t>
  </si>
  <si>
    <t>BIDON</t>
  </si>
  <si>
    <t>TIKITEA</t>
  </si>
  <si>
    <t>CHOIX</t>
  </si>
  <si>
    <t>LAIT</t>
  </si>
  <si>
    <t>EAU</t>
  </si>
  <si>
    <t>HUILE</t>
  </si>
  <si>
    <t>AUTRE</t>
  </si>
  <si>
    <t xml:space="preserve">T.V.A. 5% </t>
  </si>
  <si>
    <t>TOTAL LITRES HUILE MOIS</t>
  </si>
  <si>
    <t>TOTAL LITRE LAIT</t>
  </si>
  <si>
    <t>TOTAL 25 CL LAIT</t>
  </si>
  <si>
    <t>TOTAL 50 CL LAIT</t>
  </si>
  <si>
    <t>TOTAL 1L LAIT</t>
  </si>
  <si>
    <t>TOTAL 10 CL HUILE</t>
  </si>
  <si>
    <t>TOTAL 25 CL HUILE</t>
  </si>
  <si>
    <t>TOTAL 50 CL HUILE</t>
  </si>
  <si>
    <t>TOTAL 75 CL HUILE</t>
  </si>
  <si>
    <t>TOTAL 1L HUILE</t>
  </si>
  <si>
    <t>TOTAL 5L HUILE</t>
  </si>
  <si>
    <t>TOTAL LITRE HUILE</t>
  </si>
  <si>
    <t>NOMBRE DE BOUTEILLES HUILE FINIES</t>
  </si>
  <si>
    <t>BOUTEILLES LAIT FINIES</t>
  </si>
  <si>
    <t>REF.    PIECE</t>
  </si>
  <si>
    <t/>
  </si>
  <si>
    <t>1L</t>
  </si>
  <si>
    <t xml:space="preserve">TOTAL </t>
  </si>
  <si>
    <t>TOTAL STOCK</t>
  </si>
  <si>
    <t>VENTES INTERNATIONALES</t>
  </si>
  <si>
    <t>TOTAL  BOUTEILLES HUILES</t>
  </si>
  <si>
    <t>TOTAL  BOUTEILLES LAIT</t>
  </si>
  <si>
    <t>FÉVRIER</t>
  </si>
  <si>
    <t>AOÛT</t>
  </si>
  <si>
    <t>DÉCEMBRE</t>
  </si>
  <si>
    <t>FRAIS PORT</t>
  </si>
  <si>
    <t>TOTAL  BOUTEILLES HUILE</t>
  </si>
  <si>
    <t>PRIX</t>
  </si>
  <si>
    <t>PRIX TOTAL</t>
  </si>
  <si>
    <t>FAIT</t>
  </si>
  <si>
    <t>VENDU MOIS EN COURS</t>
  </si>
  <si>
    <t>VENDU MOIS AVANT</t>
  </si>
  <si>
    <t>RACLETTE</t>
  </si>
  <si>
    <t>SOGEQUIPE</t>
  </si>
  <si>
    <t>MOTEUR RAPE</t>
  </si>
  <si>
    <t>STOP TARAVAO</t>
  </si>
  <si>
    <t xml:space="preserve">FRET AVION </t>
  </si>
  <si>
    <t>AIR TAHITI</t>
  </si>
  <si>
    <t>LOC VOIT</t>
  </si>
  <si>
    <t>LOCAUTO</t>
  </si>
  <si>
    <t>SAC PAPIER</t>
  </si>
  <si>
    <t>TPE</t>
  </si>
  <si>
    <t>BTL 1L</t>
  </si>
  <si>
    <t xml:space="preserve">COCO </t>
  </si>
  <si>
    <t>Tuamotu</t>
  </si>
  <si>
    <t>DEPOT</t>
  </si>
  <si>
    <t>MAGASIN            BORA BORA</t>
  </si>
  <si>
    <t>CATEGORIE</t>
  </si>
  <si>
    <t>EMBALLAGES</t>
  </si>
  <si>
    <t>FRAIS FIXE</t>
  </si>
  <si>
    <t>EXTRA</t>
  </si>
  <si>
    <t>FEUILLE</t>
  </si>
  <si>
    <t>ENTRETIEN</t>
  </si>
  <si>
    <t>LIVRAISON</t>
  </si>
  <si>
    <t>ACHAT</t>
  </si>
  <si>
    <t>BEN &amp; CO</t>
  </si>
  <si>
    <t>OHITEITEI</t>
  </si>
  <si>
    <t>LS PROXY TARAVAO</t>
  </si>
  <si>
    <t>LS PROXY PAPARA</t>
  </si>
  <si>
    <t>LS PROXY PAEA</t>
  </si>
  <si>
    <t>LS PROXY PIRAE</t>
  </si>
  <si>
    <t>VENTE</t>
  </si>
  <si>
    <t>LISTES</t>
  </si>
  <si>
    <t>JANVIER</t>
  </si>
  <si>
    <t>HUILE DEPOT</t>
  </si>
  <si>
    <t>HUILE LIVRAISON</t>
  </si>
  <si>
    <t>TOTAL  BOUTEILLES EAU</t>
  </si>
  <si>
    <t xml:space="preserve">TOTAL  </t>
  </si>
  <si>
    <t>EXPLICATION</t>
  </si>
  <si>
    <t>02 janv</t>
  </si>
  <si>
    <t>CODE CLIENT</t>
  </si>
  <si>
    <t>HUILE EXPORT</t>
  </si>
  <si>
    <t xml:space="preserve"> CLIENT EX</t>
  </si>
  <si>
    <t>INVESTIS</t>
  </si>
  <si>
    <t>TOTAL T.T.C. INVESTISSEMENT</t>
  </si>
  <si>
    <t>RESTANT</t>
  </si>
  <si>
    <t>UTILISER</t>
  </si>
  <si>
    <t>TOTAL T.T.C. EXPORT</t>
  </si>
  <si>
    <t xml:space="preserve">TOTAL T.T.C. </t>
  </si>
  <si>
    <t>NOMBRE DE COCOS</t>
  </si>
  <si>
    <t>FILTRES</t>
  </si>
  <si>
    <t>BIDON 5L</t>
  </si>
  <si>
    <t>BOUTEILLE 25CL</t>
  </si>
  <si>
    <t>BOUTEILLE 50CL</t>
  </si>
  <si>
    <t>BOUTEILLE 75CL</t>
  </si>
  <si>
    <t>BOUTEILLE 1L</t>
  </si>
  <si>
    <t>BOUCHON 1L</t>
  </si>
  <si>
    <t>BOUCHON 25/50</t>
  </si>
  <si>
    <t>QUANTITE ACHETER</t>
  </si>
  <si>
    <t>QUANTITE UTILISER</t>
  </si>
  <si>
    <t xml:space="preserve">QUANTITE RESTANTE </t>
  </si>
  <si>
    <t>ALARME</t>
  </si>
  <si>
    <t>OBSERVATION</t>
  </si>
  <si>
    <t>01 janv</t>
  </si>
  <si>
    <t>1</t>
  </si>
  <si>
    <t>3</t>
  </si>
  <si>
    <t>2</t>
  </si>
  <si>
    <t>mmm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</si>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</sst>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\ _F_C_F_P_-;\-* #,##0\ _F_C_F_P_-;_-* &quot;-&quot;\ _F_C_F_P_-;_-@_-"/>
    <numFmt numFmtId="165" formatCode="#,##0_ ;\-#,##0\ "/>
    <numFmt numFmtId="166" formatCode="#,##0.00\ [$XPF]"/>
    <numFmt numFmtId="167" formatCode="#,##0\ [$XPF]"/>
    <numFmt numFmtId="168" formatCode="#,##0\ [$XPF];\-#,##0\ [$XPF]"/>
    <numFmt numFmtId="169" formatCode="0.0%"/>
    <numFmt numFmtId="170" formatCode="#,##0.00\ [$XPF];\-#,##0.00\ [$XPF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 diagonalUp="1"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auto="1"/>
      </bottom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auto="1"/>
      </left>
      <right/>
      <top style="medium">
        <color auto="1"/>
      </top>
      <bottom/>
      <diagonal style="thin">
        <color auto="1"/>
      </diagonal>
    </border>
    <border diagonalUp="1" diagonalDown="1">
      <left/>
      <right/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 style="medium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 style="thin">
        <color auto="1"/>
      </diagonal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3">
    <xf numFmtId="0" fontId="0" fillId="0" borderId="0" xfId="0"/>
    <xf numFmtId="0" fontId="0" fillId="0" borderId="1" xfId="0" applyBorder="1"/>
    <xf numFmtId="0" fontId="0" fillId="0" borderId="0" xfId="0" applyProtection="1">
      <protection locked="0" hidden="1"/>
    </xf>
    <xf numFmtId="0" fontId="0" fillId="0" borderId="0" xfId="0" applyAlignment="1">
      <alignment wrapText="1"/>
    </xf>
    <xf numFmtId="0" fontId="0" fillId="0" borderId="40" xfId="0" applyBorder="1"/>
    <xf numFmtId="0" fontId="0" fillId="0" borderId="3" xfId="0" applyBorder="1"/>
    <xf numFmtId="0" fontId="0" fillId="0" borderId="35" xfId="0" applyBorder="1"/>
    <xf numFmtId="0" fontId="0" fillId="0" borderId="1" xfId="0" applyBorder="1" applyProtection="1">
      <protection locked="0" hidden="1"/>
    </xf>
    <xf numFmtId="0" fontId="0" fillId="0" borderId="1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2" fontId="0" fillId="0" borderId="0" xfId="0" applyNumberFormat="1"/>
    <xf numFmtId="0" fontId="0" fillId="0" borderId="0" xfId="0" applyProtection="1">
      <protection locked="0"/>
    </xf>
    <xf numFmtId="0" fontId="6" fillId="0" borderId="17" xfId="0" applyFont="1" applyBorder="1" applyProtection="1"/>
    <xf numFmtId="0" fontId="0" fillId="0" borderId="13" xfId="0" applyBorder="1" applyProtection="1">
      <protection locked="0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2" fontId="0" fillId="5" borderId="25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2" fontId="0" fillId="5" borderId="23" xfId="0" applyNumberFormat="1" applyFill="1" applyBorder="1" applyAlignment="1">
      <alignment horizontal="center" vertical="center"/>
    </xf>
    <xf numFmtId="2" fontId="0" fillId="5" borderId="62" xfId="0" applyNumberFormat="1" applyFill="1" applyBorder="1" applyAlignment="1">
      <alignment horizontal="center" vertical="center"/>
    </xf>
    <xf numFmtId="2" fontId="0" fillId="5" borderId="55" xfId="0" applyNumberFormat="1" applyFill="1" applyBorder="1" applyAlignment="1">
      <alignment horizontal="center" vertical="center"/>
    </xf>
    <xf numFmtId="2" fontId="0" fillId="5" borderId="12" xfId="0" applyNumberFormat="1" applyFill="1" applyBorder="1" applyAlignment="1">
      <alignment horizontal="center" vertical="center"/>
    </xf>
    <xf numFmtId="2" fontId="0" fillId="5" borderId="40" xfId="0" applyNumberFormat="1" applyFill="1" applyBorder="1" applyAlignment="1">
      <alignment horizontal="center" vertical="center"/>
    </xf>
    <xf numFmtId="2" fontId="0" fillId="5" borderId="43" xfId="0" applyNumberFormat="1" applyFill="1" applyBorder="1" applyAlignment="1">
      <alignment horizontal="center" vertical="center"/>
    </xf>
    <xf numFmtId="2" fontId="0" fillId="5" borderId="35" xfId="0" applyNumberFormat="1" applyFill="1" applyBorder="1" applyAlignment="1">
      <alignment horizontal="center" vertical="center"/>
    </xf>
    <xf numFmtId="2" fontId="0" fillId="5" borderId="15" xfId="0" applyNumberFormat="1" applyFill="1" applyBorder="1" applyAlignment="1">
      <alignment horizontal="center" vertical="center"/>
    </xf>
    <xf numFmtId="4" fontId="0" fillId="0" borderId="7" xfId="0" applyNumberFormat="1" applyBorder="1" applyAlignment="1" applyProtection="1">
      <alignment horizontal="center" vertical="center" shrinkToFit="1"/>
    </xf>
    <xf numFmtId="4" fontId="0" fillId="0" borderId="1" xfId="0" applyNumberFormat="1" applyBorder="1" applyAlignment="1" applyProtection="1">
      <alignment horizontal="center" vertical="center" shrinkToFit="1"/>
    </xf>
    <xf numFmtId="4" fontId="0" fillId="0" borderId="13" xfId="0" applyNumberFormat="1" applyBorder="1" applyAlignment="1" applyProtection="1">
      <alignment horizontal="center" vertical="center" shrinkToFit="1"/>
    </xf>
    <xf numFmtId="0" fontId="0" fillId="0" borderId="7" xfId="1" applyNumberFormat="1" applyFont="1" applyBorder="1" applyAlignment="1" applyProtection="1">
      <alignment horizontal="center" vertical="center"/>
    </xf>
    <xf numFmtId="0" fontId="0" fillId="0" borderId="1" xfId="1" applyNumberFormat="1" applyFont="1" applyBorder="1" applyAlignment="1" applyProtection="1">
      <alignment horizontal="center" vertical="center"/>
    </xf>
    <xf numFmtId="0" fontId="0" fillId="0" borderId="13" xfId="1" applyNumberFormat="1" applyFont="1" applyBorder="1" applyAlignment="1" applyProtection="1">
      <alignment horizontal="center" vertical="center"/>
    </xf>
    <xf numFmtId="165" fontId="2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Protection="1">
      <protection locked="0"/>
    </xf>
    <xf numFmtId="0" fontId="7" fillId="0" borderId="13" xfId="0" applyFont="1" applyBorder="1" applyProtection="1"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164" fontId="3" fillId="0" borderId="0" xfId="1" applyFont="1" applyAlignment="1" applyProtection="1">
      <alignment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7" fillId="0" borderId="7" xfId="0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 applyProtection="1">
      <alignment horizontal="center"/>
    </xf>
    <xf numFmtId="169" fontId="0" fillId="0" borderId="1" xfId="0" applyNumberFormat="1" applyBorder="1" applyAlignment="1" applyProtection="1">
      <alignment shrinkToFit="1"/>
      <protection locked="0"/>
    </xf>
    <xf numFmtId="0" fontId="0" fillId="0" borderId="0" xfId="0" applyAlignment="1" applyProtection="1">
      <alignment shrinkToFit="1"/>
      <protection locked="0"/>
    </xf>
    <xf numFmtId="166" fontId="0" fillId="0" borderId="1" xfId="0" applyNumberFormat="1" applyBorder="1" applyAlignment="1" applyProtection="1">
      <alignment vertical="center" shrinkToFit="1"/>
    </xf>
    <xf numFmtId="167" fontId="0" fillId="0" borderId="1" xfId="0" applyNumberFormat="1" applyBorder="1" applyAlignment="1" applyProtection="1">
      <alignment vertical="center" shrinkToFit="1"/>
    </xf>
    <xf numFmtId="167" fontId="0" fillId="0" borderId="7" xfId="0" applyNumberFormat="1" applyBorder="1" applyAlignment="1" applyProtection="1">
      <alignment horizontal="center" vertical="center"/>
    </xf>
    <xf numFmtId="167" fontId="0" fillId="0" borderId="1" xfId="0" applyNumberFormat="1" applyBorder="1" applyAlignment="1" applyProtection="1">
      <alignment horizontal="center" vertical="center"/>
    </xf>
    <xf numFmtId="167" fontId="0" fillId="0" borderId="13" xfId="0" applyNumberFormat="1" applyBorder="1" applyAlignment="1" applyProtection="1">
      <alignment horizontal="center" vertical="center"/>
    </xf>
    <xf numFmtId="0" fontId="8" fillId="6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" fontId="0" fillId="0" borderId="10" xfId="0" applyNumberFormat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167" fontId="8" fillId="6" borderId="36" xfId="0" applyNumberFormat="1" applyFont="1" applyFill="1" applyBorder="1" applyAlignment="1" applyProtection="1">
      <alignment horizontal="center" vertical="center"/>
    </xf>
    <xf numFmtId="166" fontId="8" fillId="6" borderId="36" xfId="0" applyNumberFormat="1" applyFont="1" applyFill="1" applyBorder="1" applyAlignment="1" applyProtection="1">
      <alignment horizontal="center" vertical="center"/>
    </xf>
    <xf numFmtId="0" fontId="8" fillId="6" borderId="36" xfId="0" applyFont="1" applyFill="1" applyBorder="1" applyAlignment="1" applyProtection="1">
      <alignment horizontal="center" vertical="center"/>
      <protection locked="0"/>
    </xf>
    <xf numFmtId="0" fontId="15" fillId="6" borderId="36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/>
    <xf numFmtId="0" fontId="0" fillId="0" borderId="1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67" fontId="0" fillId="0" borderId="11" xfId="0" applyNumberFormat="1" applyBorder="1" applyAlignment="1" applyProtection="1">
      <alignment horizontal="center" vertical="center"/>
    </xf>
    <xf numFmtId="167" fontId="0" fillId="0" borderId="7" xfId="0" applyNumberFormat="1" applyBorder="1" applyAlignment="1" applyProtection="1">
      <alignment horizontal="center" vertical="center"/>
      <protection locked="0"/>
    </xf>
    <xf numFmtId="167" fontId="0" fillId="0" borderId="22" xfId="0" applyNumberFormat="1" applyBorder="1" applyAlignment="1" applyProtection="1">
      <alignment horizontal="center" vertical="center"/>
    </xf>
    <xf numFmtId="167" fontId="0" fillId="0" borderId="1" xfId="0" applyNumberFormat="1" applyBorder="1" applyAlignment="1" applyProtection="1">
      <alignment horizontal="center" vertical="center"/>
      <protection locked="0"/>
    </xf>
    <xf numFmtId="167" fontId="0" fillId="0" borderId="13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167" fontId="0" fillId="0" borderId="14" xfId="0" applyNumberFormat="1" applyBorder="1" applyAlignment="1" applyProtection="1">
      <alignment horizontal="center" vertical="center"/>
    </xf>
    <xf numFmtId="1" fontId="0" fillId="0" borderId="5" xfId="1" applyNumberFormat="1" applyFont="1" applyBorder="1" applyAlignment="1" applyProtection="1">
      <alignment vertical="center" shrinkToFit="1"/>
    </xf>
    <xf numFmtId="166" fontId="0" fillId="0" borderId="9" xfId="0" applyNumberFormat="1" applyBorder="1" applyAlignment="1" applyProtection="1">
      <alignment vertical="center"/>
      <protection locked="0"/>
    </xf>
    <xf numFmtId="166" fontId="0" fillId="0" borderId="5" xfId="0" applyNumberFormat="1" applyBorder="1" applyAlignment="1" applyProtection="1">
      <alignment vertical="center"/>
      <protection locked="0"/>
    </xf>
    <xf numFmtId="0" fontId="0" fillId="3" borderId="7" xfId="0" applyFill="1" applyBorder="1"/>
    <xf numFmtId="0" fontId="0" fillId="3" borderId="1" xfId="0" applyFill="1" applyBorder="1"/>
    <xf numFmtId="0" fontId="0" fillId="0" borderId="13" xfId="0" applyBorder="1"/>
    <xf numFmtId="0" fontId="10" fillId="0" borderId="0" xfId="0" applyFont="1" applyBorder="1" applyAlignment="1" applyProtection="1">
      <alignment vertical="center"/>
      <protection locked="0"/>
    </xf>
    <xf numFmtId="168" fontId="7" fillId="0" borderId="1" xfId="1" applyNumberFormat="1" applyFont="1" applyBorder="1" applyAlignment="1" applyProtection="1"/>
    <xf numFmtId="168" fontId="7" fillId="0" borderId="1" xfId="1" applyNumberFormat="1" applyFont="1" applyBorder="1" applyAlignment="1" applyProtection="1">
      <alignment horizontal="center"/>
    </xf>
    <xf numFmtId="168" fontId="7" fillId="0" borderId="11" xfId="1" applyNumberFormat="1" applyFont="1" applyBorder="1" applyAlignment="1" applyProtection="1">
      <alignment horizontal="center"/>
    </xf>
    <xf numFmtId="0" fontId="7" fillId="0" borderId="48" xfId="0" applyFont="1" applyBorder="1" applyAlignment="1" applyProtection="1"/>
    <xf numFmtId="0" fontId="7" fillId="0" borderId="48" xfId="0" applyFont="1" applyBorder="1" applyAlignment="1" applyProtection="1">
      <alignment horizontal="center"/>
    </xf>
    <xf numFmtId="168" fontId="7" fillId="0" borderId="48" xfId="1" applyNumberFormat="1" applyFont="1" applyBorder="1" applyAlignment="1" applyProtection="1"/>
    <xf numFmtId="168" fontId="7" fillId="0" borderId="48" xfId="1" applyNumberFormat="1" applyFont="1" applyBorder="1" applyAlignment="1" applyProtection="1">
      <alignment horizontal="center"/>
    </xf>
    <xf numFmtId="168" fontId="7" fillId="0" borderId="58" xfId="1" applyNumberFormat="1" applyFont="1" applyBorder="1" applyAlignment="1" applyProtection="1">
      <alignment horizontal="center"/>
    </xf>
    <xf numFmtId="0" fontId="0" fillId="0" borderId="57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0" xfId="0" applyBorder="1" applyAlignment="1" applyProtection="1">
      <alignment vertical="center" shrinkToFit="1"/>
    </xf>
    <xf numFmtId="167" fontId="0" fillId="0" borderId="0" xfId="0" applyNumberFormat="1" applyBorder="1" applyAlignment="1" applyProtection="1">
      <alignment horizontal="center" vertical="center" shrinkToFit="1"/>
    </xf>
    <xf numFmtId="0" fontId="0" fillId="0" borderId="18" xfId="0" applyBorder="1" applyAlignment="1" applyProtection="1">
      <alignment horizontal="center"/>
    </xf>
    <xf numFmtId="2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0" fillId="6" borderId="1" xfId="0" applyFill="1" applyBorder="1" applyAlignment="1" applyProtection="1">
      <alignment horizontal="center"/>
      <protection locked="0"/>
    </xf>
    <xf numFmtId="0" fontId="0" fillId="6" borderId="13" xfId="0" applyFill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1" fontId="7" fillId="0" borderId="1" xfId="0" applyNumberFormat="1" applyFont="1" applyBorder="1" applyProtection="1"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Protection="1">
      <protection locked="0"/>
    </xf>
    <xf numFmtId="0" fontId="0" fillId="6" borderId="3" xfId="0" applyFill="1" applyBorder="1" applyAlignment="1" applyProtection="1">
      <alignment horizontal="center"/>
      <protection locked="0"/>
    </xf>
    <xf numFmtId="0" fontId="14" fillId="6" borderId="0" xfId="0" applyFont="1" applyFill="1" applyBorder="1" applyAlignment="1" applyProtection="1">
      <protection hidden="1"/>
    </xf>
    <xf numFmtId="0" fontId="7" fillId="0" borderId="21" xfId="0" applyFont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/>
    <xf numFmtId="0" fontId="7" fillId="0" borderId="7" xfId="0" applyFont="1" applyBorder="1" applyAlignment="1" applyProtection="1">
      <alignment horizontal="center"/>
    </xf>
    <xf numFmtId="168" fontId="7" fillId="0" borderId="7" xfId="1" applyNumberFormat="1" applyFont="1" applyBorder="1" applyAlignment="1" applyProtection="1"/>
    <xf numFmtId="168" fontId="7" fillId="0" borderId="7" xfId="1" applyNumberFormat="1" applyFont="1" applyBorder="1" applyAlignment="1" applyProtection="1">
      <alignment horizontal="center"/>
    </xf>
    <xf numFmtId="168" fontId="7" fillId="0" borderId="22" xfId="1" applyNumberFormat="1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57" xfId="0" applyFont="1" applyBorder="1" applyAlignment="1" applyProtection="1">
      <alignment horizontal="center"/>
      <protection locked="0"/>
    </xf>
    <xf numFmtId="0" fontId="6" fillId="0" borderId="48" xfId="0" applyFont="1" applyBorder="1" applyProtection="1"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49" fontId="7" fillId="3" borderId="7" xfId="0" applyNumberFormat="1" applyFont="1" applyFill="1" applyBorder="1"/>
    <xf numFmtId="0" fontId="10" fillId="0" borderId="26" xfId="0" applyFont="1" applyBorder="1" applyAlignment="1" applyProtection="1">
      <alignment vertical="center"/>
      <protection locked="0"/>
    </xf>
    <xf numFmtId="0" fontId="0" fillId="6" borderId="35" xfId="0" applyFill="1" applyBorder="1" applyAlignment="1" applyProtection="1">
      <alignment horizontal="center"/>
      <protection locked="0"/>
    </xf>
    <xf numFmtId="0" fontId="0" fillId="6" borderId="40" xfId="0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protection locked="0"/>
    </xf>
    <xf numFmtId="2" fontId="0" fillId="5" borderId="1" xfId="0" applyNumberFormat="1" applyFill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2" fontId="0" fillId="5" borderId="63" xfId="0" applyNumberFormat="1" applyFill="1" applyBorder="1" applyAlignment="1">
      <alignment horizontal="center" vertical="center"/>
    </xf>
    <xf numFmtId="2" fontId="0" fillId="5" borderId="56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0" borderId="40" xfId="0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</xf>
    <xf numFmtId="0" fontId="0" fillId="0" borderId="48" xfId="0" applyBorder="1" applyAlignment="1" applyProtection="1">
      <alignment horizont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  <protection locked="0"/>
    </xf>
    <xf numFmtId="168" fontId="7" fillId="0" borderId="1" xfId="1" applyNumberFormat="1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168" fontId="7" fillId="0" borderId="7" xfId="1" applyNumberFormat="1" applyFont="1" applyBorder="1" applyAlignment="1" applyProtection="1">
      <alignment horizontal="center"/>
      <protection locked="0"/>
    </xf>
    <xf numFmtId="0" fontId="7" fillId="0" borderId="48" xfId="0" applyFont="1" applyBorder="1" applyAlignment="1" applyProtection="1">
      <alignment horizontal="center"/>
      <protection locked="0"/>
    </xf>
    <xf numFmtId="168" fontId="7" fillId="0" borderId="48" xfId="1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vertical="center"/>
    </xf>
    <xf numFmtId="0" fontId="8" fillId="2" borderId="29" xfId="0" applyFont="1" applyFill="1" applyBorder="1" applyAlignment="1" applyProtection="1">
      <alignment horizontal="center" vertical="center" wrapText="1"/>
      <protection locked="0"/>
    </xf>
    <xf numFmtId="0" fontId="8" fillId="6" borderId="29" xfId="0" applyFont="1" applyFill="1" applyBorder="1" applyAlignment="1" applyProtection="1">
      <alignment horizontal="center" vertical="center" wrapText="1"/>
      <protection locked="0"/>
    </xf>
    <xf numFmtId="165" fontId="2" fillId="2" borderId="28" xfId="1" applyNumberFormat="1" applyFont="1" applyFill="1" applyBorder="1" applyAlignment="1" applyProtection="1">
      <alignment horizontal="center" vertical="center" wrapText="1"/>
      <protection locked="0"/>
    </xf>
    <xf numFmtId="16" fontId="0" fillId="0" borderId="21" xfId="0" applyNumberFormat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169" fontId="0" fillId="0" borderId="7" xfId="0" applyNumberFormat="1" applyBorder="1" applyAlignment="1" applyProtection="1">
      <alignment shrinkToFit="1"/>
      <protection locked="0"/>
    </xf>
    <xf numFmtId="166" fontId="0" fillId="0" borderId="7" xfId="0" applyNumberFormat="1" applyBorder="1" applyAlignment="1" applyProtection="1">
      <alignment vertical="center" shrinkToFit="1"/>
    </xf>
    <xf numFmtId="167" fontId="0" fillId="0" borderId="7" xfId="0" applyNumberFormat="1" applyBorder="1" applyAlignment="1" applyProtection="1">
      <alignment vertical="center" shrinkToFit="1"/>
    </xf>
    <xf numFmtId="16" fontId="0" fillId="0" borderId="12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 vertical="center"/>
      <protection locked="0"/>
    </xf>
    <xf numFmtId="169" fontId="0" fillId="0" borderId="13" xfId="0" applyNumberFormat="1" applyBorder="1" applyAlignment="1" applyProtection="1">
      <alignment shrinkToFit="1"/>
      <protection locked="0"/>
    </xf>
    <xf numFmtId="166" fontId="0" fillId="0" borderId="13" xfId="0" applyNumberFormat="1" applyBorder="1" applyAlignment="1" applyProtection="1">
      <alignment vertical="center" shrinkToFit="1"/>
    </xf>
    <xf numFmtId="167" fontId="0" fillId="0" borderId="13" xfId="0" applyNumberFormat="1" applyBorder="1" applyAlignment="1" applyProtection="1">
      <alignment vertical="center" shrinkToFit="1"/>
    </xf>
    <xf numFmtId="0" fontId="14" fillId="6" borderId="36" xfId="0" applyFont="1" applyFill="1" applyBorder="1" applyAlignment="1" applyProtection="1">
      <protection hidden="1"/>
    </xf>
    <xf numFmtId="0" fontId="11" fillId="0" borderId="48" xfId="0" applyFont="1" applyBorder="1" applyAlignment="1" applyProtection="1">
      <alignment horizontal="center"/>
      <protection locked="0"/>
    </xf>
    <xf numFmtId="2" fontId="0" fillId="0" borderId="7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 wrapText="1"/>
    </xf>
    <xf numFmtId="2" fontId="0" fillId="0" borderId="13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horizontal="center" vertical="center"/>
    </xf>
    <xf numFmtId="2" fontId="0" fillId="5" borderId="63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5" borderId="56" xfId="0" applyNumberForma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167" fontId="0" fillId="0" borderId="28" xfId="0" applyNumberFormat="1" applyBorder="1" applyAlignment="1" applyProtection="1">
      <alignment horizontal="center" vertical="center" shrinkToFit="1"/>
    </xf>
    <xf numFmtId="167" fontId="0" fillId="0" borderId="9" xfId="0" applyNumberFormat="1" applyBorder="1" applyAlignment="1" applyProtection="1">
      <alignment horizontal="center" vertical="center" shrinkToFit="1"/>
    </xf>
    <xf numFmtId="0" fontId="3" fillId="0" borderId="5" xfId="0" applyFont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>
      <alignment vertical="center"/>
    </xf>
    <xf numFmtId="0" fontId="4" fillId="6" borderId="11" xfId="0" applyFont="1" applyFill="1" applyBorder="1" applyAlignment="1">
      <alignment vertical="center"/>
    </xf>
    <xf numFmtId="0" fontId="18" fillId="6" borderId="1" xfId="0" applyFont="1" applyFill="1" applyBorder="1" applyAlignment="1">
      <alignment vertical="center"/>
    </xf>
    <xf numFmtId="0" fontId="18" fillId="6" borderId="11" xfId="0" applyFont="1" applyFill="1" applyBorder="1" applyAlignment="1">
      <alignment vertical="center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7" fillId="0" borderId="39" xfId="0" applyFont="1" applyBorder="1" applyAlignment="1" applyProtection="1">
      <alignment horizontal="center"/>
      <protection locked="0"/>
    </xf>
    <xf numFmtId="0" fontId="7" fillId="0" borderId="40" xfId="0" applyFont="1" applyBorder="1" applyAlignment="1" applyProtection="1">
      <alignment horizontal="center"/>
      <protection locked="0"/>
    </xf>
    <xf numFmtId="0" fontId="7" fillId="0" borderId="93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2" fontId="0" fillId="0" borderId="21" xfId="0" applyNumberFormat="1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2" fontId="0" fillId="0" borderId="12" xfId="0" applyNumberFormat="1" applyFont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0" fontId="0" fillId="0" borderId="3" xfId="0" applyBorder="1" applyProtection="1">
      <protection locked="0" hidden="1"/>
    </xf>
    <xf numFmtId="2" fontId="0" fillId="0" borderId="10" xfId="0" applyNumberFormat="1" applyBorder="1"/>
    <xf numFmtId="0" fontId="0" fillId="0" borderId="11" xfId="0" applyBorder="1"/>
    <xf numFmtId="0" fontId="0" fillId="0" borderId="1" xfId="0" applyFill="1" applyBorder="1" applyProtection="1">
      <protection locked="0" hidden="1"/>
    </xf>
    <xf numFmtId="0" fontId="0" fillId="0" borderId="10" xfId="0" applyBorder="1"/>
    <xf numFmtId="0" fontId="0" fillId="0" borderId="1" xfId="0" applyFill="1" applyBorder="1"/>
    <xf numFmtId="0" fontId="0" fillId="0" borderId="1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3" xfId="0" applyFill="1" applyBorder="1" applyProtection="1">
      <protection locked="0" hidden="1"/>
    </xf>
    <xf numFmtId="0" fontId="0" fillId="0" borderId="14" xfId="0" applyBorder="1"/>
    <xf numFmtId="0" fontId="0" fillId="0" borderId="43" xfId="0" applyBorder="1"/>
    <xf numFmtId="0" fontId="0" fillId="0" borderId="84" xfId="0" applyBorder="1"/>
    <xf numFmtId="0" fontId="0" fillId="0" borderId="85" xfId="0" applyBorder="1"/>
    <xf numFmtId="0" fontId="0" fillId="7" borderId="1" xfId="0" applyFill="1" applyBorder="1" applyProtection="1">
      <protection locked="0" hidden="1"/>
    </xf>
    <xf numFmtId="2" fontId="0" fillId="0" borderId="25" xfId="0" applyNumberFormat="1" applyBorder="1"/>
    <xf numFmtId="0" fontId="0" fillId="0" borderId="96" xfId="0" applyBorder="1"/>
    <xf numFmtId="0" fontId="0" fillId="0" borderId="19" xfId="0" applyBorder="1"/>
    <xf numFmtId="0" fontId="0" fillId="0" borderId="2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83" xfId="0" applyBorder="1" applyAlignment="1">
      <alignment horizontal="center" vertical="center" wrapText="1"/>
    </xf>
    <xf numFmtId="10" fontId="0" fillId="0" borderId="0" xfId="0" applyNumberFormat="1"/>
    <xf numFmtId="1" fontId="0" fillId="0" borderId="0" xfId="0" applyNumberFormat="1"/>
    <xf numFmtId="0" fontId="0" fillId="7" borderId="84" xfId="0" applyFill="1" applyBorder="1"/>
    <xf numFmtId="0" fontId="0" fillId="7" borderId="1" xfId="0" applyFill="1" applyBorder="1"/>
    <xf numFmtId="167" fontId="0" fillId="0" borderId="38" xfId="0" applyNumberFormat="1" applyBorder="1" applyAlignment="1" applyProtection="1">
      <alignment horizontal="center" vertical="center"/>
    </xf>
    <xf numFmtId="167" fontId="0" fillId="0" borderId="2" xfId="0" applyNumberFormat="1" applyBorder="1" applyAlignment="1" applyProtection="1">
      <alignment horizontal="center" vertical="center"/>
    </xf>
    <xf numFmtId="167" fontId="0" fillId="0" borderId="42" xfId="0" applyNumberFormat="1" applyBorder="1" applyAlignment="1" applyProtection="1">
      <alignment horizontal="center" vertical="center"/>
    </xf>
    <xf numFmtId="0" fontId="14" fillId="6" borderId="97" xfId="0" applyFont="1" applyFill="1" applyBorder="1" applyAlignment="1" applyProtection="1">
      <protection hidden="1"/>
    </xf>
    <xf numFmtId="0" fontId="14" fillId="6" borderId="98" xfId="0" applyFont="1" applyFill="1" applyBorder="1" applyAlignment="1" applyProtection="1">
      <protection hidden="1"/>
    </xf>
    <xf numFmtId="0" fontId="8" fillId="8" borderId="5" xfId="0" applyFont="1" applyFill="1" applyBorder="1" applyAlignment="1" applyProtection="1">
      <alignment horizontal="center" vertical="center" wrapText="1"/>
      <protection locked="0"/>
    </xf>
    <xf numFmtId="0" fontId="8" fillId="6" borderId="5" xfId="0" applyFont="1" applyFill="1" applyBorder="1" applyAlignment="1" applyProtection="1">
      <alignment horizontal="center" vertical="center" wrapText="1"/>
      <protection locked="0"/>
    </xf>
    <xf numFmtId="0" fontId="8" fillId="9" borderId="5" xfId="0" applyFont="1" applyFill="1" applyBorder="1" applyAlignment="1" applyProtection="1">
      <alignment horizontal="center" vertical="center" wrapText="1"/>
      <protection locked="0"/>
    </xf>
    <xf numFmtId="165" fontId="2" fillId="6" borderId="5" xfId="1" applyNumberFormat="1" applyFont="1" applyFill="1" applyBorder="1" applyAlignment="1" applyProtection="1">
      <alignment horizontal="center" vertical="center" wrapText="1"/>
      <protection locked="0"/>
    </xf>
    <xf numFmtId="16" fontId="0" fillId="0" borderId="57" xfId="0" applyNumberFormat="1" applyBorder="1" applyAlignment="1" applyProtection="1">
      <alignment horizontal="center"/>
      <protection locked="0"/>
    </xf>
    <xf numFmtId="0" fontId="0" fillId="6" borderId="48" xfId="0" applyFill="1" applyBorder="1" applyAlignment="1" applyProtection="1">
      <alignment horizontal="center"/>
      <protection locked="0"/>
    </xf>
    <xf numFmtId="49" fontId="0" fillId="0" borderId="48" xfId="0" applyNumberFormat="1" applyBorder="1" applyAlignment="1" applyProtection="1">
      <alignment horizontal="center" vertical="center"/>
      <protection locked="0"/>
    </xf>
    <xf numFmtId="169" fontId="0" fillId="0" borderId="48" xfId="0" applyNumberFormat="1" applyBorder="1" applyAlignment="1" applyProtection="1">
      <alignment shrinkToFit="1"/>
      <protection locked="0"/>
    </xf>
    <xf numFmtId="0" fontId="7" fillId="0" borderId="48" xfId="0" applyFont="1" applyBorder="1" applyProtection="1">
      <protection locked="0"/>
    </xf>
    <xf numFmtId="4" fontId="0" fillId="0" borderId="48" xfId="0" applyNumberFormat="1" applyBorder="1" applyAlignment="1" applyProtection="1">
      <alignment horizontal="center" vertical="center" shrinkToFit="1"/>
    </xf>
    <xf numFmtId="166" fontId="0" fillId="0" borderId="48" xfId="0" applyNumberFormat="1" applyBorder="1" applyAlignment="1" applyProtection="1">
      <alignment vertical="center" shrinkToFit="1"/>
    </xf>
    <xf numFmtId="167" fontId="0" fillId="0" borderId="48" xfId="0" applyNumberFormat="1" applyBorder="1" applyAlignment="1" applyProtection="1">
      <alignment vertical="center" shrinkToFit="1"/>
    </xf>
    <xf numFmtId="0" fontId="0" fillId="0" borderId="99" xfId="0" applyBorder="1" applyAlignment="1" applyProtection="1">
      <alignment horizontal="center"/>
      <protection locked="0"/>
    </xf>
    <xf numFmtId="0" fontId="14" fillId="6" borderId="100" xfId="0" applyFont="1" applyFill="1" applyBorder="1" applyAlignment="1" applyProtection="1">
      <protection hidden="1"/>
    </xf>
    <xf numFmtId="0" fontId="0" fillId="0" borderId="93" xfId="0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 wrapText="1"/>
    </xf>
    <xf numFmtId="0" fontId="0" fillId="0" borderId="5" xfId="0" applyBorder="1"/>
    <xf numFmtId="0" fontId="0" fillId="0" borderId="32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2" fontId="0" fillId="0" borderId="24" xfId="0" applyNumberFormat="1" applyBorder="1" applyAlignment="1">
      <alignment horizontal="center" vertical="center" shrinkToFit="1"/>
    </xf>
    <xf numFmtId="2" fontId="0" fillId="0" borderId="90" xfId="0" applyNumberFormat="1" applyBorder="1" applyAlignment="1">
      <alignment horizontal="center" vertical="center" shrinkToFit="1"/>
    </xf>
    <xf numFmtId="2" fontId="0" fillId="4" borderId="86" xfId="0" applyNumberFormat="1" applyFill="1" applyBorder="1" applyAlignment="1">
      <alignment horizontal="center" vertical="center"/>
    </xf>
    <xf numFmtId="2" fontId="0" fillId="4" borderId="87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 shrinkToFit="1"/>
    </xf>
    <xf numFmtId="0" fontId="10" fillId="0" borderId="3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92" xfId="0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2" fontId="0" fillId="4" borderId="80" xfId="0" applyNumberFormat="1" applyFill="1" applyBorder="1" applyAlignment="1">
      <alignment horizontal="center" vertical="center"/>
    </xf>
    <xf numFmtId="0" fontId="0" fillId="4" borderId="80" xfId="0" applyFill="1" applyBorder="1" applyAlignment="1">
      <alignment horizontal="center" vertical="center"/>
    </xf>
    <xf numFmtId="2" fontId="0" fillId="4" borderId="81" xfId="0" applyNumberFormat="1" applyFill="1" applyBorder="1" applyAlignment="1">
      <alignment horizontal="center" vertical="center"/>
    </xf>
    <xf numFmtId="0" fontId="0" fillId="4" borderId="81" xfId="0" applyFill="1" applyBorder="1" applyAlignment="1">
      <alignment horizontal="center" vertical="center"/>
    </xf>
    <xf numFmtId="2" fontId="0" fillId="4" borderId="82" xfId="0" applyNumberFormat="1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2" fontId="0" fillId="4" borderId="80" xfId="0" applyNumberFormat="1" applyFill="1" applyBorder="1" applyAlignment="1">
      <alignment horizontal="center" vertical="center" wrapText="1"/>
    </xf>
    <xf numFmtId="0" fontId="0" fillId="4" borderId="80" xfId="0" applyFill="1" applyBorder="1" applyAlignment="1">
      <alignment horizontal="center" vertical="center" wrapText="1"/>
    </xf>
    <xf numFmtId="2" fontId="0" fillId="4" borderId="88" xfId="0" applyNumberFormat="1" applyFill="1" applyBorder="1" applyAlignment="1">
      <alignment horizontal="center" vertical="center"/>
    </xf>
    <xf numFmtId="2" fontId="0" fillId="4" borderId="89" xfId="0" applyNumberFormat="1" applyFill="1" applyBorder="1" applyAlignment="1">
      <alignment horizontal="center" vertical="center"/>
    </xf>
    <xf numFmtId="2" fontId="0" fillId="4" borderId="94" xfId="0" applyNumberFormat="1" applyFill="1" applyBorder="1" applyAlignment="1">
      <alignment horizontal="center" vertical="center"/>
    </xf>
    <xf numFmtId="2" fontId="0" fillId="4" borderId="94" xfId="0" applyNumberFormat="1" applyFill="1" applyBorder="1" applyAlignment="1">
      <alignment horizontal="center" vertical="center" wrapText="1"/>
    </xf>
    <xf numFmtId="2" fontId="0" fillId="4" borderId="89" xfId="0" applyNumberForma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2" fontId="0" fillId="0" borderId="7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78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shrinkToFit="1"/>
    </xf>
    <xf numFmtId="2" fontId="0" fillId="0" borderId="48" xfId="0" applyNumberFormat="1" applyBorder="1" applyAlignment="1">
      <alignment horizontal="center" vertical="center" shrinkToFit="1"/>
    </xf>
    <xf numFmtId="2" fontId="0" fillId="0" borderId="48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2" fontId="0" fillId="5" borderId="63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5" borderId="56" xfId="0" applyNumberForma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shrinkToFit="1"/>
    </xf>
    <xf numFmtId="2" fontId="0" fillId="0" borderId="22" xfId="0" applyNumberFormat="1" applyBorder="1" applyAlignment="1">
      <alignment horizontal="center" vertical="center" shrinkToFit="1"/>
    </xf>
    <xf numFmtId="2" fontId="0" fillId="0" borderId="11" xfId="0" applyNumberFormat="1" applyBorder="1" applyAlignment="1">
      <alignment horizontal="center" vertical="center" shrinkToFit="1"/>
    </xf>
    <xf numFmtId="2" fontId="0" fillId="0" borderId="5" xfId="0" applyNumberFormat="1" applyBorder="1" applyAlignment="1">
      <alignment horizontal="center" vertical="center" textRotation="45" wrapText="1"/>
    </xf>
    <xf numFmtId="2" fontId="0" fillId="0" borderId="51" xfId="0" applyNumberFormat="1" applyFont="1" applyBorder="1" applyAlignment="1">
      <alignment horizontal="center" vertical="center" wrapText="1"/>
    </xf>
    <xf numFmtId="2" fontId="0" fillId="0" borderId="54" xfId="0" applyNumberFormat="1" applyFont="1" applyBorder="1" applyAlignment="1">
      <alignment horizontal="center" vertical="center" wrapText="1"/>
    </xf>
    <xf numFmtId="2" fontId="0" fillId="0" borderId="61" xfId="0" applyNumberFormat="1" applyFont="1" applyBorder="1" applyAlignment="1">
      <alignment horizontal="center" vertical="center" wrapText="1"/>
    </xf>
    <xf numFmtId="2" fontId="0" fillId="5" borderId="7" xfId="0" applyNumberFormat="1" applyFill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 wrapText="1"/>
    </xf>
    <xf numFmtId="2" fontId="0" fillId="5" borderId="16" xfId="0" applyNumberForma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 textRotation="45" wrapText="1"/>
    </xf>
    <xf numFmtId="2" fontId="0" fillId="0" borderId="36" xfId="0" applyNumberFormat="1" applyBorder="1" applyAlignment="1">
      <alignment horizontal="center" vertical="center" textRotation="45" wrapText="1"/>
    </xf>
    <xf numFmtId="2" fontId="0" fillId="0" borderId="49" xfId="0" applyNumberFormat="1" applyBorder="1" applyAlignment="1">
      <alignment horizontal="center" vertical="center" textRotation="45" wrapText="1"/>
    </xf>
    <xf numFmtId="2" fontId="0" fillId="0" borderId="41" xfId="0" applyNumberFormat="1" applyBorder="1" applyAlignment="1">
      <alignment horizontal="center" vertical="center" textRotation="45" wrapText="1"/>
    </xf>
    <xf numFmtId="2" fontId="0" fillId="0" borderId="28" xfId="0" applyNumberForma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5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6" fontId="8" fillId="3" borderId="5" xfId="0" applyNumberFormat="1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164" fontId="2" fillId="0" borderId="28" xfId="1" applyFont="1" applyBorder="1" applyAlignment="1" applyProtection="1">
      <alignment horizontal="center" vertical="center"/>
      <protection locked="0"/>
    </xf>
    <xf numFmtId="164" fontId="2" fillId="0" borderId="29" xfId="1" applyFont="1" applyBorder="1" applyAlignment="1" applyProtection="1">
      <alignment horizontal="center" vertical="center"/>
      <protection locked="0"/>
    </xf>
    <xf numFmtId="164" fontId="2" fillId="0" borderId="9" xfId="1" applyFont="1" applyBorder="1" applyAlignment="1" applyProtection="1">
      <alignment horizontal="center" vertical="center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4" fillId="6" borderId="101" xfId="0" applyFont="1" applyFill="1" applyBorder="1" applyAlignment="1" applyProtection="1">
      <alignment horizontal="center"/>
      <protection hidden="1"/>
    </xf>
    <xf numFmtId="0" fontId="14" fillId="6" borderId="65" xfId="0" applyFont="1" applyFill="1" applyBorder="1" applyAlignment="1" applyProtection="1">
      <alignment horizontal="center"/>
      <protection hidden="1"/>
    </xf>
    <xf numFmtId="0" fontId="0" fillId="0" borderId="65" xfId="0" applyBorder="1" applyAlignment="1">
      <alignment horizontal="center"/>
    </xf>
    <xf numFmtId="165" fontId="8" fillId="3" borderId="5" xfId="0" applyNumberFormat="1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6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170" fontId="8" fillId="3" borderId="5" xfId="0" applyNumberFormat="1" applyFont="1" applyFill="1" applyBorder="1" applyAlignment="1" applyProtection="1">
      <alignment horizontal="center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/>
    </xf>
    <xf numFmtId="0" fontId="8" fillId="0" borderId="17" xfId="0" applyFont="1" applyBorder="1" applyAlignment="1" applyProtection="1">
      <alignment horizontal="center"/>
    </xf>
    <xf numFmtId="170" fontId="12" fillId="3" borderId="17" xfId="1" applyNumberFormat="1" applyFont="1" applyFill="1" applyBorder="1" applyAlignment="1" applyProtection="1">
      <alignment horizontal="center"/>
    </xf>
    <xf numFmtId="166" fontId="8" fillId="3" borderId="5" xfId="0" applyNumberFormat="1" applyFont="1" applyFill="1" applyBorder="1" applyAlignment="1" applyProtection="1">
      <alignment horizontal="center"/>
    </xf>
    <xf numFmtId="166" fontId="12" fillId="3" borderId="5" xfId="0" applyNumberFormat="1" applyFont="1" applyFill="1" applyBorder="1" applyAlignment="1" applyProtection="1">
      <alignment horizontal="center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164" fontId="8" fillId="0" borderId="28" xfId="1" applyFont="1" applyBorder="1" applyAlignment="1" applyProtection="1">
      <alignment horizontal="center" vertical="center" wrapText="1"/>
      <protection locked="0"/>
    </xf>
    <xf numFmtId="164" fontId="8" fillId="0" borderId="29" xfId="1" applyFont="1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4" fillId="0" borderId="21" xfId="0" applyNumberFormat="1" applyFont="1" applyBorder="1" applyAlignment="1" applyProtection="1">
      <alignment horizontal="center" vertical="center"/>
      <protection locked="0"/>
    </xf>
    <xf numFmtId="49" fontId="4" fillId="0" borderId="10" xfId="0" applyNumberFormat="1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/>
    </xf>
    <xf numFmtId="165" fontId="8" fillId="3" borderId="17" xfId="0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shrinkToFit="1"/>
      <protection locked="0"/>
    </xf>
    <xf numFmtId="0" fontId="9" fillId="2" borderId="5" xfId="0" applyFont="1" applyFill="1" applyBorder="1" applyAlignment="1" applyProtection="1">
      <alignment horizontal="center" vertical="center" shrinkToFit="1"/>
      <protection locked="0"/>
    </xf>
    <xf numFmtId="164" fontId="2" fillId="2" borderId="5" xfId="1" applyFont="1" applyFill="1" applyBorder="1" applyAlignment="1" applyProtection="1">
      <alignment horizontal="center" vertical="center" wrapText="1"/>
      <protection locked="0"/>
    </xf>
    <xf numFmtId="3" fontId="2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30" xfId="0" applyFont="1" applyBorder="1" applyAlignment="1" applyProtection="1">
      <alignment horizontal="center" vertical="center"/>
      <protection locked="0"/>
    </xf>
    <xf numFmtId="0" fontId="10" fillId="0" borderId="31" xfId="0" applyFont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 vertical="center"/>
      <protection locked="0"/>
    </xf>
    <xf numFmtId="164" fontId="2" fillId="0" borderId="28" xfId="1" applyFont="1" applyBorder="1" applyAlignment="1" applyProtection="1">
      <alignment horizontal="center" vertical="center" wrapText="1"/>
      <protection locked="0"/>
    </xf>
    <xf numFmtId="164" fontId="2" fillId="0" borderId="29" xfId="1" applyFont="1" applyBorder="1" applyAlignment="1" applyProtection="1">
      <alignment horizontal="center" vertical="center" wrapText="1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8" fillId="0" borderId="28" xfId="0" applyFont="1" applyBorder="1" applyAlignment="1" applyProtection="1">
      <alignment horizontal="center" vertical="center" wrapText="1"/>
      <protection locked="0"/>
    </xf>
    <xf numFmtId="0" fontId="8" fillId="0" borderId="29" xfId="0" applyFont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2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166" fontId="0" fillId="0" borderId="30" xfId="0" applyNumberFormat="1" applyBorder="1" applyAlignment="1" applyProtection="1">
      <alignment horizontal="center" vertical="center"/>
      <protection locked="0"/>
    </xf>
    <xf numFmtId="166" fontId="0" fillId="0" borderId="31" xfId="0" applyNumberFormat="1" applyBorder="1" applyAlignment="1" applyProtection="1">
      <alignment horizontal="center" vertical="center"/>
      <protection locked="0"/>
    </xf>
    <xf numFmtId="166" fontId="0" fillId="0" borderId="32" xfId="0" applyNumberFormat="1" applyBorder="1" applyAlignment="1" applyProtection="1">
      <alignment horizontal="center" vertical="center"/>
      <protection locked="0"/>
    </xf>
    <xf numFmtId="166" fontId="0" fillId="0" borderId="26" xfId="0" applyNumberFormat="1" applyBorder="1" applyAlignment="1" applyProtection="1">
      <alignment horizontal="center" vertical="center"/>
      <protection locked="0"/>
    </xf>
    <xf numFmtId="166" fontId="0" fillId="0" borderId="8" xfId="0" applyNumberFormat="1" applyBorder="1" applyAlignment="1" applyProtection="1">
      <alignment horizontal="center" vertical="center"/>
      <protection locked="0"/>
    </xf>
    <xf numFmtId="166" fontId="0" fillId="0" borderId="33" xfId="0" applyNumberForma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  <protection locked="0"/>
    </xf>
    <xf numFmtId="167" fontId="0" fillId="0" borderId="28" xfId="0" applyNumberFormat="1" applyBorder="1" applyAlignment="1" applyProtection="1">
      <alignment horizontal="center" vertical="center" shrinkToFit="1"/>
    </xf>
    <xf numFmtId="167" fontId="0" fillId="0" borderId="9" xfId="0" applyNumberFormat="1" applyBorder="1" applyAlignment="1" applyProtection="1">
      <alignment horizontal="center" vertical="center" shrinkToFit="1"/>
    </xf>
    <xf numFmtId="166" fontId="16" fillId="0" borderId="1" xfId="0" applyNumberFormat="1" applyFont="1" applyBorder="1" applyAlignment="1" applyProtection="1">
      <alignment horizontal="center" vertical="center" shrinkToFit="1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6" fontId="0" fillId="0" borderId="1" xfId="0" applyNumberFormat="1" applyBorder="1" applyAlignment="1">
      <alignment horizontal="center" vertical="center"/>
    </xf>
    <xf numFmtId="0" fontId="6" fillId="0" borderId="5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0" fontId="0" fillId="0" borderId="32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166" fontId="0" fillId="0" borderId="2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6" fontId="5" fillId="0" borderId="7" xfId="0" applyNumberFormat="1" applyFont="1" applyBorder="1" applyAlignment="1" applyProtection="1">
      <alignment horizontal="center" vertical="center" shrinkToFit="1"/>
      <protection locked="0"/>
    </xf>
    <xf numFmtId="166" fontId="5" fillId="0" borderId="1" xfId="0" applyNumberFormat="1" applyFont="1" applyBorder="1" applyAlignment="1" applyProtection="1">
      <alignment horizontal="center" vertical="center" shrinkToFit="1"/>
      <protection locked="0"/>
    </xf>
    <xf numFmtId="165" fontId="16" fillId="0" borderId="7" xfId="0" applyNumberFormat="1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26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8" fillId="0" borderId="33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166" fontId="0" fillId="0" borderId="50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66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61" xfId="0" applyBorder="1" applyAlignment="1" applyProtection="1">
      <alignment horizontal="center" vertical="center"/>
      <protection locked="0"/>
    </xf>
    <xf numFmtId="166" fontId="0" fillId="0" borderId="46" xfId="0" applyNumberFormat="1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6" fontId="6" fillId="0" borderId="22" xfId="0" applyNumberFormat="1" applyFont="1" applyBorder="1" applyAlignment="1">
      <alignment horizontal="center" vertical="center"/>
    </xf>
    <xf numFmtId="166" fontId="0" fillId="0" borderId="7" xfId="0" applyNumberForma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66" fontId="0" fillId="0" borderId="13" xfId="0" applyNumberFormat="1" applyBorder="1" applyAlignment="1" applyProtection="1">
      <alignment horizontal="center" vertical="center"/>
      <protection locked="0"/>
    </xf>
    <xf numFmtId="166" fontId="6" fillId="0" borderId="14" xfId="0" applyNumberFormat="1" applyFont="1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6" fontId="16" fillId="0" borderId="13" xfId="0" applyNumberFormat="1" applyFont="1" applyBorder="1" applyAlignment="1" applyProtection="1">
      <alignment horizontal="center" vertical="center" shrinkToFit="1"/>
      <protection locked="0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65" fontId="8" fillId="3" borderId="28" xfId="0" applyNumberFormat="1" applyFont="1" applyFill="1" applyBorder="1" applyAlignment="1" applyProtection="1">
      <alignment horizontal="center" vertical="center"/>
    </xf>
    <xf numFmtId="165" fontId="8" fillId="3" borderId="9" xfId="0" applyNumberFormat="1" applyFont="1" applyFill="1" applyBorder="1" applyAlignment="1" applyProtection="1">
      <alignment horizontal="center" vertical="center"/>
    </xf>
    <xf numFmtId="0" fontId="8" fillId="0" borderId="65" xfId="0" applyFont="1" applyBorder="1" applyAlignment="1" applyProtection="1">
      <alignment horizontal="center" vertical="center"/>
    </xf>
    <xf numFmtId="0" fontId="8" fillId="0" borderId="64" xfId="0" applyFont="1" applyBorder="1" applyAlignment="1" applyProtection="1">
      <alignment horizontal="center" vertical="center"/>
    </xf>
    <xf numFmtId="166" fontId="8" fillId="3" borderId="64" xfId="0" applyNumberFormat="1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166" fontId="16" fillId="0" borderId="11" xfId="0" applyNumberFormat="1" applyFont="1" applyBorder="1" applyAlignment="1">
      <alignment horizontal="center" vertical="center"/>
    </xf>
    <xf numFmtId="166" fontId="16" fillId="0" borderId="84" xfId="0" applyNumberFormat="1" applyFont="1" applyBorder="1" applyAlignment="1" applyProtection="1">
      <alignment horizontal="center" vertical="center" shrinkToFit="1"/>
      <protection locked="0"/>
    </xf>
    <xf numFmtId="0" fontId="10" fillId="0" borderId="44" xfId="0" applyFont="1" applyBorder="1" applyAlignment="1" applyProtection="1">
      <alignment horizontal="center" vertical="center"/>
      <protection locked="0"/>
    </xf>
    <xf numFmtId="0" fontId="10" fillId="0" borderId="34" xfId="0" applyFont="1" applyBorder="1" applyAlignment="1" applyProtection="1">
      <alignment horizontal="center" vertical="center"/>
      <protection locked="0"/>
    </xf>
    <xf numFmtId="0" fontId="10" fillId="0" borderId="45" xfId="0" applyFont="1" applyBorder="1" applyAlignment="1" applyProtection="1">
      <alignment horizontal="center" vertical="center"/>
      <protection locked="0"/>
    </xf>
    <xf numFmtId="3" fontId="2" fillId="2" borderId="28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9" fillId="2" borderId="28" xfId="0" applyFont="1" applyFill="1" applyBorder="1" applyAlignment="1" applyProtection="1">
      <alignment horizontal="center" vertical="center" shrinkToFit="1"/>
      <protection locked="0"/>
    </xf>
    <xf numFmtId="164" fontId="2" fillId="2" borderId="28" xfId="1" applyFont="1" applyFill="1" applyBorder="1" applyAlignment="1" applyProtection="1">
      <alignment horizontal="center" vertical="center" wrapText="1"/>
      <protection locked="0"/>
    </xf>
    <xf numFmtId="0" fontId="15" fillId="2" borderId="28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/>
    </xf>
    <xf numFmtId="165" fontId="8" fillId="3" borderId="29" xfId="0" applyNumberFormat="1" applyFont="1" applyFill="1" applyBorder="1" applyAlignment="1" applyProtection="1">
      <alignment horizontal="center" vertical="center"/>
    </xf>
    <xf numFmtId="0" fontId="8" fillId="0" borderId="77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2" fillId="2" borderId="29" xfId="0" applyFont="1" applyFill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29" xfId="0" applyFont="1" applyFill="1" applyBorder="1" applyAlignment="1" applyProtection="1">
      <alignment horizontal="center" vertical="center" shrinkToFit="1"/>
      <protection locked="0"/>
    </xf>
    <xf numFmtId="0" fontId="2" fillId="2" borderId="30" xfId="0" applyFont="1" applyFill="1" applyBorder="1" applyAlignment="1" applyProtection="1">
      <alignment horizontal="center" vertical="center" wrapText="1"/>
      <protection locked="0"/>
    </xf>
    <xf numFmtId="0" fontId="2" fillId="2" borderId="31" xfId="0" applyFont="1" applyFill="1" applyBorder="1" applyAlignment="1" applyProtection="1">
      <alignment horizontal="center" vertical="center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26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3" xfId="0" applyFont="1" applyFill="1" applyBorder="1" applyAlignment="1" applyProtection="1">
      <alignment horizontal="center" vertical="center" wrapText="1"/>
      <protection locked="0"/>
    </xf>
    <xf numFmtId="164" fontId="2" fillId="2" borderId="32" xfId="1" applyFont="1" applyFill="1" applyBorder="1" applyAlignment="1" applyProtection="1">
      <alignment horizontal="center" vertical="center" wrapText="1"/>
      <protection locked="0"/>
    </xf>
    <xf numFmtId="164" fontId="2" fillId="2" borderId="37" xfId="1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shrinkToFit="1"/>
      <protection locked="0"/>
    </xf>
    <xf numFmtId="164" fontId="2" fillId="2" borderId="33" xfId="1" applyFont="1" applyFill="1" applyBorder="1" applyAlignment="1" applyProtection="1">
      <alignment horizontal="center" vertical="center" wrapText="1"/>
      <protection locked="0"/>
    </xf>
    <xf numFmtId="164" fontId="8" fillId="0" borderId="9" xfId="1" applyFont="1" applyBorder="1" applyAlignment="1" applyProtection="1">
      <alignment horizontal="center" vertical="center" wrapText="1"/>
      <protection locked="0"/>
    </xf>
    <xf numFmtId="166" fontId="16" fillId="0" borderId="22" xfId="0" applyNumberFormat="1" applyFont="1" applyBorder="1" applyAlignment="1">
      <alignment horizontal="center" vertical="center"/>
    </xf>
    <xf numFmtId="0" fontId="3" fillId="0" borderId="51" xfId="0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166" fontId="16" fillId="0" borderId="83" xfId="0" applyNumberFormat="1" applyFont="1" applyBorder="1" applyAlignment="1" applyProtection="1">
      <alignment horizontal="center" vertical="center" shrinkToFit="1"/>
      <protection locked="0"/>
    </xf>
    <xf numFmtId="166" fontId="5" fillId="0" borderId="67" xfId="0" applyNumberFormat="1" applyFont="1" applyBorder="1" applyAlignment="1" applyProtection="1">
      <alignment horizontal="center" vertical="center" shrinkToFit="1"/>
      <protection locked="0"/>
    </xf>
    <xf numFmtId="166" fontId="5" fillId="0" borderId="69" xfId="0" applyNumberFormat="1" applyFont="1" applyBorder="1" applyAlignment="1" applyProtection="1">
      <alignment horizontal="center" vertical="center" shrinkToFit="1"/>
      <protection locked="0"/>
    </xf>
    <xf numFmtId="166" fontId="5" fillId="0" borderId="70" xfId="0" applyNumberFormat="1" applyFont="1" applyBorder="1" applyAlignment="1" applyProtection="1">
      <alignment horizontal="center" vertical="center" shrinkToFi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165" fontId="16" fillId="0" borderId="51" xfId="0" applyNumberFormat="1" applyFont="1" applyBorder="1" applyAlignment="1" applyProtection="1">
      <alignment horizontal="center" vertical="center"/>
      <protection locked="0"/>
    </xf>
    <xf numFmtId="0" fontId="16" fillId="0" borderId="54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166" fontId="16" fillId="0" borderId="85" xfId="0" applyNumberFormat="1" applyFont="1" applyBorder="1" applyAlignment="1" applyProtection="1">
      <alignment horizontal="center" vertical="center" shrinkToFit="1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165" fontId="16" fillId="0" borderId="54" xfId="0" applyNumberFormat="1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3" fillId="0" borderId="61" xfId="0" applyFont="1" applyBorder="1" applyAlignment="1" applyProtection="1">
      <alignment horizontal="center" vertical="center"/>
      <protection locked="0"/>
    </xf>
    <xf numFmtId="166" fontId="5" fillId="0" borderId="60" xfId="0" applyNumberFormat="1" applyFont="1" applyBorder="1" applyAlignment="1" applyProtection="1">
      <alignment horizontal="center" vertical="center" shrinkToFit="1"/>
      <protection locked="0"/>
    </xf>
    <xf numFmtId="166" fontId="5" fillId="0" borderId="68" xfId="0" applyNumberFormat="1" applyFont="1" applyBorder="1" applyAlignment="1" applyProtection="1">
      <alignment horizontal="center" vertical="center" shrinkToFit="1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166" fontId="16" fillId="0" borderId="14" xfId="0" applyNumberFormat="1" applyFont="1" applyBorder="1" applyAlignment="1">
      <alignment horizontal="center" vertical="center"/>
    </xf>
    <xf numFmtId="0" fontId="8" fillId="0" borderId="65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71" xfId="0" applyFont="1" applyBorder="1" applyAlignment="1" applyProtection="1">
      <alignment horizontal="center" vertical="center"/>
      <protection locked="0"/>
    </xf>
    <xf numFmtId="0" fontId="8" fillId="0" borderId="72" xfId="0" applyFont="1" applyBorder="1" applyAlignment="1" applyProtection="1">
      <alignment horizontal="center" vertical="center"/>
      <protection locked="0"/>
    </xf>
    <xf numFmtId="0" fontId="8" fillId="0" borderId="73" xfId="0" applyFont="1" applyBorder="1" applyAlignment="1" applyProtection="1">
      <alignment horizontal="center" vertical="center"/>
      <protection locked="0"/>
    </xf>
    <xf numFmtId="0" fontId="8" fillId="0" borderId="74" xfId="0" applyFont="1" applyBorder="1" applyAlignment="1" applyProtection="1">
      <alignment horizontal="center" vertical="center"/>
      <protection locked="0"/>
    </xf>
    <xf numFmtId="0" fontId="8" fillId="0" borderId="75" xfId="0" applyFont="1" applyBorder="1" applyAlignment="1" applyProtection="1">
      <alignment horizontal="center" vertical="center"/>
      <protection locked="0"/>
    </xf>
    <xf numFmtId="0" fontId="8" fillId="0" borderId="76" xfId="0" applyFont="1" applyBorder="1" applyAlignment="1" applyProtection="1">
      <alignment horizontal="center" vertical="center"/>
      <protection locked="0"/>
    </xf>
    <xf numFmtId="0" fontId="0" fillId="0" borderId="54" xfId="0" applyFill="1" applyBorder="1" applyAlignment="1">
      <alignment horizontal="center" vertical="center"/>
    </xf>
    <xf numFmtId="0" fontId="0" fillId="0" borderId="102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2" xfId="0" applyBorder="1" applyAlignment="1">
      <alignment horizontal="center"/>
    </xf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9457949852338324E-2"/>
          <c:y val="0.11877572016460905"/>
          <c:w val="0.95205102637279515"/>
          <c:h val="0.7567475940507435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RECAPITULATIFS!$A$7:$B$7</c:f>
              <c:strCache>
                <c:ptCount val="2"/>
                <c:pt idx="0">
                  <c:v>VENDU</c:v>
                </c:pt>
                <c:pt idx="1">
                  <c:v>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RECAPITULATIFS!$C$7:$N$7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25-4316-8C8F-D9CFE196C424}"/>
            </c:ext>
          </c:extLst>
        </c:ser>
        <c:ser>
          <c:idx val="1"/>
          <c:order val="1"/>
          <c:tx>
            <c:strRef>
              <c:f>RECAPITULATIFS!$A$8:$B$8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25-4316-8C8F-D9CFE196C424}"/>
            </c:ext>
          </c:extLst>
        </c:ser>
        <c:ser>
          <c:idx val="2"/>
          <c:order val="2"/>
          <c:tx>
            <c:strRef>
              <c:f>RECAPITULATIFS!$A$9:$B$9</c:f>
              <c:strCache>
                <c:ptCount val="2"/>
                <c:pt idx="0">
                  <c:v>VENDU</c:v>
                </c:pt>
                <c:pt idx="1">
                  <c:v>25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25-4316-8C8F-D9CFE196C424}"/>
            </c:ext>
          </c:extLst>
        </c:ser>
        <c:ser>
          <c:idx val="3"/>
          <c:order val="3"/>
          <c:tx>
            <c:strRef>
              <c:f>RECAPITULATIFS!$A$10:$B$10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RECAPITULATIFS!$C$10:$N$10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525-4316-8C8F-D9CFE196C424}"/>
            </c:ext>
          </c:extLst>
        </c:ser>
        <c:ser>
          <c:idx val="4"/>
          <c:order val="4"/>
          <c:tx>
            <c:strRef>
              <c:f>RECAPITULATIFS!$A$11:$B$11</c:f>
              <c:strCache>
                <c:ptCount val="2"/>
                <c:pt idx="0">
                  <c:v>VENDU</c:v>
                </c:pt>
                <c:pt idx="1">
                  <c:v>50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RECAPITULATIFS!$C$11:$N$11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525-4316-8C8F-D9CFE196C424}"/>
            </c:ext>
          </c:extLst>
        </c:ser>
        <c:ser>
          <c:idx val="5"/>
          <c:order val="5"/>
          <c:tx>
            <c:strRef>
              <c:f>RECAPITULATIFS!$A$12:$B$12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RECAPITULATIFS!$C$12:$N$12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525-4316-8C8F-D9CFE196C424}"/>
            </c:ext>
          </c:extLst>
        </c:ser>
        <c:ser>
          <c:idx val="6"/>
          <c:order val="6"/>
          <c:tx>
            <c:strRef>
              <c:f>RECAPITULATIFS!$A$13:$B$13</c:f>
              <c:strCache>
                <c:ptCount val="2"/>
                <c:pt idx="0">
                  <c:v>VENDU</c:v>
                </c:pt>
                <c:pt idx="1">
                  <c:v>75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525-4316-8C8F-D9CFE196C424}"/>
            </c:ext>
          </c:extLst>
        </c:ser>
        <c:ser>
          <c:idx val="7"/>
          <c:order val="7"/>
          <c:tx>
            <c:strRef>
              <c:f>RECAPITULATIFS!$A$14:$B$14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RECAPITULATIFS!$C$14:$N$14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525-4316-8C8F-D9CFE196C424}"/>
            </c:ext>
          </c:extLst>
        </c:ser>
        <c:ser>
          <c:idx val="8"/>
          <c:order val="8"/>
          <c:tx>
            <c:strRef>
              <c:f>RECAPITULATIFS!$A$15:$B$15</c:f>
              <c:strCache>
                <c:ptCount val="2"/>
                <c:pt idx="0">
                  <c:v>VENDU</c:v>
                </c:pt>
                <c:pt idx="1">
                  <c:v>1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RECAPITULATIFS!$C$15:$N$15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525-4316-8C8F-D9CFE196C424}"/>
            </c:ext>
          </c:extLst>
        </c:ser>
        <c:ser>
          <c:idx val="9"/>
          <c:order val="9"/>
          <c:tx>
            <c:strRef>
              <c:f>RECAPITULATIFS!$A$16:$B$16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RECAPITULATIFS!$C$16:$N$16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525-4316-8C8F-D9CFE196C424}"/>
            </c:ext>
          </c:extLst>
        </c:ser>
        <c:ser>
          <c:idx val="10"/>
          <c:order val="10"/>
          <c:tx>
            <c:strRef>
              <c:f>RECAPITULATIFS!$A$17:$B$17</c:f>
              <c:strCache>
                <c:ptCount val="2"/>
                <c:pt idx="0">
                  <c:v>VENDU</c:v>
                </c:pt>
                <c:pt idx="1">
                  <c:v>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RECAPITULATIFS!$C$17:$N$17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525-4316-8C8F-D9CFE196C424}"/>
            </c:ext>
          </c:extLst>
        </c:ser>
        <c:ser>
          <c:idx val="11"/>
          <c:order val="11"/>
          <c:tx>
            <c:strRef>
              <c:f>RECAPITULATIFS!$A$18:$B$18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RECAPITULATIFS!$C$18:$N$18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525-4316-8C8F-D9CFE196C424}"/>
            </c:ext>
          </c:extLst>
        </c:ser>
        <c:ser>
          <c:idx val="12"/>
          <c:order val="12"/>
          <c:tx>
            <c:strRef>
              <c:f>RECAPITULATIFS!$A$19:$B$19</c:f>
              <c:strCache>
                <c:ptCount val="2"/>
                <c:pt idx="0">
                  <c:v>VENDU</c:v>
                </c:pt>
                <c:pt idx="1">
                  <c:v>25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RECAPITULATIFS!$C$19:$N$19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525-4316-8C8F-D9CFE196C424}"/>
            </c:ext>
          </c:extLst>
        </c:ser>
        <c:ser>
          <c:idx val="13"/>
          <c:order val="13"/>
          <c:tx>
            <c:strRef>
              <c:f>RECAPITULATIFS!$A$20:$B$20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RECAPITULATIFS!$C$20:$N$20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525-4316-8C8F-D9CFE196C424}"/>
            </c:ext>
          </c:extLst>
        </c:ser>
        <c:ser>
          <c:idx val="14"/>
          <c:order val="14"/>
          <c:tx>
            <c:strRef>
              <c:f>RECAPITULATIFS!$A$21:$B$21</c:f>
              <c:strCache>
                <c:ptCount val="2"/>
                <c:pt idx="0">
                  <c:v>VENDU</c:v>
                </c:pt>
                <c:pt idx="1">
                  <c:v>50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RECAPITULATIFS!$C$21:$N$21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525-4316-8C8F-D9CFE196C424}"/>
            </c:ext>
          </c:extLst>
        </c:ser>
        <c:ser>
          <c:idx val="15"/>
          <c:order val="15"/>
          <c:tx>
            <c:strRef>
              <c:f>RECAPITULATIFS!$A$22:$B$22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RECAPITULATIFS!$C$22:$N$22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E525-4316-8C8F-D9CFE196C424}"/>
            </c:ext>
          </c:extLst>
        </c:ser>
        <c:ser>
          <c:idx val="16"/>
          <c:order val="16"/>
          <c:tx>
            <c:strRef>
              <c:f>RECAPITULATIFS!$A$23:$B$23</c:f>
              <c:strCache>
                <c:ptCount val="2"/>
                <c:pt idx="0">
                  <c:v>VENDU</c:v>
                </c:pt>
                <c:pt idx="1">
                  <c:v>1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RECAPITULATIFS!$C$23:$N$23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525-4316-8C8F-D9CFE196C424}"/>
            </c:ext>
          </c:extLst>
        </c:ser>
        <c:ser>
          <c:idx val="17"/>
          <c:order val="17"/>
          <c:tx>
            <c:strRef>
              <c:f>RECAPITULATIFS!$A$24:$B$24</c:f>
              <c:strCache>
                <c:ptCount val="2"/>
                <c:pt idx="0">
                  <c:v>FAIT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RECAPITULATIFS!$C$6:$N$6</c:f>
              <c:strCache>
                <c:ptCount val="12"/>
                <c:pt idx="0">
                  <c:v>FEVRIER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RECAPITULATIFS!$C$24:$N$24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525-4316-8C8F-D9CFE196C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88711055"/>
        <c:axId val="727863135"/>
      </c:barChart>
      <c:catAx>
        <c:axId val="488711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7863135"/>
        <c:crosses val="autoZero"/>
        <c:auto val="1"/>
        <c:lblAlgn val="ctr"/>
        <c:lblOffset val="100"/>
        <c:noMultiLvlLbl val="0"/>
      </c:catAx>
      <c:valAx>
        <c:axId val="727863135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7110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</xdr:colOff>
      <xdr:row>24</xdr:row>
      <xdr:rowOff>190500</xdr:rowOff>
    </xdr:from>
    <xdr:to>
      <xdr:col>14</xdr:col>
      <xdr:colOff>30480</xdr:colOff>
      <xdr:row>37</xdr:row>
      <xdr:rowOff>76200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</xdr:colOff>
          <xdr:row>1</xdr:row>
          <xdr:rowOff>22860</xdr:rowOff>
        </xdr:from>
        <xdr:to>
          <xdr:col>9</xdr:col>
          <xdr:colOff>571500</xdr:colOff>
          <xdr:row>3</xdr:row>
          <xdr:rowOff>76200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F8805-D16A-4E1A-87A4-A65F6AABA2DD}">
  <sheetPr codeName="Feuil1"/>
  <dimension ref="A1:AO74"/>
  <sheetViews>
    <sheetView view="pageLayout" zoomScaleNormal="100" workbookViewId="0">
      <selection activeCell="P5" sqref="P5:P6"/>
    </sheetView>
  </sheetViews>
  <sheetFormatPr baseColWidth="10" defaultColWidth="4.44140625" defaultRowHeight="14.4" x14ac:dyDescent="0.3"/>
  <cols>
    <col min="1" max="2" width="7.44140625" customWidth="1"/>
    <col min="3" max="6" width="11" customWidth="1"/>
    <col min="7" max="7" width="11" style="3" customWidth="1"/>
    <col min="8" max="14" width="11" customWidth="1"/>
    <col min="15" max="15" width="10" customWidth="1"/>
    <col min="16" max="19" width="12.5546875" customWidth="1"/>
    <col min="20" max="20" width="10.5546875" style="3" customWidth="1"/>
    <col min="21" max="23" width="10.5546875" customWidth="1"/>
    <col min="24" max="25" width="10" customWidth="1"/>
    <col min="26" max="27" width="12.5546875" customWidth="1"/>
    <col min="28" max="29" width="10" customWidth="1"/>
    <col min="30" max="30" width="4.88671875" customWidth="1"/>
    <col min="31" max="31" width="16" customWidth="1"/>
    <col min="32" max="32" width="15" customWidth="1"/>
    <col min="33" max="33" width="10" customWidth="1"/>
    <col min="34" max="35" width="12.5546875" customWidth="1"/>
    <col min="36" max="40" width="10" customWidth="1"/>
    <col min="41" max="41" width="9.33203125" customWidth="1"/>
  </cols>
  <sheetData>
    <row r="1" spans="1:41" ht="15" customHeight="1" x14ac:dyDescent="0.3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306" t="s">
        <v>116</v>
      </c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59"/>
      <c r="AB1" s="305" t="s">
        <v>133</v>
      </c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/>
      <c r="AN1" s="306"/>
      <c r="AO1" s="306"/>
    </row>
    <row r="2" spans="1:41" ht="15" customHeight="1" thickBot="1" x14ac:dyDescent="0.35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1"/>
      <c r="AB2" s="305"/>
      <c r="AC2" s="306"/>
      <c r="AD2" s="306"/>
      <c r="AE2" s="306"/>
      <c r="AF2" s="306"/>
      <c r="AG2" s="306"/>
      <c r="AH2" s="306"/>
      <c r="AI2" s="306"/>
      <c r="AJ2" s="306"/>
      <c r="AK2" s="306"/>
      <c r="AL2" s="306"/>
      <c r="AM2" s="306"/>
      <c r="AN2" s="306"/>
      <c r="AO2" s="306"/>
    </row>
    <row r="3" spans="1:41" ht="15.75" customHeight="1" thickBot="1" x14ac:dyDescent="0.35">
      <c r="A3" s="169"/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369" t="s">
        <v>76</v>
      </c>
      <c r="P3" s="373" t="s">
        <v>82</v>
      </c>
      <c r="Q3" s="375" t="s">
        <v>83</v>
      </c>
      <c r="R3" s="369" t="s">
        <v>42</v>
      </c>
      <c r="S3" s="369" t="s">
        <v>84</v>
      </c>
      <c r="T3" s="370" t="s">
        <v>85</v>
      </c>
      <c r="U3" s="370" t="s">
        <v>88</v>
      </c>
      <c r="V3" s="369" t="s">
        <v>41</v>
      </c>
      <c r="W3" s="307" t="s">
        <v>210</v>
      </c>
      <c r="X3" s="369" t="s">
        <v>27</v>
      </c>
      <c r="Y3" s="369" t="s">
        <v>27</v>
      </c>
      <c r="Z3" s="370" t="s">
        <v>86</v>
      </c>
      <c r="AA3" s="369" t="s">
        <v>87</v>
      </c>
      <c r="AB3" s="307" t="s">
        <v>77</v>
      </c>
      <c r="AC3" s="307" t="s">
        <v>76</v>
      </c>
      <c r="AD3" s="367" t="s">
        <v>134</v>
      </c>
      <c r="AE3" s="369" t="s">
        <v>82</v>
      </c>
      <c r="AF3" s="369" t="s">
        <v>83</v>
      </c>
      <c r="AG3" s="369" t="s">
        <v>42</v>
      </c>
      <c r="AH3" s="369" t="s">
        <v>84</v>
      </c>
      <c r="AI3" s="370" t="s">
        <v>85</v>
      </c>
      <c r="AJ3" s="370" t="s">
        <v>88</v>
      </c>
      <c r="AK3" s="369" t="s">
        <v>41</v>
      </c>
      <c r="AL3" s="307" t="s">
        <v>210</v>
      </c>
      <c r="AM3" s="369" t="s">
        <v>212</v>
      </c>
      <c r="AN3" s="307" t="s">
        <v>141</v>
      </c>
      <c r="AO3" s="370" t="s">
        <v>139</v>
      </c>
    </row>
    <row r="4" spans="1:41" ht="15.75" customHeight="1" thickBot="1" x14ac:dyDescent="0.35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369"/>
      <c r="P4" s="374"/>
      <c r="Q4" s="375"/>
      <c r="R4" s="369"/>
      <c r="S4" s="369"/>
      <c r="T4" s="370"/>
      <c r="U4" s="370"/>
      <c r="V4" s="369"/>
      <c r="W4" s="309"/>
      <c r="X4" s="369"/>
      <c r="Y4" s="369"/>
      <c r="Z4" s="370"/>
      <c r="AA4" s="369"/>
      <c r="AB4" s="308"/>
      <c r="AC4" s="308"/>
      <c r="AD4" s="368"/>
      <c r="AE4" s="369"/>
      <c r="AF4" s="369"/>
      <c r="AG4" s="369"/>
      <c r="AH4" s="369"/>
      <c r="AI4" s="370"/>
      <c r="AJ4" s="370"/>
      <c r="AK4" s="369"/>
      <c r="AL4" s="308"/>
      <c r="AM4" s="369"/>
      <c r="AN4" s="308"/>
      <c r="AO4" s="370"/>
    </row>
    <row r="5" spans="1:41" ht="15.75" customHeight="1" thickBot="1" x14ac:dyDescent="0.35">
      <c r="A5" s="169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346" t="s">
        <v>223</v>
      </c>
      <c r="P5" s="310" cm="1">
        <f t="array" ref="P5">[0]!IJA</f>
        <v>0</v>
      </c>
      <c r="Q5" s="347">
        <f>[0]!CJA</f>
        <v>0</v>
      </c>
      <c r="R5" s="348">
        <f>SUMIF(JANVIER!$U$6:$U$100,"COCO",JANVIER!$AF$6:$AF$100)</f>
        <v>0</v>
      </c>
      <c r="S5" s="310">
        <f>SUMIF(JANVIER!$U$6:$U$100,"EMBALAGES",JANVIER!$AF$6:$AF$100)</f>
        <v>0</v>
      </c>
      <c r="T5" s="347">
        <f>SUMIF(JANVIER!$U$6:$U$100,"LIVRAISON",JANVIER!$AF$6:$AF$100)</f>
        <v>0</v>
      </c>
      <c r="U5" s="310">
        <f>SUMIF(JANVIER!$U$6:$U$100,"FRAIS FIXE",JANVIER!$AF$6:$AF$100)</f>
        <v>0</v>
      </c>
      <c r="V5" s="310">
        <f>SUMIF(JANVIER!$U$6:$U$100,"DIVERS ",JANVIER!$AF$6:$AF$100)+SUMIF(JANVIER!$U$6:$U$100,"PAPETERIE",JANVIER!$AF$6:$AF$100)</f>
        <v>0</v>
      </c>
      <c r="W5" s="310">
        <f>SUMIF(JANVIER!$U$6:$U$100,"EXTRA ",JANVIER!$AF$6:$AF$100)</f>
        <v>0</v>
      </c>
      <c r="X5" s="220"/>
      <c r="Y5" s="310">
        <f>[0]!VJA</f>
        <v>0</v>
      </c>
      <c r="Z5" s="310">
        <f>P5+Q5</f>
        <v>0</v>
      </c>
      <c r="AA5" s="349">
        <f>Y5-Z5</f>
        <v>0</v>
      </c>
      <c r="AB5" s="362" t="s">
        <v>78</v>
      </c>
      <c r="AC5" s="343" t="s">
        <v>65</v>
      </c>
      <c r="AD5" s="17">
        <v>0</v>
      </c>
      <c r="AE5" s="241" t="e">
        <f>JANVIER!#REF!</f>
        <v>#REF!</v>
      </c>
      <c r="AF5" s="186"/>
      <c r="AG5" s="208">
        <f>SUMIF(JANVIER!$V$6:$V$100,"COCO",JANVIER!$AG$6:$AG$100)</f>
        <v>0</v>
      </c>
      <c r="AH5" s="208">
        <f>SUMIF(JANVIER!$V$6:$V$100,"EMBALAGES",JANVIER!$AG$6:$AG$100)</f>
        <v>0</v>
      </c>
      <c r="AI5" s="208">
        <f>SUMIF(JANVIER!$V$6:$V$100,"LIVRAISON",JANVIER!$AG$6:$AG$100)</f>
        <v>0</v>
      </c>
      <c r="AJ5" s="208">
        <f>SUMIF(JANVIER!$V$6:$V$100,"FRAIS FIXE",JANVIER!$AG$6:$AG$100)</f>
        <v>0</v>
      </c>
      <c r="AK5" s="208">
        <f>SUMIF(JANVIER!$V$6:$V$100,"DIVERS",JANVIER!$AG$6:$AG$100)+SUMIF(JANVIER!$V$6:$V$100,"PAPETERIE",JANVIER!$AG$6:$AG$100)</f>
        <v>0</v>
      </c>
      <c r="AL5" s="208">
        <f>SUMIF(JANVIER!$V$6:$V$100,"EXTRA",JANVIER!$AG$6:$AG$100)</f>
        <v>0</v>
      </c>
      <c r="AM5" s="208">
        <f>SUMIF(JANVIER!$V$6:$V$100,"ENTRETIEN",JANVIER!$AG$6:$AG$100)</f>
        <v>0</v>
      </c>
      <c r="AN5" s="208">
        <f>SUMIF(JANVIER!$V$6:$V$100,"EXPO",JANVIER!$AG$6:$AG$100)</f>
        <v>0</v>
      </c>
      <c r="AO5" s="352">
        <f>JANVIER!$O$80</f>
        <v>0</v>
      </c>
    </row>
    <row r="6" spans="1:41" ht="15.75" customHeight="1" thickBot="1" x14ac:dyDescent="0.35">
      <c r="A6" s="190"/>
      <c r="B6" s="191"/>
      <c r="C6" s="192" t="s">
        <v>65</v>
      </c>
      <c r="D6" s="192" t="s">
        <v>182</v>
      </c>
      <c r="E6" s="192" t="s">
        <v>66</v>
      </c>
      <c r="F6" s="192" t="s">
        <v>67</v>
      </c>
      <c r="G6" s="192" t="s">
        <v>68</v>
      </c>
      <c r="H6" s="192" t="s">
        <v>69</v>
      </c>
      <c r="I6" s="192" t="s">
        <v>70</v>
      </c>
      <c r="J6" s="192" t="s">
        <v>183</v>
      </c>
      <c r="K6" s="192" t="s">
        <v>72</v>
      </c>
      <c r="L6" s="192" t="s">
        <v>73</v>
      </c>
      <c r="M6" s="192" t="s">
        <v>74</v>
      </c>
      <c r="N6" s="193" t="s">
        <v>184</v>
      </c>
      <c r="O6" s="327"/>
      <c r="P6" s="302"/>
      <c r="Q6" s="330"/>
      <c r="R6" s="332"/>
      <c r="S6" s="302"/>
      <c r="T6" s="330"/>
      <c r="U6" s="302"/>
      <c r="V6" s="302"/>
      <c r="W6" s="302"/>
      <c r="X6" s="219"/>
      <c r="Y6" s="302"/>
      <c r="Z6" s="302"/>
      <c r="AA6" s="350"/>
      <c r="AB6" s="363"/>
      <c r="AC6" s="343"/>
      <c r="AD6" s="17">
        <v>5</v>
      </c>
      <c r="AE6" s="242" t="e">
        <f>JANVIER!#REF!</f>
        <v>#REF!</v>
      </c>
      <c r="AF6" s="187">
        <f>JANVIER!$AC$103</f>
        <v>0</v>
      </c>
      <c r="AG6" s="187">
        <f>SUMIF(JANVIER!$V$6:$V$100,"COCO",JANVIER!$AD$6:$AD$100)</f>
        <v>0</v>
      </c>
      <c r="AH6" s="187">
        <f>SUMIF(JANVIER!$V$6:$V$100,"EMBALAGES",JANVIER!$AD$6:$AD$100)</f>
        <v>0</v>
      </c>
      <c r="AI6" s="188">
        <f>SUMIF(JANVIER!$V$6:$V$100,"LIVRAISON",JANVIER!$AD$6:$AD$100)</f>
        <v>0</v>
      </c>
      <c r="AJ6" s="188">
        <f>SUMIF(JANVIER!$V$6:$V$100,"FRAIS FIXE",JANVIER!$AD$6:$AD$100)</f>
        <v>0</v>
      </c>
      <c r="AK6" s="187">
        <f>SUMIF(JANVIER!$V$6:$V$100,"DIVERS",JANVIER!$AD$6:$AD$100)+SUMIF(JANVIER!$V$6:$V$100,"PAPETERIE",JANVIER!$AD$6:$AD$100)</f>
        <v>0</v>
      </c>
      <c r="AL6" s="202">
        <f>SUMIF(JANVIER!$V$6:$V$100,"EXTRA",JANVIER!$AD$6:$AD$100)</f>
        <v>0</v>
      </c>
      <c r="AM6" s="202">
        <f>SUMIF(JANVIER!$V$6:$V$100,"ENTRETIEN",JANVIER!$AD$6:$AD$100)</f>
        <v>0</v>
      </c>
      <c r="AN6" s="202">
        <f>SUMIF(JANVIER!$V$6:$V$100,"EXPO",JANVIER!$AD$6:$AD$100)</f>
        <v>0</v>
      </c>
      <c r="AO6" s="353"/>
    </row>
    <row r="7" spans="1:41" ht="15.75" customHeight="1" thickBot="1" x14ac:dyDescent="0.35">
      <c r="A7" s="198" t="s">
        <v>123</v>
      </c>
      <c r="B7" s="199">
        <v>10</v>
      </c>
      <c r="C7" s="213" t="e">
        <f>FEVRIER!H166</f>
        <v>#NAME?</v>
      </c>
      <c r="D7" s="213" t="e">
        <f>FEVRIER!I166</f>
        <v>#NAME?</v>
      </c>
      <c r="E7" s="213" t="e">
        <f>MARS!J166</f>
        <v>#NAME?</v>
      </c>
      <c r="F7" s="213" t="e">
        <f>AVRIL!K166</f>
        <v>#NAME?</v>
      </c>
      <c r="G7" s="213" t="e">
        <f>MAI!L166</f>
        <v>#NAME?</v>
      </c>
      <c r="H7" s="213" t="e">
        <f>#REF!</f>
        <v>#REF!</v>
      </c>
      <c r="I7" s="213" t="e">
        <f>#REF!</f>
        <v>#REF!</v>
      </c>
      <c r="J7" s="213" t="e">
        <f>#REF!</f>
        <v>#REF!</v>
      </c>
      <c r="K7" s="213" t="e">
        <f>#REF!</f>
        <v>#REF!</v>
      </c>
      <c r="L7" s="213" t="e">
        <f>#REF!</f>
        <v>#REF!</v>
      </c>
      <c r="M7" s="213" t="e">
        <f>#REF!</f>
        <v>#REF!</v>
      </c>
      <c r="N7" s="214" t="e">
        <f>#REF!</f>
        <v>#REF!</v>
      </c>
      <c r="O7" s="327" t="s">
        <v>65</v>
      </c>
      <c r="P7" s="335">
        <f>[0]!IF</f>
        <v>0</v>
      </c>
      <c r="Q7" s="337">
        <f>[0]!CF</f>
        <v>0</v>
      </c>
      <c r="R7" s="332">
        <f>SUMIF(FEVRIER!$U$6:$U$144,"COCO",FEVRIER!$AE$6:$AE$144)</f>
        <v>0</v>
      </c>
      <c r="S7" s="302">
        <f>SUMIF(FEVRIER!$U$6:$U$144,"EMBALAGES",FEVRIER!$AE$6:$AE$144)</f>
        <v>0</v>
      </c>
      <c r="T7" s="330">
        <f>SUMIF(FEVRIER!$U$6:$U$144,"LIVRAISON",FEVRIER!$AE$6:$AE$144)</f>
        <v>0</v>
      </c>
      <c r="U7" s="302">
        <f>SUMIF(FEVRIER!$U$6:$U$144,"FRAIS FIXE",FEVRIER!$AE$6:$AE$144)</f>
        <v>0</v>
      </c>
      <c r="V7" s="302">
        <f>SUMIF(FEVRIER!$U$6:$U$144,"DIVERS ",FEVRIER!$AE$6:$AE$144)+SUMIF(FEVRIER!$U$6:$U$144,"PAPETERIE",FEVRIER!$AE$6:$AE$144)</f>
        <v>0</v>
      </c>
      <c r="W7" s="302">
        <f>SUMIF(FEVRIER!$U$6:$U$144,"EXTRA ",FEVRIER!$AE$6:$AE$144)</f>
        <v>0</v>
      </c>
      <c r="X7" s="219"/>
      <c r="Y7" s="302">
        <f>[0]!VF</f>
        <v>0</v>
      </c>
      <c r="Z7" s="335">
        <f>P7+Q7</f>
        <v>0</v>
      </c>
      <c r="AA7" s="298">
        <f>Y7-Z7</f>
        <v>0</v>
      </c>
      <c r="AB7" s="363"/>
      <c r="AC7" s="343"/>
      <c r="AD7" s="17">
        <v>13</v>
      </c>
      <c r="AE7" s="242" t="e">
        <f>JANVIER!#REF!</f>
        <v>#REF!</v>
      </c>
      <c r="AF7" s="188">
        <f>JANVIER!$AD$104</f>
        <v>0</v>
      </c>
      <c r="AG7" s="187">
        <f>SUMIF(JANVIER!$V$6:$V$100,"COCO",JANVIER!$AE$6:$AE$100)</f>
        <v>0</v>
      </c>
      <c r="AH7" s="187">
        <f>SUMIF(JANVIER!$V$6:$V$100,"EMBALAGES",JANVIER!$AE$6:$AE$100)</f>
        <v>0</v>
      </c>
      <c r="AI7" s="188">
        <f>SUMIF(JANVIER!$V$6:$V$100,"LIVRAISON",JANVIER!$AE$6:$AE$100)</f>
        <v>0</v>
      </c>
      <c r="AJ7" s="188">
        <f>SUMIF(JANVIER!$V$6:$V$100,"FRAIS FIXE",JANVIER!$AE$6:$AE$100)</f>
        <v>0</v>
      </c>
      <c r="AK7" s="187">
        <f>SUMIF(JANVIER!$V$6:$V$100,"DIVERS",JANVIER!$AE$6:$AE$100)+SUMIF(JANVIER!$V$6:$V$100,"PAPETERIE",JANVIER!$AE$6:$AE$100)</f>
        <v>0</v>
      </c>
      <c r="AL7" s="187">
        <f>SUMIF(JANVIER!$V$6:$V$100,"EXTRA",JANVIER!$AE$6:$AE$100)</f>
        <v>0</v>
      </c>
      <c r="AM7" s="187">
        <f>SUMIF(JANVIER!$V$6:$V$100,"ENTRTIEN",JANVIER!$AE$6:$AE$100)</f>
        <v>0</v>
      </c>
      <c r="AN7" s="187">
        <f>SUMIF(JANVIER!$V$6:$V$100,"EXPO",JANVIER!$AE$6:$AE$100)</f>
        <v>0</v>
      </c>
      <c r="AO7" s="353"/>
    </row>
    <row r="8" spans="1:41" ht="15.75" customHeight="1" thickBot="1" x14ac:dyDescent="0.35">
      <c r="A8" s="198" t="s">
        <v>189</v>
      </c>
      <c r="B8" s="200"/>
      <c r="C8" s="213">
        <f>FEVRIER!BD65</f>
        <v>0</v>
      </c>
      <c r="D8" s="213">
        <f>FEVRIER!BE65</f>
        <v>0</v>
      </c>
      <c r="E8" s="213">
        <f>MARS!BF65</f>
        <v>0</v>
      </c>
      <c r="F8" s="213">
        <f>AVRIL!BG65</f>
        <v>0</v>
      </c>
      <c r="G8" s="213">
        <f>MAI!BH65</f>
        <v>0</v>
      </c>
      <c r="H8" s="213" t="e">
        <f>#REF!</f>
        <v>#REF!</v>
      </c>
      <c r="I8" s="213" t="e">
        <f>#REF!</f>
        <v>#REF!</v>
      </c>
      <c r="J8" s="213" t="e">
        <f>#REF!</f>
        <v>#REF!</v>
      </c>
      <c r="K8" s="213" t="e">
        <f>#REF!</f>
        <v>#REF!</v>
      </c>
      <c r="L8" s="213" t="e">
        <f>#REF!</f>
        <v>#REF!</v>
      </c>
      <c r="M8" s="213" t="e">
        <f>#REF!</f>
        <v>#REF!</v>
      </c>
      <c r="N8" s="214" t="e">
        <f>#REF!</f>
        <v>#REF!</v>
      </c>
      <c r="O8" s="327"/>
      <c r="P8" s="336"/>
      <c r="Q8" s="338"/>
      <c r="R8" s="332"/>
      <c r="S8" s="302"/>
      <c r="T8" s="330"/>
      <c r="U8" s="302"/>
      <c r="V8" s="302"/>
      <c r="W8" s="302"/>
      <c r="X8" s="219"/>
      <c r="Y8" s="302"/>
      <c r="Z8" s="336"/>
      <c r="AA8" s="304"/>
      <c r="AB8" s="363"/>
      <c r="AC8" s="343"/>
      <c r="AD8" s="17">
        <v>16</v>
      </c>
      <c r="AE8" s="243" t="e">
        <f>JANVIER!#REF!</f>
        <v>#REF!</v>
      </c>
      <c r="AF8" s="189">
        <f>JANVIER!$AE$105</f>
        <v>0</v>
      </c>
      <c r="AG8" s="244">
        <f>SUMIF(JANVIER!$V$6:$V$100,"COCO",JANVIER!$AF$6:$AF$100)</f>
        <v>0</v>
      </c>
      <c r="AH8" s="244">
        <f>SUMIF(JANVIER!$V$6:$V$100,"EMBALAGES",JANVIER!$AF$6:$AF$100)</f>
        <v>0</v>
      </c>
      <c r="AI8" s="189">
        <f>SUMIF(JANVIER!$V$6:$V$100,"LIVRAISON",JANVIER!$AF$6:$AF$100)</f>
        <v>0</v>
      </c>
      <c r="AJ8" s="189">
        <f>SUMIF(JANVIER!$V$6:$V$100,"FRAIS FIXE",JANVIER!$AF$6:$AF$100)</f>
        <v>0</v>
      </c>
      <c r="AK8" s="244">
        <f>SUMIF(JANVIER!$V$6:$V$100,"DIVERS",JANVIER!$AF$6:$AF$100)+SUMIF(JANVIER!$V$6:$V$100,"PAPETERIE",JANVIER!$AF$6:$AF$100)</f>
        <v>0</v>
      </c>
      <c r="AL8" s="244">
        <f>SUMIF(JANVIER!$V$6:$V$100,"EXTRA",JANVIER!$AF$6:$AF$100)</f>
        <v>0</v>
      </c>
      <c r="AM8" s="244">
        <f>SUMIF(JANVIER!$V$6:$V$100,"ENTRETIEN",JANVIER!$AF$6:$AF$100)</f>
        <v>0</v>
      </c>
      <c r="AN8" s="244">
        <f>SUMIF(JANVIER!$V$6:$V$100,"EXPO",JANVIER!$AF$6:$AF$100)</f>
        <v>0</v>
      </c>
      <c r="AO8" s="354"/>
    </row>
    <row r="9" spans="1:41" ht="15.75" customHeight="1" thickBot="1" x14ac:dyDescent="0.35">
      <c r="A9" s="198" t="s">
        <v>123</v>
      </c>
      <c r="B9" s="199">
        <v>25</v>
      </c>
      <c r="C9" s="213" t="e">
        <f>FEVRIER!I166</f>
        <v>#NAME?</v>
      </c>
      <c r="D9" s="213" t="e">
        <f>FEVRIER!J166</f>
        <v>#NAME?</v>
      </c>
      <c r="E9" s="213" t="e">
        <f>MARS!K166</f>
        <v>#NAME?</v>
      </c>
      <c r="F9" s="213" t="e">
        <f>AVRIL!L166</f>
        <v>#NAME?</v>
      </c>
      <c r="G9" s="213" t="e">
        <f>MAI!M166</f>
        <v>#NAME?</v>
      </c>
      <c r="H9" s="213" t="e">
        <f>#REF!</f>
        <v>#REF!</v>
      </c>
      <c r="I9" s="213" t="e">
        <f>#REF!</f>
        <v>#REF!</v>
      </c>
      <c r="J9" s="213" t="e">
        <f>#REF!</f>
        <v>#REF!</v>
      </c>
      <c r="K9" s="213" t="e">
        <f>#REF!</f>
        <v>#REF!</v>
      </c>
      <c r="L9" s="213" t="e">
        <f>#REF!</f>
        <v>#REF!</v>
      </c>
      <c r="M9" s="213" t="e">
        <f>#REF!</f>
        <v>#REF!</v>
      </c>
      <c r="N9" s="214" t="e">
        <f>#REF!</f>
        <v>#REF!</v>
      </c>
      <c r="O9" s="327" t="s">
        <v>66</v>
      </c>
      <c r="P9" s="335">
        <f>[0]!IMI</f>
        <v>0</v>
      </c>
      <c r="Q9" s="337">
        <f>MARS!AD154</f>
        <v>0</v>
      </c>
      <c r="R9" s="332">
        <f>SUMIF(MARS!$U$6:$U$144,"COCO",MARS!$AE$6:$AE$144)</f>
        <v>0</v>
      </c>
      <c r="S9" s="302">
        <f>SUMIF(MARS!$U$6:$U$144,"EMBALAGES",MARS!$AE$6:$AE$144)</f>
        <v>0</v>
      </c>
      <c r="T9" s="330">
        <f>SUMIF(MARS!$U$6:$U$144,"LIVRAISON",MARS!$AE$6:$AE$144)</f>
        <v>0</v>
      </c>
      <c r="U9" s="302">
        <f>SUMIF(MARS!$U$6:$U$144,"FRAIS FIXE",MARS!$AE$6:$AE$144)</f>
        <v>0</v>
      </c>
      <c r="V9" s="302">
        <f>SUMIF(MARS!$U$6:$U$144,"DIVERS ",MARS!$AE$6:$AE$144)+SUMIF(MARS!$U$6:$U$144,"PAPETERIE",MARS!$AE$6:$AE$144)</f>
        <v>0</v>
      </c>
      <c r="W9" s="302">
        <f>SUMIF(MARS!$U$6:$U$144,"EXTRA ",MARS!$AE$6:$AE$144)</f>
        <v>0</v>
      </c>
      <c r="X9" s="219"/>
      <c r="Y9" s="302">
        <f>[0]!VMR</f>
        <v>0</v>
      </c>
      <c r="Z9" s="335">
        <f>P9+Q9</f>
        <v>0</v>
      </c>
      <c r="AA9" s="298">
        <f>Y9-Z9</f>
        <v>0</v>
      </c>
      <c r="AB9" s="363"/>
      <c r="AC9" s="343" t="s">
        <v>65</v>
      </c>
      <c r="AD9" s="17">
        <v>0</v>
      </c>
      <c r="AE9" s="241">
        <f>FEVRIER!$DV41</f>
        <v>0</v>
      </c>
      <c r="AF9" s="186"/>
      <c r="AG9" s="208">
        <f>SUMIF(FEVRIER!$V$6:$V$144,"COCO",FEVRIER!$AF$6:$AF$144)</f>
        <v>0</v>
      </c>
      <c r="AH9" s="208">
        <f>SUMIF(FEVRIER!$V$6:$V$144,"EMBALAGES",FEVRIER!$AF$6:$AF$144)</f>
        <v>0</v>
      </c>
      <c r="AI9" s="208">
        <f>SUMIF(FEVRIER!$V$6:$V$144,"LIVRAISON",FEVRIER!$AF$6:$AF$144)</f>
        <v>0</v>
      </c>
      <c r="AJ9" s="208">
        <f>SUMIF(FEVRIER!$V$6:$V$144,"FRAIS FIXE",FEVRIER!$AF$6:$AF$144)</f>
        <v>0</v>
      </c>
      <c r="AK9" s="208">
        <f>SUMIF(FEVRIER!$V$6:$V$144,"DIVERS",FEVRIER!$AF$6:$AF$144)+SUMIF(FEVRIER!$V$6:$V$144,"PAPETERIE",FEVRIER!$AF$6:$AF$144)</f>
        <v>0</v>
      </c>
      <c r="AL9" s="208">
        <f>SUMIF(FEVRIER!$V$6:$V$144,"EXTRA",FEVRIER!$AF$6:$AF$144)</f>
        <v>0</v>
      </c>
      <c r="AM9" s="208">
        <f>SUMIF(FEVRIER!$V$6:$V$144,"ENTRETIEN",FEVRIER!$AF$6:$AF$144)</f>
        <v>0</v>
      </c>
      <c r="AN9" s="208">
        <f>SUMIF(FEVRIER!$V$6:$V$144,"EXPO",FEVRIER!$AF$6:$AF$144)</f>
        <v>0</v>
      </c>
      <c r="AO9" s="352">
        <f>FEVRIER!$O$172</f>
        <v>0</v>
      </c>
    </row>
    <row r="10" spans="1:41" ht="15.75" customHeight="1" thickBot="1" x14ac:dyDescent="0.35">
      <c r="A10" s="198" t="s">
        <v>189</v>
      </c>
      <c r="B10" s="200"/>
      <c r="C10" s="213">
        <f>FEVRIER!BE66</f>
        <v>0</v>
      </c>
      <c r="D10" s="213">
        <f>FEVRIER!BF66</f>
        <v>0</v>
      </c>
      <c r="E10" s="213">
        <f>MARS!BG66</f>
        <v>0</v>
      </c>
      <c r="F10" s="213">
        <f>AVRIL!BH66</f>
        <v>0</v>
      </c>
      <c r="G10" s="213">
        <f>MAI!BI66</f>
        <v>0</v>
      </c>
      <c r="H10" s="213" t="e">
        <f>#REF!</f>
        <v>#REF!</v>
      </c>
      <c r="I10" s="213" t="e">
        <f>#REF!</f>
        <v>#REF!</v>
      </c>
      <c r="J10" s="213" t="e">
        <f>#REF!</f>
        <v>#REF!</v>
      </c>
      <c r="K10" s="213" t="e">
        <f>#REF!</f>
        <v>#REF!</v>
      </c>
      <c r="L10" s="213" t="e">
        <f>#REF!</f>
        <v>#REF!</v>
      </c>
      <c r="M10" s="213" t="e">
        <f>#REF!</f>
        <v>#REF!</v>
      </c>
      <c r="N10" s="214" t="e">
        <f>#REF!</f>
        <v>#REF!</v>
      </c>
      <c r="O10" s="327"/>
      <c r="P10" s="336"/>
      <c r="Q10" s="338"/>
      <c r="R10" s="332"/>
      <c r="S10" s="302"/>
      <c r="T10" s="330"/>
      <c r="U10" s="302"/>
      <c r="V10" s="302"/>
      <c r="W10" s="302"/>
      <c r="X10" s="219"/>
      <c r="Y10" s="302"/>
      <c r="Z10" s="336"/>
      <c r="AA10" s="304"/>
      <c r="AB10" s="363"/>
      <c r="AC10" s="343"/>
      <c r="AD10" s="17">
        <v>5</v>
      </c>
      <c r="AE10" s="242">
        <f>FEVRIER!$DW$38</f>
        <v>0</v>
      </c>
      <c r="AF10" s="187">
        <f>FEVRIER!$AB$147</f>
        <v>0</v>
      </c>
      <c r="AG10" s="187">
        <f>SUMIF(FEVRIER!$V$6:$V$144,"COCO",FEVRIER!$AC$6:$AC$144)</f>
        <v>0</v>
      </c>
      <c r="AH10" s="187">
        <f>SUMIF(FEVRIER!$V$6:$V$144,"EMBALAGES",FEVRIER!$AC$6:$AC$144)</f>
        <v>0</v>
      </c>
      <c r="AI10" s="188">
        <f>SUMIF(FEVRIER!$V$6:$V$144,"LIVRAISON",FEVRIER!$AC$6:$AC$144)</f>
        <v>0</v>
      </c>
      <c r="AJ10" s="188">
        <f>SUMIF(FEVRIER!$V$6:$V$144,"FRAIS FIXE",FEVRIER!$AC$6:$AC$144)</f>
        <v>0</v>
      </c>
      <c r="AK10" s="187">
        <f>SUMIF(FEVRIER!$V$6:$V$144,"DIVERS",FEVRIER!$AC$6:$AC$144)+SUMIF(FEVRIER!$V$6:$V$144,"PAPETERIE",FEVRIER!$AC$6:$AC$144)</f>
        <v>0</v>
      </c>
      <c r="AL10" s="202">
        <f>SUMIF(FEVRIER!$V$6:$V$144,"EXTRA",FEVRIER!$AC$6:$AC$144)</f>
        <v>0</v>
      </c>
      <c r="AM10" s="202">
        <f>SUMIF(FEVRIER!$V$6:$V$144,"ENTRETIEN",FEVRIER!$AC$6:$AC$144)</f>
        <v>0</v>
      </c>
      <c r="AN10" s="202">
        <f>SUMIF(FEVRIER!$V$6:$V$144,"EXPO",FEVRIER!$AC$6:$AC$144)</f>
        <v>0</v>
      </c>
      <c r="AO10" s="353"/>
    </row>
    <row r="11" spans="1:41" ht="16.5" customHeight="1" thickBot="1" x14ac:dyDescent="0.35">
      <c r="A11" s="198" t="s">
        <v>123</v>
      </c>
      <c r="B11" s="199">
        <v>50</v>
      </c>
      <c r="C11" s="213" t="e">
        <f>FEVRIER!J166</f>
        <v>#NAME?</v>
      </c>
      <c r="D11" s="213" t="e">
        <f>FEVRIER!K166</f>
        <v>#NAME?</v>
      </c>
      <c r="E11" s="213" t="e">
        <f>MARS!L166</f>
        <v>#NAME?</v>
      </c>
      <c r="F11" s="213" t="e">
        <f>AVRIL!M166</f>
        <v>#NAME?</v>
      </c>
      <c r="G11" s="213" t="e">
        <f>MAI!N166</f>
        <v>#NAME?</v>
      </c>
      <c r="H11" s="213" t="e">
        <f>#REF!</f>
        <v>#REF!</v>
      </c>
      <c r="I11" s="213" t="e">
        <f>#REF!</f>
        <v>#REF!</v>
      </c>
      <c r="J11" s="213" t="e">
        <f>#REF!</f>
        <v>#REF!</v>
      </c>
      <c r="K11" s="213" t="e">
        <f>#REF!</f>
        <v>#REF!</v>
      </c>
      <c r="L11" s="213" t="e">
        <f>#REF!</f>
        <v>#REF!</v>
      </c>
      <c r="M11" s="213" t="e">
        <f>#REF!</f>
        <v>#REF!</v>
      </c>
      <c r="N11" s="214" t="e">
        <f>#REF!</f>
        <v>#REF!</v>
      </c>
      <c r="O11" s="327" t="s">
        <v>67</v>
      </c>
      <c r="P11" s="335">
        <f>[0]!IAV</f>
        <v>0</v>
      </c>
      <c r="Q11" s="337">
        <f>[0]!CAV</f>
        <v>0</v>
      </c>
      <c r="R11" s="332">
        <f>SUMIF(AVRIL!$U$6:$U$144,"COCO",AVRIL!$AE$6:$AE$144)</f>
        <v>0</v>
      </c>
      <c r="S11" s="302">
        <f>SUMIF(AVRIL!$U$6:$U$144,"EMBALAGES",AVRIL!$AE$6:$AE$144)</f>
        <v>0</v>
      </c>
      <c r="T11" s="330">
        <f>SUMIF(AVRIL!$U$6:$U$144,"LIVRAISON",AVRIL!$AE$6:$AE$144)</f>
        <v>0</v>
      </c>
      <c r="U11" s="302">
        <f>SUMIF(AVRIL!$U$6:$U$144,"FRAIS FIXE",AVRIL!$AE$6:$AE$144)</f>
        <v>0</v>
      </c>
      <c r="V11" s="302">
        <f>SUMIF(AVRIL!$U$6:$U$144,"DIVERS ",AVRIL!$AE$6:$AE$144)+SUMIF(AVRIL!$U$6:$U$144,"PAPETERIE",AVRIL!$AE$6:$AE$144)</f>
        <v>0</v>
      </c>
      <c r="W11" s="302">
        <f>SUMIF(AVRIL!$U$6:$U$144,"EXTRA ",AVRIL!$AE$6:$AE$144)</f>
        <v>0</v>
      </c>
      <c r="X11" s="219"/>
      <c r="Y11" s="302">
        <f>[0]!VA</f>
        <v>0</v>
      </c>
      <c r="Z11" s="335">
        <f>P11+Q11</f>
        <v>0</v>
      </c>
      <c r="AA11" s="298">
        <f>Y11-Z11</f>
        <v>0</v>
      </c>
      <c r="AB11" s="363"/>
      <c r="AC11" s="343"/>
      <c r="AD11" s="17">
        <v>13</v>
      </c>
      <c r="AE11" s="242">
        <f>FEVRIER!$DW$39</f>
        <v>0</v>
      </c>
      <c r="AF11" s="188">
        <f>FEVRIER!$AC$148</f>
        <v>0</v>
      </c>
      <c r="AG11" s="187">
        <f>SUMIF(FEVRIER!$V$6:$V$144,"COCO",FEVRIER!$AD$6:$AD$144)</f>
        <v>0</v>
      </c>
      <c r="AH11" s="187">
        <f>SUMIF(FEVRIER!$V$6:$V$144,"EMBALAGES",FEVRIER!$AD$6:$AD$144)</f>
        <v>0</v>
      </c>
      <c r="AI11" s="188">
        <f>SUMIF(FEVRIER!$V$6:$V$144,"LIVRAISON",FEVRIER!$AD$6:$AD$144)</f>
        <v>0</v>
      </c>
      <c r="AJ11" s="188">
        <f>SUMIF(FEVRIER!$V$6:$V$144,"FRAIS FIXE",FEVRIER!$AD$6:$AD$144)</f>
        <v>0</v>
      </c>
      <c r="AK11" s="187">
        <f>SUMIF(FEVRIER!$V$6:$V$144,"DIVERS",FEVRIER!$AD$6:$AD$144)+SUMIF(FEVRIER!$V$6:$V$144,"PAPETERIE",FEVRIER!$AD$6:$AD$144)</f>
        <v>0</v>
      </c>
      <c r="AL11" s="187">
        <f>SUMIF(FEVRIER!$V$6:$V$144,"EXTRA",FEVRIER!$AD$6:$AD$144)</f>
        <v>0</v>
      </c>
      <c r="AM11" s="187">
        <f>SUMIF(FEVRIER!$V$6:$V$144,"ENTRTIEN",FEVRIER!$AD$6:$AD$144)</f>
        <v>0</v>
      </c>
      <c r="AN11" s="187">
        <f>SUMIF(FEVRIER!$V$6:$V$144,"EXPO",FEVRIER!$AD$6:$AD$144)</f>
        <v>0</v>
      </c>
      <c r="AO11" s="353"/>
    </row>
    <row r="12" spans="1:41" ht="15.75" customHeight="1" thickBot="1" x14ac:dyDescent="0.35">
      <c r="A12" s="198" t="s">
        <v>189</v>
      </c>
      <c r="B12" s="200"/>
      <c r="C12" s="213">
        <f>FEVRIER!BF67</f>
        <v>0</v>
      </c>
      <c r="D12" s="213">
        <f>FEVRIER!BG67</f>
        <v>0</v>
      </c>
      <c r="E12" s="213">
        <f>MARS!BH67</f>
        <v>0</v>
      </c>
      <c r="F12" s="213">
        <f>AVRIL!BI67</f>
        <v>0</v>
      </c>
      <c r="G12" s="213">
        <f>MAI!BJ67</f>
        <v>0</v>
      </c>
      <c r="H12" s="213" t="e">
        <f>#REF!</f>
        <v>#REF!</v>
      </c>
      <c r="I12" s="213" t="e">
        <f>#REF!</f>
        <v>#REF!</v>
      </c>
      <c r="J12" s="213" t="e">
        <f>#REF!</f>
        <v>#REF!</v>
      </c>
      <c r="K12" s="213" t="e">
        <f>#REF!</f>
        <v>#REF!</v>
      </c>
      <c r="L12" s="213" t="e">
        <f>#REF!</f>
        <v>#REF!</v>
      </c>
      <c r="M12" s="213" t="e">
        <f>#REF!</f>
        <v>#REF!</v>
      </c>
      <c r="N12" s="214" t="e">
        <f>#REF!</f>
        <v>#REF!</v>
      </c>
      <c r="O12" s="327"/>
      <c r="P12" s="336"/>
      <c r="Q12" s="338"/>
      <c r="R12" s="332"/>
      <c r="S12" s="302"/>
      <c r="T12" s="330"/>
      <c r="U12" s="302"/>
      <c r="V12" s="302"/>
      <c r="W12" s="302"/>
      <c r="X12" s="219"/>
      <c r="Y12" s="302"/>
      <c r="Z12" s="336"/>
      <c r="AA12" s="304"/>
      <c r="AB12" s="363"/>
      <c r="AC12" s="343"/>
      <c r="AD12" s="17">
        <v>16</v>
      </c>
      <c r="AE12" s="243">
        <f>FEVRIER!$DX$40</f>
        <v>0</v>
      </c>
      <c r="AF12" s="189">
        <f>FEVRIER!$AD$149</f>
        <v>0</v>
      </c>
      <c r="AG12" s="244">
        <f>SUMIF(FEVRIER!$V$6:$V$144,"COCO",FEVRIER!$AE$6:$AE$144)</f>
        <v>0</v>
      </c>
      <c r="AH12" s="244">
        <f>SUMIF(FEVRIER!$V$6:$V$144,"EMBALAGES",FEVRIER!$AE$6:$AE$144)</f>
        <v>0</v>
      </c>
      <c r="AI12" s="189">
        <f>SUMIF(FEVRIER!$V$6:$V$144,"LIVRAISON",FEVRIER!$AE$6:$AE$144)</f>
        <v>0</v>
      </c>
      <c r="AJ12" s="189">
        <f>SUMIF(FEVRIER!$V$6:$V$144,"FRAIS FIXE",FEVRIER!$AE$6:$AE$144)</f>
        <v>0</v>
      </c>
      <c r="AK12" s="244">
        <f>SUMIF(FEVRIER!$V$6:$V$144,"DIVERS",FEVRIER!$AE$6:$AE$144)+SUMIF(FEVRIER!$V$6:$V$144,"PAPETERIE",FEVRIER!$AE$6:$AE$144)</f>
        <v>0</v>
      </c>
      <c r="AL12" s="244">
        <f>SUMIF(FEVRIER!$V$6:$V$144,"EXTRA",FEVRIER!$AE$6:$AE$144)</f>
        <v>0</v>
      </c>
      <c r="AM12" s="244">
        <f>SUMIF(FEVRIER!$V$6:$V$144,"ENTRETIEN",FEVRIER!$AE$6:$AE$144)</f>
        <v>0</v>
      </c>
      <c r="AN12" s="244">
        <f>SUMIF(FEVRIER!$V$6:$V$144,"EXPO",FEVRIER!$AE$6:$AE$144)</f>
        <v>0</v>
      </c>
      <c r="AO12" s="354"/>
    </row>
    <row r="13" spans="1:41" ht="15.75" customHeight="1" thickBot="1" x14ac:dyDescent="0.35">
      <c r="A13" s="198" t="s">
        <v>123</v>
      </c>
      <c r="B13" s="199">
        <v>75</v>
      </c>
      <c r="C13" s="215" t="e">
        <f>FEVRIER!K166</f>
        <v>#NAME?</v>
      </c>
      <c r="D13" s="215" t="e">
        <f>FEVRIER!L166</f>
        <v>#NAME?</v>
      </c>
      <c r="E13" s="215" t="e">
        <f>MARS!M166</f>
        <v>#NAME?</v>
      </c>
      <c r="F13" s="215" t="e">
        <f>AVRIL!N166</f>
        <v>#NAME?</v>
      </c>
      <c r="G13" s="215">
        <f>MAI!O166</f>
        <v>0</v>
      </c>
      <c r="H13" s="215" t="e">
        <f>#REF!</f>
        <v>#REF!</v>
      </c>
      <c r="I13" s="215" t="e">
        <f>#REF!</f>
        <v>#REF!</v>
      </c>
      <c r="J13" s="215" t="e">
        <f>#REF!</f>
        <v>#REF!</v>
      </c>
      <c r="K13" s="215" t="e">
        <f>#REF!</f>
        <v>#REF!</v>
      </c>
      <c r="L13" s="215" t="e">
        <f>#REF!</f>
        <v>#REF!</v>
      </c>
      <c r="M13" s="215" t="e">
        <f>#REF!</f>
        <v>#REF!</v>
      </c>
      <c r="N13" s="216" t="e">
        <f>#REF!</f>
        <v>#REF!</v>
      </c>
      <c r="O13" s="327" t="s">
        <v>68</v>
      </c>
      <c r="P13" s="335">
        <f>[0]!IMI</f>
        <v>0</v>
      </c>
      <c r="Q13" s="337">
        <f>[0]!CMI</f>
        <v>0</v>
      </c>
      <c r="R13" s="332">
        <f>SUMIF(MAI!$U$6:$U$144,"COCO",MAI!$AE$6:$AE$144)</f>
        <v>0</v>
      </c>
      <c r="S13" s="302">
        <f>SUMIF(MAI!$U$6:$U$144,"EMBALAGES",MAI!$AE$6:$AE$144)</f>
        <v>0</v>
      </c>
      <c r="T13" s="330">
        <f>SUMIF(MAI!$U$6:$U$144,"LIVRAISON",MAI!$AE$6:$AE$144)</f>
        <v>0</v>
      </c>
      <c r="U13" s="302">
        <f>SUMIF(MAI!$U$6:$U$144,"FRAIS FIXE",MAI!$AE$6:$AE$144)</f>
        <v>0</v>
      </c>
      <c r="V13" s="302">
        <f>SUMIF(MAI!$U$6:$U$144,"DIVERS ",MAI!$AE$6:$AE$144)+SUMIF(MAI!$U$6:$U$144,"PAPETERIE",MAI!$AE$6:$AE$144)</f>
        <v>0</v>
      </c>
      <c r="W13" s="302">
        <f>SUMIF(MAI!$U$6:$U$144,"EXTRA ",MAI!$AE$6:$AE$144)</f>
        <v>0</v>
      </c>
      <c r="X13" s="219"/>
      <c r="Y13" s="302">
        <f>[0]!VM</f>
        <v>0</v>
      </c>
      <c r="Z13" s="335">
        <f>P13+Q13</f>
        <v>0</v>
      </c>
      <c r="AA13" s="298">
        <f>Y13-Z13</f>
        <v>0</v>
      </c>
      <c r="AB13" s="363"/>
      <c r="AC13" s="343" t="s">
        <v>66</v>
      </c>
      <c r="AD13" s="17">
        <v>0</v>
      </c>
      <c r="AE13" s="241">
        <f>MARS!$DV45</f>
        <v>0</v>
      </c>
      <c r="AF13" s="186"/>
      <c r="AG13" s="208">
        <f>SUMIF(MARS!$V$6:$V$144,"COCO",MARS!$AF$6:$AF$144)</f>
        <v>0</v>
      </c>
      <c r="AH13" s="208">
        <f>SUMIF(MARS!$V$6:$V$144,"EMBALAGES",MARS!$AF$6:$AF$144)</f>
        <v>0</v>
      </c>
      <c r="AI13" s="208">
        <f>SUMIF(MARS!$V$6:$V$144,"LIVRAISON",MARS!$AF$6:$AF$144)</f>
        <v>0</v>
      </c>
      <c r="AJ13" s="208">
        <f>SUMIF(MARS!$V$6:$V$144,"FRAIS FIXE",MARS!$AF$6:$AF$144)</f>
        <v>0</v>
      </c>
      <c r="AK13" s="208">
        <f>SUMIF(MARS!$V$6:$V$144,"DIVERS",MARS!$AF$6:$AF$144)+SUMIF(MARS!$V$6:$V$144,"PAPETERIE",MARS!$AF$6:$AF$144)</f>
        <v>0</v>
      </c>
      <c r="AL13" s="208">
        <f>SUMIF(MARS!$V$6:$V$144,"EXTRA",MARS!$AF$6:$AF$144)</f>
        <v>0</v>
      </c>
      <c r="AM13" s="208">
        <f>SUMIF(MARS!$V$6:$V$144,"ENTRETIEN",MARS!$AF$6:$AF$144)</f>
        <v>0</v>
      </c>
      <c r="AN13" s="208">
        <f>SUMIF(MARS!$V$6:$V$144,"EXPO",MARS!$AF$6:$AF$144)</f>
        <v>0</v>
      </c>
      <c r="AO13" s="352">
        <f>MARS!$O$172</f>
        <v>0</v>
      </c>
    </row>
    <row r="14" spans="1:41" ht="15.75" customHeight="1" thickBot="1" x14ac:dyDescent="0.35">
      <c r="A14" s="198" t="s">
        <v>189</v>
      </c>
      <c r="B14" s="200"/>
      <c r="C14" s="213">
        <f>FEVRIER!BG68</f>
        <v>0</v>
      </c>
      <c r="D14" s="213">
        <f>FEVRIER!BH68</f>
        <v>0</v>
      </c>
      <c r="E14" s="213">
        <f>MARS!BI68</f>
        <v>0</v>
      </c>
      <c r="F14" s="213">
        <f>AVRIL!BJ68</f>
        <v>0</v>
      </c>
      <c r="G14" s="213">
        <f>MAI!BK68</f>
        <v>0</v>
      </c>
      <c r="H14" s="213" t="e">
        <f>#REF!</f>
        <v>#REF!</v>
      </c>
      <c r="I14" s="213" t="e">
        <f>#REF!</f>
        <v>#REF!</v>
      </c>
      <c r="J14" s="213" t="e">
        <f>#REF!</f>
        <v>#REF!</v>
      </c>
      <c r="K14" s="213" t="e">
        <f>#REF!</f>
        <v>#REF!</v>
      </c>
      <c r="L14" s="213" t="e">
        <f>#REF!</f>
        <v>#REF!</v>
      </c>
      <c r="M14" s="213" t="e">
        <f>#REF!</f>
        <v>#REF!</v>
      </c>
      <c r="N14" s="214" t="e">
        <f>#REF!</f>
        <v>#REF!</v>
      </c>
      <c r="O14" s="327"/>
      <c r="P14" s="336"/>
      <c r="Q14" s="338"/>
      <c r="R14" s="332"/>
      <c r="S14" s="302"/>
      <c r="T14" s="330"/>
      <c r="U14" s="302"/>
      <c r="V14" s="302"/>
      <c r="W14" s="302"/>
      <c r="X14" s="219"/>
      <c r="Y14" s="302"/>
      <c r="Z14" s="336"/>
      <c r="AA14" s="304"/>
      <c r="AB14" s="363"/>
      <c r="AC14" s="343"/>
      <c r="AD14" s="17">
        <v>5</v>
      </c>
      <c r="AE14" s="242">
        <f>MARS!$DW$38</f>
        <v>0</v>
      </c>
      <c r="AF14" s="187">
        <f>MARS!$AB$147</f>
        <v>0</v>
      </c>
      <c r="AG14" s="187">
        <f>SUMIF(MARS!$V$6:$V$144,"COCO",MARS!$AC$6:$AC$144)</f>
        <v>0</v>
      </c>
      <c r="AH14" s="187">
        <f>SUMIF(MARS!$V$6:$V$144,"EMBALAGES",MARS!$AC$6:$AC$144)</f>
        <v>0</v>
      </c>
      <c r="AI14" s="188">
        <f>SUMIF(MARS!$V$6:$V$144,"LIVRAISON",MARS!$AC$6:$AC$144)</f>
        <v>0</v>
      </c>
      <c r="AJ14" s="188">
        <f>SUMIF(MARS!$V$6:$V$144,"FRAIS FIXE",MARS!$AC$6:$AC$144)</f>
        <v>0</v>
      </c>
      <c r="AK14" s="187">
        <f>SUMIF(MARS!$V$6:$V$144,"DIVERS",MARS!$AC$6:$AC$144)+SUMIF(MARS!$V$6:$V$144,"PAPETERIE",MARS!$AC$6:$AC$144)</f>
        <v>0</v>
      </c>
      <c r="AL14" s="202">
        <f>SUMIF(MARS!$V$6:$V$144,"EXTRA",MARS!$AC$6:$AC$144)</f>
        <v>0</v>
      </c>
      <c r="AM14" s="202">
        <f>SUMIF(MARS!$V$6:$V$144,"ENTRETIEN",MARS!$AC$6:$AC$144)</f>
        <v>0</v>
      </c>
      <c r="AN14" s="202">
        <f>SUMIF(MARS!$V$6:$V$144,"EXPO",MARS!$AC$6:$AC$144)</f>
        <v>0</v>
      </c>
      <c r="AO14" s="353"/>
    </row>
    <row r="15" spans="1:41" ht="15.75" customHeight="1" thickBot="1" x14ac:dyDescent="0.35">
      <c r="A15" s="198" t="s">
        <v>123</v>
      </c>
      <c r="B15" s="199">
        <v>1</v>
      </c>
      <c r="C15" s="213" t="e">
        <f>FEVRIER!L166</f>
        <v>#NAME?</v>
      </c>
      <c r="D15" s="213" t="e">
        <f>FEVRIER!M166</f>
        <v>#NAME?</v>
      </c>
      <c r="E15" s="213" t="e">
        <f>MARS!N166</f>
        <v>#NAME?</v>
      </c>
      <c r="F15" s="213">
        <f>AVRIL!O166</f>
        <v>0</v>
      </c>
      <c r="G15" s="213">
        <f>MAI!P166</f>
        <v>0</v>
      </c>
      <c r="H15" s="213" t="e">
        <f>#REF!</f>
        <v>#REF!</v>
      </c>
      <c r="I15" s="213" t="e">
        <f>#REF!</f>
        <v>#REF!</v>
      </c>
      <c r="J15" s="213" t="e">
        <f>#REF!</f>
        <v>#REF!</v>
      </c>
      <c r="K15" s="213" t="e">
        <f>#REF!</f>
        <v>#REF!</v>
      </c>
      <c r="L15" s="213" t="e">
        <f>#REF!</f>
        <v>#REF!</v>
      </c>
      <c r="M15" s="213" t="e">
        <f>#REF!</f>
        <v>#REF!</v>
      </c>
      <c r="N15" s="214" t="e">
        <f>#REF!</f>
        <v>#REF!</v>
      </c>
      <c r="O15" s="327" t="s">
        <v>69</v>
      </c>
      <c r="P15" s="335" t="e">
        <f>[0]!IJN</f>
        <v>#REF!</v>
      </c>
      <c r="Q15" s="337" t="e">
        <f>[0]!CJN</f>
        <v>#REF!</v>
      </c>
      <c r="R15" s="332" t="e">
        <f>SUMIF(#REF!,"COCO",#REF!)</f>
        <v>#REF!</v>
      </c>
      <c r="S15" s="302" t="e">
        <f>SUMIF(#REF!,"EMBALAGES",#REF!)</f>
        <v>#REF!</v>
      </c>
      <c r="T15" s="330" t="e">
        <f>SUMIF(#REF!,"LIVRAISON",#REF!)</f>
        <v>#REF!</v>
      </c>
      <c r="U15" s="302" t="e">
        <f>SUMIF(#REF!,"FRAIS FIXE",#REF!)</f>
        <v>#REF!</v>
      </c>
      <c r="V15" s="302" t="e">
        <f>SUMIF(#REF!,"DIVERS ",#REF!)+SUMIF(#REF!,"PAPETERIE",#REF!)</f>
        <v>#REF!</v>
      </c>
      <c r="W15" s="302" t="e">
        <f>SUMIF(#REF!,"EXTRA ",#REF!)</f>
        <v>#REF!</v>
      </c>
      <c r="X15" s="219"/>
      <c r="Y15" s="302" t="e">
        <f>[0]!VJN</f>
        <v>#REF!</v>
      </c>
      <c r="Z15" s="335" t="e">
        <f>P15+Q15</f>
        <v>#REF!</v>
      </c>
      <c r="AA15" s="298" t="e">
        <f>Y15-Z15</f>
        <v>#REF!</v>
      </c>
      <c r="AB15" s="363"/>
      <c r="AC15" s="343"/>
      <c r="AD15" s="17">
        <v>13</v>
      </c>
      <c r="AE15" s="242">
        <f>MARS!$DW$39</f>
        <v>0</v>
      </c>
      <c r="AF15" s="188">
        <f>MARS!$AC$148</f>
        <v>0</v>
      </c>
      <c r="AG15" s="187">
        <f>SUMIF(MARS!$V$6:$V$144,"COCO",MARS!$AD$6:$AD$144)</f>
        <v>0</v>
      </c>
      <c r="AH15" s="187">
        <f>SUMIF(MARS!$V$6:$V$144,"EMBALAGES",MARS!$AD$6:$AD$144)</f>
        <v>0</v>
      </c>
      <c r="AI15" s="188">
        <f>SUMIF(MARS!$V$6:$V$144,"LIVRAISON",MARS!$AD$6:$AD$144)</f>
        <v>0</v>
      </c>
      <c r="AJ15" s="188">
        <f>SUMIF(MARS!$V$6:$V$144,"FRAIS FIXE",MARS!$AD$6:$AD$144)</f>
        <v>0</v>
      </c>
      <c r="AK15" s="187">
        <f>SUMIF(MARS!$V$6:$V$144,"DIVERS",MARS!$AD$6:$AD$144)+SUMIF(MARS!$V$6:$V$144,"PAPETERIE",MARS!$AD$6:$AD$144)</f>
        <v>0</v>
      </c>
      <c r="AL15" s="187">
        <f>SUMIF(MARS!$V$6:$V$144,"EXTRA",MARS!$AD$6:$AD$144)</f>
        <v>0</v>
      </c>
      <c r="AM15" s="187">
        <f>SUMIF(MARS!$V$6:$V$144,"ENTRTIEN",MARS!$AD$6:$AD$144)</f>
        <v>0</v>
      </c>
      <c r="AN15" s="187">
        <f>SUMIF(MARS!$V$6:$V$144,"EXPO",MARS!$AD$6:$AD$144)</f>
        <v>0</v>
      </c>
      <c r="AO15" s="353"/>
    </row>
    <row r="16" spans="1:41" ht="15.75" customHeight="1" thickBot="1" x14ac:dyDescent="0.35">
      <c r="A16" s="198" t="s">
        <v>189</v>
      </c>
      <c r="B16" s="200"/>
      <c r="C16" s="213">
        <f>FEVRIER!BH69</f>
        <v>0</v>
      </c>
      <c r="D16" s="213">
        <f>FEVRIER!BI69</f>
        <v>0</v>
      </c>
      <c r="E16" s="213">
        <f>MARS!BJ69</f>
        <v>0</v>
      </c>
      <c r="F16" s="213">
        <f>AVRIL!BK69</f>
        <v>0</v>
      </c>
      <c r="G16" s="213">
        <f>MAI!BL69</f>
        <v>0</v>
      </c>
      <c r="H16" s="213" t="e">
        <f>#REF!</f>
        <v>#REF!</v>
      </c>
      <c r="I16" s="213" t="e">
        <f>#REF!</f>
        <v>#REF!</v>
      </c>
      <c r="J16" s="213" t="e">
        <f>#REF!</f>
        <v>#REF!</v>
      </c>
      <c r="K16" s="213" t="e">
        <f>#REF!</f>
        <v>#REF!</v>
      </c>
      <c r="L16" s="213" t="e">
        <f>#REF!</f>
        <v>#REF!</v>
      </c>
      <c r="M16" s="213" t="e">
        <f>#REF!</f>
        <v>#REF!</v>
      </c>
      <c r="N16" s="214" t="e">
        <f>#REF!</f>
        <v>#REF!</v>
      </c>
      <c r="O16" s="327"/>
      <c r="P16" s="336"/>
      <c r="Q16" s="338"/>
      <c r="R16" s="332"/>
      <c r="S16" s="302"/>
      <c r="T16" s="330"/>
      <c r="U16" s="302"/>
      <c r="V16" s="302"/>
      <c r="W16" s="302"/>
      <c r="X16" s="219"/>
      <c r="Y16" s="302"/>
      <c r="Z16" s="336"/>
      <c r="AA16" s="304"/>
      <c r="AB16" s="364"/>
      <c r="AC16" s="343"/>
      <c r="AD16" s="17">
        <v>16</v>
      </c>
      <c r="AE16" s="243">
        <f>MARS!$DX$40</f>
        <v>0</v>
      </c>
      <c r="AF16" s="189">
        <f>MARS!$AD$149</f>
        <v>0</v>
      </c>
      <c r="AG16" s="244">
        <f>SUMIF(MARS!$V$6:$V$144,"COCO",MARS!$AE$6:$AE$144)</f>
        <v>0</v>
      </c>
      <c r="AH16" s="244">
        <f>SUMIF(MARS!$V$6:$V$144,"EMBALAGES",MARS!$AE$6:$AE$144)</f>
        <v>0</v>
      </c>
      <c r="AI16" s="189">
        <f>SUMIF(MARS!$V$6:$V$144,"LIVRAISON",MARS!$AE$6:$AE$144)</f>
        <v>0</v>
      </c>
      <c r="AJ16" s="189">
        <f>SUMIF(MARS!$V$6:$V$144,"FRAIS FIXE",MARS!$AE$6:$AE$144)</f>
        <v>0</v>
      </c>
      <c r="AK16" s="244">
        <f>SUMIF(MARS!$V$6:$V$144,"DIVERS",MARS!$AE$6:$AE$144)+SUMIF(MARS!$V$6:$V$144,"PAPETERIE",MARS!$AE$6:$AE$144)</f>
        <v>0</v>
      </c>
      <c r="AL16" s="244">
        <f>SUMIF(MARS!$V$6:$V$144,"EXTRA",MARS!$AE$6:$AE$144)</f>
        <v>0</v>
      </c>
      <c r="AM16" s="244">
        <f>SUMIF(MARS!$V$6:$V$144,"ENTRETIEN",MARS!$AE$6:$AE$144)</f>
        <v>0</v>
      </c>
      <c r="AN16" s="244">
        <f>SUMIF(MARS!$V$6:$V$144,"EXPO",MARS!$AE$6:$AE$144)</f>
        <v>0</v>
      </c>
      <c r="AO16" s="354"/>
    </row>
    <row r="17" spans="1:41" ht="16.5" customHeight="1" thickBot="1" x14ac:dyDescent="0.35">
      <c r="A17" s="198" t="s">
        <v>123</v>
      </c>
      <c r="B17" s="199">
        <v>5</v>
      </c>
      <c r="C17" s="213" t="e">
        <f>FEVRIER!M166</f>
        <v>#NAME?</v>
      </c>
      <c r="D17" s="213" t="e">
        <f>FEVRIER!N166</f>
        <v>#NAME?</v>
      </c>
      <c r="E17" s="213">
        <f>MARS!O166</f>
        <v>0</v>
      </c>
      <c r="F17" s="213">
        <f>AVRIL!P166</f>
        <v>0</v>
      </c>
      <c r="G17" s="213">
        <f>MAI!Q166</f>
        <v>0</v>
      </c>
      <c r="H17" s="213" t="e">
        <f>#REF!</f>
        <v>#REF!</v>
      </c>
      <c r="I17" s="213" t="e">
        <f>#REF!</f>
        <v>#REF!</v>
      </c>
      <c r="J17" s="213" t="e">
        <f>#REF!</f>
        <v>#REF!</v>
      </c>
      <c r="K17" s="213" t="e">
        <f>#REF!</f>
        <v>#REF!</v>
      </c>
      <c r="L17" s="213" t="e">
        <f>#REF!</f>
        <v>#REF!</v>
      </c>
      <c r="M17" s="213" t="e">
        <f>#REF!</f>
        <v>#REF!</v>
      </c>
      <c r="N17" s="214" t="e">
        <f>#REF!</f>
        <v>#REF!</v>
      </c>
      <c r="O17" s="327" t="s">
        <v>70</v>
      </c>
      <c r="P17" s="335" t="e">
        <f>[0]!IJL</f>
        <v>#REF!</v>
      </c>
      <c r="Q17" s="337" t="e">
        <f>[0]!CJL</f>
        <v>#REF!</v>
      </c>
      <c r="R17" s="332" t="e">
        <f>SUMIF(#REF!,"COCO",#REF!)</f>
        <v>#REF!</v>
      </c>
      <c r="S17" s="302" t="e">
        <f>SUMIF(#REF!,"EMBALAGES",#REF!)</f>
        <v>#REF!</v>
      </c>
      <c r="T17" s="330" t="e">
        <f>SUMIF(#REF!,"LIVRAISON",#REF!)</f>
        <v>#REF!</v>
      </c>
      <c r="U17" s="302" t="e">
        <f>SUMIF(#REF!,"FRAIS FIXE",#REF!)</f>
        <v>#REF!</v>
      </c>
      <c r="V17" s="302" t="e">
        <f>SUMIF(#REF!,"DIVERS ",#REF!)+SUMIF(#REF!,"PAPETERIE",#REF!)</f>
        <v>#REF!</v>
      </c>
      <c r="W17" s="302" t="e">
        <f>SUMIF(#REF!,"EXTRA ",#REF!)</f>
        <v>#REF!</v>
      </c>
      <c r="X17" s="219"/>
      <c r="Y17" s="302" t="e">
        <f>[0]!VJU</f>
        <v>#REF!</v>
      </c>
      <c r="Z17" s="335" t="e">
        <f>P17+Q17</f>
        <v>#REF!</v>
      </c>
      <c r="AA17" s="298" t="e">
        <f>Y17-Z17</f>
        <v>#REF!</v>
      </c>
      <c r="AB17" s="365" t="s">
        <v>79</v>
      </c>
      <c r="AC17" s="343" t="s">
        <v>67</v>
      </c>
      <c r="AD17" s="17">
        <v>0</v>
      </c>
      <c r="AE17" s="241">
        <f>AVRIL!$DV49</f>
        <v>0</v>
      </c>
      <c r="AF17" s="186"/>
      <c r="AG17" s="208">
        <f>SUMIF(AVRIL!$V$6:$V$144,"COCO",AVRIL!$AF$6:$AF$144)</f>
        <v>0</v>
      </c>
      <c r="AH17" s="208">
        <f>SUMIF(AVRIL!$V$6:$V$144,"EMBALAGES",AVRIL!$AF$6:$AF$144)</f>
        <v>0</v>
      </c>
      <c r="AI17" s="208">
        <f>SUMIF(AVRIL!$V$6:$V$144,"LIVRAISON",AVRIL!$AF$6:$AF$144)</f>
        <v>0</v>
      </c>
      <c r="AJ17" s="208">
        <f>SUMIF(AVRIL!$V$6:$V$144,"FRAIS FIXE",AVRIL!$AF$6:$AF$144)</f>
        <v>0</v>
      </c>
      <c r="AK17" s="208">
        <f>SUMIF(AVRIL!$V$6:$V$144,"DIVERS",AVRIL!$AF$6:$AF$144)+SUMIF(AVRIL!$V$6:$V$144,"PAPETERIE",AVRIL!$AF$6:$AF$144)</f>
        <v>0</v>
      </c>
      <c r="AL17" s="208">
        <f>SUMIF(AVRIL!$V$6:$V$144,"EXTRA",AVRIL!$AF$6:$AF$144)</f>
        <v>0</v>
      </c>
      <c r="AM17" s="208">
        <f>SUMIF(AVRIL!$V$6:$V$144,"ENTRETIEN",AVRIL!$AF$6:$AF$144)</f>
        <v>0</v>
      </c>
      <c r="AN17" s="208">
        <f>SUMIF(AVRIL!$V$6:$V$144,"EXPO",AVRIL!$AF$6:$AF$144)</f>
        <v>0</v>
      </c>
      <c r="AO17" s="352">
        <f>AVRIL!$O$172</f>
        <v>0</v>
      </c>
    </row>
    <row r="18" spans="1:41" ht="15.75" customHeight="1" thickBot="1" x14ac:dyDescent="0.35">
      <c r="A18" s="198" t="s">
        <v>189</v>
      </c>
      <c r="B18" s="200"/>
      <c r="C18" s="213">
        <f>FEVRIER!BI70</f>
        <v>0</v>
      </c>
      <c r="D18" s="213">
        <f>FEVRIER!BJ70</f>
        <v>0</v>
      </c>
      <c r="E18" s="213">
        <f>MARS!BK70</f>
        <v>0</v>
      </c>
      <c r="F18" s="213">
        <f>AVRIL!BL70</f>
        <v>0</v>
      </c>
      <c r="G18" s="213">
        <f>MAI!BM70</f>
        <v>0</v>
      </c>
      <c r="H18" s="213" t="e">
        <f>#REF!</f>
        <v>#REF!</v>
      </c>
      <c r="I18" s="213" t="e">
        <f>#REF!</f>
        <v>#REF!</v>
      </c>
      <c r="J18" s="213" t="e">
        <f>#REF!</f>
        <v>#REF!</v>
      </c>
      <c r="K18" s="213" t="e">
        <f>#REF!</f>
        <v>#REF!</v>
      </c>
      <c r="L18" s="213" t="e">
        <f>#REF!</f>
        <v>#REF!</v>
      </c>
      <c r="M18" s="213" t="e">
        <f>#REF!</f>
        <v>#REF!</v>
      </c>
      <c r="N18" s="214" t="e">
        <f>#REF!</f>
        <v>#REF!</v>
      </c>
      <c r="O18" s="327"/>
      <c r="P18" s="336"/>
      <c r="Q18" s="338"/>
      <c r="R18" s="332"/>
      <c r="S18" s="302"/>
      <c r="T18" s="330"/>
      <c r="U18" s="302"/>
      <c r="V18" s="302"/>
      <c r="W18" s="302"/>
      <c r="X18" s="219"/>
      <c r="Y18" s="302"/>
      <c r="Z18" s="336"/>
      <c r="AA18" s="304"/>
      <c r="AB18" s="363"/>
      <c r="AC18" s="343"/>
      <c r="AD18" s="17">
        <v>5</v>
      </c>
      <c r="AE18" s="242">
        <f>AVRIL!$DW$38</f>
        <v>0</v>
      </c>
      <c r="AF18" s="187">
        <f>AVRIL!$AB$147</f>
        <v>0</v>
      </c>
      <c r="AG18" s="187">
        <f>SUMIF(AVRIL!$V$6:$V$144,"COCO",AVRIL!$AC$6:$AC$144)</f>
        <v>0</v>
      </c>
      <c r="AH18" s="187">
        <f>SUMIF(AVRIL!$V$6:$V$144,"EMBALAGES",AVRIL!$AC$6:$AC$144)</f>
        <v>0</v>
      </c>
      <c r="AI18" s="188">
        <f>SUMIF(AVRIL!$V$6:$V$144,"LIVRAISON",AVRIL!$AC$6:$AC$144)</f>
        <v>0</v>
      </c>
      <c r="AJ18" s="188">
        <f>SUMIF(AVRIL!$V$6:$V$144,"FRAIS FIXE",AVRIL!$AC$6:$AC$144)</f>
        <v>0</v>
      </c>
      <c r="AK18" s="187">
        <f>SUMIF(AVRIL!$V$6:$V$144,"DIVERS",AVRIL!$AC$6:$AC$144)+SUMIF(AVRIL!$V$6:$V$144,"PAPETERIE",AVRIL!$AC$6:$AC$144)</f>
        <v>0</v>
      </c>
      <c r="AL18" s="202">
        <f>SUMIF(AVRIL!$V$6:$V$144,"EXTRA",AVRIL!$AC$6:$AC$144)</f>
        <v>0</v>
      </c>
      <c r="AM18" s="202">
        <f>SUMIF(AVRIL!$V$6:$V$144,"ENTRETIEN",AVRIL!$AC$6:$AC$144)</f>
        <v>0</v>
      </c>
      <c r="AN18" s="202">
        <f>SUMIF(AVRIL!$V$6:$V$144,"EXPO",AVRIL!$AC$6:$AC$144)</f>
        <v>0</v>
      </c>
      <c r="AO18" s="353"/>
    </row>
    <row r="19" spans="1:41" ht="15.75" customHeight="1" thickBot="1" x14ac:dyDescent="0.35">
      <c r="A19" s="198" t="s">
        <v>123</v>
      </c>
      <c r="B19" s="199">
        <v>25</v>
      </c>
      <c r="C19" s="213" t="e">
        <f>FEVRIER!I168</f>
        <v>#NAME?</v>
      </c>
      <c r="D19" s="213" t="e">
        <f>FEVRIER!J168</f>
        <v>#NAME?</v>
      </c>
      <c r="E19" s="213" t="e">
        <f>MARS!K168</f>
        <v>#NAME?</v>
      </c>
      <c r="F19" s="213" t="e">
        <f>AVRIL!L168</f>
        <v>#NAME?</v>
      </c>
      <c r="G19" s="213" t="e">
        <f>MAI!M168</f>
        <v>#NAME?</v>
      </c>
      <c r="H19" s="213" t="e">
        <f>#REF!</f>
        <v>#REF!</v>
      </c>
      <c r="I19" s="213" t="e">
        <f>#REF!</f>
        <v>#REF!</v>
      </c>
      <c r="J19" s="213" t="e">
        <f>#REF!</f>
        <v>#REF!</v>
      </c>
      <c r="K19" s="213" t="e">
        <f>#REF!</f>
        <v>#REF!</v>
      </c>
      <c r="L19" s="213" t="e">
        <f>#REF!</f>
        <v>#REF!</v>
      </c>
      <c r="M19" s="213" t="e">
        <f>#REF!</f>
        <v>#REF!</v>
      </c>
      <c r="N19" s="214" t="e">
        <f>#REF!</f>
        <v>#REF!</v>
      </c>
      <c r="O19" s="327" t="s">
        <v>71</v>
      </c>
      <c r="P19" s="335" t="e">
        <f>[0]!IAO</f>
        <v>#REF!</v>
      </c>
      <c r="Q19" s="337" t="e">
        <f>[0]!CAO</f>
        <v>#REF!</v>
      </c>
      <c r="R19" s="332" t="e">
        <f>SUMIF(#REF!,"COCO",#REF!)</f>
        <v>#REF!</v>
      </c>
      <c r="S19" s="302" t="e">
        <f>SUMIF(#REF!,"EMBALAGES",#REF!)</f>
        <v>#REF!</v>
      </c>
      <c r="T19" s="330" t="e">
        <f>SUMIF(#REF!,"LIVRAISON",#REF!)</f>
        <v>#REF!</v>
      </c>
      <c r="U19" s="302" t="e">
        <f>SUMIF(#REF!,"FRAIS FIXE",#REF!)</f>
        <v>#REF!</v>
      </c>
      <c r="V19" s="302" t="e">
        <f>SUMIF(#REF!,"DIVERS ",#REF!)+SUMIF(#REF!,"PAPETERIE",#REF!)</f>
        <v>#REF!</v>
      </c>
      <c r="W19" s="302" t="e">
        <f>SUMIF(#REF!,"EXTRA ",#REF!)</f>
        <v>#REF!</v>
      </c>
      <c r="X19" s="219"/>
      <c r="Y19" s="302" t="e">
        <f>[0]!VAO</f>
        <v>#REF!</v>
      </c>
      <c r="Z19" s="335" t="e">
        <f>P19+Q19</f>
        <v>#REF!</v>
      </c>
      <c r="AA19" s="298" t="e">
        <f>Y19-Z19</f>
        <v>#REF!</v>
      </c>
      <c r="AB19" s="363"/>
      <c r="AC19" s="343"/>
      <c r="AD19" s="17">
        <v>13</v>
      </c>
      <c r="AE19" s="242">
        <f>AVRIL!$DW$39</f>
        <v>0</v>
      </c>
      <c r="AF19" s="188">
        <f>AVRIL!$AC$148</f>
        <v>0</v>
      </c>
      <c r="AG19" s="187">
        <f>SUMIF(AVRIL!$V$6:$V$144,"COCO",AVRIL!$AD$6:$AD$144)</f>
        <v>0</v>
      </c>
      <c r="AH19" s="187">
        <f>SUMIF(AVRIL!$V$6:$V$144,"EMBALAGES",AVRIL!$AD$6:$AD$144)</f>
        <v>0</v>
      </c>
      <c r="AI19" s="188">
        <f>SUMIF(AVRIL!$V$6:$V$144,"LIVRAISON",AVRIL!$AD$6:$AD$144)</f>
        <v>0</v>
      </c>
      <c r="AJ19" s="188">
        <f>SUMIF(AVRIL!$V$6:$V$144,"FRAIS FIXE",AVRIL!$AD$6:$AD$144)</f>
        <v>0</v>
      </c>
      <c r="AK19" s="187">
        <f>SUMIF(AVRIL!$V$6:$V$144,"DIVERS",AVRIL!$AD$6:$AD$144)+SUMIF(AVRIL!$V$6:$V$144,"PAPETERIE",AVRIL!$AD$6:$AD$144)</f>
        <v>0</v>
      </c>
      <c r="AL19" s="187">
        <f>SUMIF(AVRIL!$V$6:$V$144,"EXTRA",AVRIL!$AD$6:$AD$144)</f>
        <v>0</v>
      </c>
      <c r="AM19" s="187">
        <f>SUMIF(AVRIL!$V$6:$V$144,"ENTRTIEN",AVRIL!$AD$6:$AD$144)</f>
        <v>0</v>
      </c>
      <c r="AN19" s="187">
        <f>SUMIF(AVRIL!$V$6:$V$144,"EXPO",AVRIL!$AD$6:$AD$144)</f>
        <v>0</v>
      </c>
      <c r="AO19" s="353"/>
    </row>
    <row r="20" spans="1:41" ht="15.75" customHeight="1" thickBot="1" x14ac:dyDescent="0.35">
      <c r="A20" s="198" t="s">
        <v>189</v>
      </c>
      <c r="B20" s="200"/>
      <c r="C20" s="213">
        <f>FEVRIER!BJ71</f>
        <v>0</v>
      </c>
      <c r="D20" s="213">
        <f>FEVRIER!BK71</f>
        <v>0</v>
      </c>
      <c r="E20" s="213">
        <f>MARS!BL71</f>
        <v>0</v>
      </c>
      <c r="F20" s="213">
        <f>AVRIL!BM71</f>
        <v>0</v>
      </c>
      <c r="G20" s="213">
        <f>MAI!BN71</f>
        <v>0</v>
      </c>
      <c r="H20" s="213" t="e">
        <f>#REF!</f>
        <v>#REF!</v>
      </c>
      <c r="I20" s="213" t="e">
        <f>#REF!</f>
        <v>#REF!</v>
      </c>
      <c r="J20" s="213" t="e">
        <f>#REF!</f>
        <v>#REF!</v>
      </c>
      <c r="K20" s="213" t="e">
        <f>#REF!</f>
        <v>#REF!</v>
      </c>
      <c r="L20" s="213" t="e">
        <f>#REF!</f>
        <v>#REF!</v>
      </c>
      <c r="M20" s="213" t="e">
        <f>#REF!</f>
        <v>#REF!</v>
      </c>
      <c r="N20" s="214" t="e">
        <f>#REF!</f>
        <v>#REF!</v>
      </c>
      <c r="O20" s="327"/>
      <c r="P20" s="336"/>
      <c r="Q20" s="338"/>
      <c r="R20" s="332"/>
      <c r="S20" s="302"/>
      <c r="T20" s="330"/>
      <c r="U20" s="302"/>
      <c r="V20" s="302"/>
      <c r="W20" s="302"/>
      <c r="X20" s="219"/>
      <c r="Y20" s="302"/>
      <c r="Z20" s="336"/>
      <c r="AA20" s="304"/>
      <c r="AB20" s="363"/>
      <c r="AC20" s="343"/>
      <c r="AD20" s="17">
        <v>16</v>
      </c>
      <c r="AE20" s="243">
        <f>AVRIL!$DX$40</f>
        <v>0</v>
      </c>
      <c r="AF20" s="189">
        <f>AVRIL!$AD$149</f>
        <v>0</v>
      </c>
      <c r="AG20" s="244">
        <f>SUMIF(AVRIL!$V$6:$V$144,"COCO",AVRIL!$AE$6:$AE$144)</f>
        <v>0</v>
      </c>
      <c r="AH20" s="244">
        <f>SUMIF(AVRIL!$V$6:$V$144,"EMBALAGES",AVRIL!$AE$6:$AE$144)</f>
        <v>0</v>
      </c>
      <c r="AI20" s="189">
        <f>SUMIF(AVRIL!$V$6:$V$144,"LIVRAISON",AVRIL!$AE$6:$AE$144)</f>
        <v>0</v>
      </c>
      <c r="AJ20" s="189">
        <f>SUMIF(AVRIL!$V$6:$V$144,"FRAIS FIXE",AVRIL!$AE$6:$AE$144)</f>
        <v>0</v>
      </c>
      <c r="AK20" s="244">
        <f>SUMIF(AVRIL!$V$6:$V$144,"DIVERS",AVRIL!$AE$6:$AE$144)+SUMIF(AVRIL!$V$6:$V$144,"PAPETERIE",AVRIL!$AE$6:$AE$144)</f>
        <v>0</v>
      </c>
      <c r="AL20" s="244">
        <f>SUMIF(AVRIL!$V$6:$V$144,"EXTRA",AVRIL!$AE$6:$AE$144)</f>
        <v>0</v>
      </c>
      <c r="AM20" s="244">
        <f>SUMIF(AVRIL!$V$6:$V$144,"ENTRETIEN",AVRIL!$AE$6:$AE$144)</f>
        <v>0</v>
      </c>
      <c r="AN20" s="244">
        <f>SUMIF(AVRIL!$V$6:$V$144,"EXPO",AVRIL!$AE$6:$AE$144)</f>
        <v>0</v>
      </c>
      <c r="AO20" s="354"/>
    </row>
    <row r="21" spans="1:41" ht="15.75" customHeight="1" thickBot="1" x14ac:dyDescent="0.35">
      <c r="A21" s="198" t="s">
        <v>123</v>
      </c>
      <c r="B21" s="199">
        <v>50</v>
      </c>
      <c r="C21" s="213" t="e">
        <f>FEVRIER!J168</f>
        <v>#NAME?</v>
      </c>
      <c r="D21" s="213" t="e">
        <f>FEVRIER!K168</f>
        <v>#NAME?</v>
      </c>
      <c r="E21" s="213" t="e">
        <f>MARS!L168</f>
        <v>#NAME?</v>
      </c>
      <c r="F21" s="213" t="e">
        <f>AVRIL!M168</f>
        <v>#NAME?</v>
      </c>
      <c r="G21" s="213" t="e">
        <f>MAI!N168</f>
        <v>#NAME?</v>
      </c>
      <c r="H21" s="213" t="e">
        <f>#REF!</f>
        <v>#REF!</v>
      </c>
      <c r="I21" s="213" t="e">
        <f>#REF!</f>
        <v>#REF!</v>
      </c>
      <c r="J21" s="213" t="e">
        <f>#REF!</f>
        <v>#REF!</v>
      </c>
      <c r="K21" s="213" t="e">
        <f>#REF!</f>
        <v>#REF!</v>
      </c>
      <c r="L21" s="213" t="e">
        <f>#REF!</f>
        <v>#REF!</v>
      </c>
      <c r="M21" s="213" t="e">
        <f>#REF!</f>
        <v>#REF!</v>
      </c>
      <c r="N21" s="214" t="e">
        <f>#REF!</f>
        <v>#REF!</v>
      </c>
      <c r="O21" s="327" t="s">
        <v>72</v>
      </c>
      <c r="P21" s="335" t="e">
        <f>[0]!IS</f>
        <v>#REF!</v>
      </c>
      <c r="Q21" s="337" t="e">
        <f>[0]!CS</f>
        <v>#REF!</v>
      </c>
      <c r="R21" s="332" t="e">
        <f>SUMIF(#REF!,"COCO",#REF!)</f>
        <v>#REF!</v>
      </c>
      <c r="S21" s="302" t="e">
        <f>SUMIF(#REF!,"EMBALAGES",#REF!)</f>
        <v>#REF!</v>
      </c>
      <c r="T21" s="330" t="e">
        <f>SUMIF(#REF!,"LIVRAISON",#REF!)</f>
        <v>#REF!</v>
      </c>
      <c r="U21" s="302" t="e">
        <f>SUMIF(#REF!,"FRAIS FIXE",#REF!)</f>
        <v>#REF!</v>
      </c>
      <c r="V21" s="302" t="e">
        <f>SUMIF(#REF!,"DIVERS ",#REF!)+SUMIF(#REF!,"PAPETERIE",#REF!)</f>
        <v>#REF!</v>
      </c>
      <c r="W21" s="302" t="e">
        <f>SUMIF(#REF!,"EXTRA ",#REF!)</f>
        <v>#REF!</v>
      </c>
      <c r="X21" s="219"/>
      <c r="Y21" s="302" t="e">
        <f>[0]!VS</f>
        <v>#REF!</v>
      </c>
      <c r="Z21" s="335" t="e">
        <f>P21+Q21</f>
        <v>#REF!</v>
      </c>
      <c r="AA21" s="298" t="e">
        <f>Y21-Z21</f>
        <v>#REF!</v>
      </c>
      <c r="AB21" s="363"/>
      <c r="AC21" s="343" t="s">
        <v>68</v>
      </c>
      <c r="AD21" s="17">
        <v>0</v>
      </c>
      <c r="AE21" s="241">
        <f>MAI!$DV53</f>
        <v>0</v>
      </c>
      <c r="AF21" s="186"/>
      <c r="AG21" s="208">
        <f>SUMIF(MAI!$V$6:$V$144,"COCO",MAI!$AF$6:$AF$144)</f>
        <v>0</v>
      </c>
      <c r="AH21" s="208">
        <f>SUMIF(MAI!$V$6:$V$144,"EMBALAGES",MAI!$AF$6:$AF$144)</f>
        <v>0</v>
      </c>
      <c r="AI21" s="208">
        <f>SUMIF(MAI!$V$6:$V$144,"LIVRAISON",MAI!$AF$6:$AF$144)</f>
        <v>0</v>
      </c>
      <c r="AJ21" s="208">
        <f>SUMIF(MAI!$V$6:$V$144,"FRAIS FIXE",MAI!$AF$6:$AF$144)</f>
        <v>0</v>
      </c>
      <c r="AK21" s="208">
        <f>SUMIF(MAI!$V$6:$V$144,"DIVERS",MAI!$AF$6:$AF$144)+SUMIF(MAI!$V$6:$V$144,"PAPETERIE",MAI!$AF$6:$AF$144)</f>
        <v>0</v>
      </c>
      <c r="AL21" s="208">
        <f>SUMIF(MAI!$V$6:$V$144,"EXTRA",MAI!$AF$6:$AF$144)</f>
        <v>0</v>
      </c>
      <c r="AM21" s="208">
        <f>SUMIF(MAI!$V$6:$V$144,"ENTRETIEN",MAI!$AF$6:$AF$144)</f>
        <v>0</v>
      </c>
      <c r="AN21" s="208">
        <f>SUMIF(MAI!$V$6:$V$144,"EXPO",MAI!$AF$6:$AF$144)</f>
        <v>0</v>
      </c>
      <c r="AO21" s="352">
        <f>MAI!$O$172</f>
        <v>0</v>
      </c>
    </row>
    <row r="22" spans="1:41" ht="15.75" customHeight="1" thickBot="1" x14ac:dyDescent="0.35">
      <c r="A22" s="198" t="s">
        <v>189</v>
      </c>
      <c r="B22" s="200"/>
      <c r="C22" s="194">
        <f>FEVRIER!BK72</f>
        <v>0</v>
      </c>
      <c r="D22" s="194">
        <f>FEVRIER!BL72</f>
        <v>0</v>
      </c>
      <c r="E22" s="194">
        <f>MARS!BM72</f>
        <v>0</v>
      </c>
      <c r="F22" s="194">
        <f>AVRIL!BN72</f>
        <v>0</v>
      </c>
      <c r="G22" s="194">
        <f>MAI!BO72</f>
        <v>0</v>
      </c>
      <c r="H22" s="194" t="e">
        <f>#REF!</f>
        <v>#REF!</v>
      </c>
      <c r="I22" s="194" t="e">
        <f>#REF!</f>
        <v>#REF!</v>
      </c>
      <c r="J22" s="194" t="e">
        <f>#REF!</f>
        <v>#REF!</v>
      </c>
      <c r="K22" s="194" t="e">
        <f>#REF!</f>
        <v>#REF!</v>
      </c>
      <c r="L22" s="194" t="e">
        <f>#REF!</f>
        <v>#REF!</v>
      </c>
      <c r="M22" s="194" t="e">
        <f>#REF!</f>
        <v>#REF!</v>
      </c>
      <c r="N22" s="195" t="e">
        <f>#REF!</f>
        <v>#REF!</v>
      </c>
      <c r="O22" s="327"/>
      <c r="P22" s="336"/>
      <c r="Q22" s="338"/>
      <c r="R22" s="332"/>
      <c r="S22" s="302"/>
      <c r="T22" s="330"/>
      <c r="U22" s="302"/>
      <c r="V22" s="302"/>
      <c r="W22" s="302"/>
      <c r="X22" s="219"/>
      <c r="Y22" s="302"/>
      <c r="Z22" s="336"/>
      <c r="AA22" s="304"/>
      <c r="AB22" s="363"/>
      <c r="AC22" s="343"/>
      <c r="AD22" s="17">
        <v>5</v>
      </c>
      <c r="AE22" s="242">
        <f>MAI!$DW$38</f>
        <v>0</v>
      </c>
      <c r="AF22" s="187">
        <f>MAI!$AB$147</f>
        <v>0</v>
      </c>
      <c r="AG22" s="187">
        <f>SUMIF(MAI!$V$6:$V$144,"COCO",MAI!$AC$6:$AC$144)</f>
        <v>0</v>
      </c>
      <c r="AH22" s="187">
        <f>SUMIF(MAI!$V$6:$V$144,"EMBALAGES",MAI!$AC$6:$AC$144)</f>
        <v>0</v>
      </c>
      <c r="AI22" s="188">
        <f>SUMIF(MAI!$V$6:$V$144,"LIVRAISON",MAI!$AC$6:$AC$144)</f>
        <v>0</v>
      </c>
      <c r="AJ22" s="188">
        <f>SUMIF(MAI!$V$6:$V$144,"FRAIS FIXE",MAI!$AC$6:$AC$144)</f>
        <v>0</v>
      </c>
      <c r="AK22" s="187">
        <f>SUMIF(MAI!$V$6:$V$144,"DIVERS",MAI!$AC$6:$AC$144)+SUMIF(MAI!$V$6:$V$144,"PAPETERIE",MAI!$AC$6:$AC$144)</f>
        <v>0</v>
      </c>
      <c r="AL22" s="202">
        <f>SUMIF(MAI!$V$6:$V$144,"EXTRA",MAI!$AC$6:$AC$144)</f>
        <v>0</v>
      </c>
      <c r="AM22" s="202">
        <f>SUMIF(MAI!$V$6:$V$144,"ENTRETIEN",MAI!$AC$6:$AC$144)</f>
        <v>0</v>
      </c>
      <c r="AN22" s="202">
        <f>SUMIF(MAI!$V$6:$V$144,"EXPO",MAI!$AC$6:$AC$144)</f>
        <v>0</v>
      </c>
      <c r="AO22" s="353"/>
    </row>
    <row r="23" spans="1:41" ht="16.5" customHeight="1" thickBot="1" x14ac:dyDescent="0.35">
      <c r="A23" s="198" t="s">
        <v>123</v>
      </c>
      <c r="B23" s="371">
        <v>1</v>
      </c>
      <c r="C23" s="194" t="e">
        <f>FEVRIER!L168</f>
        <v>#NAME?</v>
      </c>
      <c r="D23" s="194" t="e">
        <f>FEVRIER!M168</f>
        <v>#NAME?</v>
      </c>
      <c r="E23" s="194" t="e">
        <f>MARS!N168</f>
        <v>#NAME?</v>
      </c>
      <c r="F23" s="194">
        <f>AVRIL!O168</f>
        <v>0</v>
      </c>
      <c r="G23" s="194">
        <f>MAI!P168</f>
        <v>0</v>
      </c>
      <c r="H23" s="194" t="e">
        <f>#REF!</f>
        <v>#REF!</v>
      </c>
      <c r="I23" s="194" t="e">
        <f>#REF!</f>
        <v>#REF!</v>
      </c>
      <c r="J23" s="194" t="e">
        <f>#REF!</f>
        <v>#REF!</v>
      </c>
      <c r="K23" s="194" t="e">
        <f>#REF!</f>
        <v>#REF!</v>
      </c>
      <c r="L23" s="194" t="e">
        <f>#REF!</f>
        <v>#REF!</v>
      </c>
      <c r="M23" s="194" t="e">
        <f>#REF!</f>
        <v>#REF!</v>
      </c>
      <c r="N23" s="195" t="e">
        <f>#REF!</f>
        <v>#REF!</v>
      </c>
      <c r="O23" s="327" t="s">
        <v>73</v>
      </c>
      <c r="P23" s="335" t="e">
        <f>[0]!IO</f>
        <v>#REF!</v>
      </c>
      <c r="Q23" s="337" t="e">
        <f>[0]!CO</f>
        <v>#REF!</v>
      </c>
      <c r="R23" s="332" t="e">
        <f>SUMIF(#REF!,"COCO",#REF!)</f>
        <v>#REF!</v>
      </c>
      <c r="S23" s="302" t="e">
        <f>SUMIF(#REF!,"EMBALAGES",#REF!)</f>
        <v>#REF!</v>
      </c>
      <c r="T23" s="330" t="e">
        <f>SUMIF(#REF!,"LIVRAISON",#REF!)</f>
        <v>#REF!</v>
      </c>
      <c r="U23" s="302" t="e">
        <f>SUMIF(#REF!,"FRAIS FIXE",#REF!)</f>
        <v>#REF!</v>
      </c>
      <c r="V23" s="302" t="e">
        <f>SUMIF(#REF!,"DIVERS ",#REF!)+SUMIF(#REF!,"PAPETERIE",#REF!)</f>
        <v>#REF!</v>
      </c>
      <c r="W23" s="302" t="e">
        <f>SUMIF(#REF!,"EXTRA ",#REF!)</f>
        <v>#REF!</v>
      </c>
      <c r="X23" s="219"/>
      <c r="Y23" s="302" t="e">
        <f>[0]!VO</f>
        <v>#REF!</v>
      </c>
      <c r="Z23" s="335" t="e">
        <f>P23+Q23</f>
        <v>#REF!</v>
      </c>
      <c r="AA23" s="298" t="e">
        <f>Y23-Z23</f>
        <v>#REF!</v>
      </c>
      <c r="AB23" s="363"/>
      <c r="AC23" s="343"/>
      <c r="AD23" s="17">
        <v>13</v>
      </c>
      <c r="AE23" s="242">
        <f>MAI!$DW$39</f>
        <v>0</v>
      </c>
      <c r="AF23" s="188">
        <f>MAI!$AC$148</f>
        <v>0</v>
      </c>
      <c r="AG23" s="187">
        <f>SUMIF(MAI!$V$6:$V$144,"COCO",MAI!$AD$6:$AD$144)</f>
        <v>0</v>
      </c>
      <c r="AH23" s="187">
        <f>SUMIF(MAI!$V$6:$V$144,"EMBALAGES",MAI!$AD$6:$AD$144)</f>
        <v>0</v>
      </c>
      <c r="AI23" s="188">
        <f>SUMIF(MAI!$V$6:$V$144,"LIVRAISON",MAI!$AD$6:$AD$144)</f>
        <v>0</v>
      </c>
      <c r="AJ23" s="188">
        <f>SUMIF(MAI!$V$6:$V$144,"FRAIS FIXE",MAI!$AD$6:$AD$144)</f>
        <v>0</v>
      </c>
      <c r="AK23" s="187">
        <f>SUMIF(MAI!$V$6:$V$144,"DIVERS",MAI!$AD$6:$AD$144)+SUMIF(MAI!$V$6:$V$144,"PAPETERIE",MAI!$AD$6:$AD$144)</f>
        <v>0</v>
      </c>
      <c r="AL23" s="187">
        <f>SUMIF(MAI!$V$6:$V$144,"EXTRA",MAI!$AD$6:$AD$144)</f>
        <v>0</v>
      </c>
      <c r="AM23" s="187">
        <f>SUMIF(MAI!$V$6:$V$144,"ENTRTIEN",MAI!$AD$6:$AD$144)</f>
        <v>0</v>
      </c>
      <c r="AN23" s="187">
        <f>SUMIF(MAI!$V$6:$V$144,"EXPO",MAI!$AD$6:$AD$144)</f>
        <v>0</v>
      </c>
      <c r="AO23" s="353"/>
    </row>
    <row r="24" spans="1:41" ht="15.75" customHeight="1" thickBot="1" x14ac:dyDescent="0.35">
      <c r="A24" s="198" t="s">
        <v>189</v>
      </c>
      <c r="B24" s="372"/>
      <c r="C24" s="196">
        <f>FEVRIER!BL73</f>
        <v>0</v>
      </c>
      <c r="D24" s="196">
        <f>FEVRIER!BM73</f>
        <v>0</v>
      </c>
      <c r="E24" s="196">
        <f>MARS!BN73</f>
        <v>0</v>
      </c>
      <c r="F24" s="196">
        <f>AVRIL!BO73</f>
        <v>0</v>
      </c>
      <c r="G24" s="196">
        <f>MAI!BP73</f>
        <v>0</v>
      </c>
      <c r="H24" s="196" t="e">
        <f>#REF!</f>
        <v>#REF!</v>
      </c>
      <c r="I24" s="196" t="e">
        <f>#REF!</f>
        <v>#REF!</v>
      </c>
      <c r="J24" s="196" t="e">
        <f>#REF!</f>
        <v>#REF!</v>
      </c>
      <c r="K24" s="196" t="e">
        <f>#REF!</f>
        <v>#REF!</v>
      </c>
      <c r="L24" s="196" t="e">
        <f>#REF!</f>
        <v>#REF!</v>
      </c>
      <c r="M24" s="196" t="e">
        <f>#REF!</f>
        <v>#REF!</v>
      </c>
      <c r="N24" s="197" t="e">
        <f>#REF!</f>
        <v>#REF!</v>
      </c>
      <c r="O24" s="327"/>
      <c r="P24" s="336"/>
      <c r="Q24" s="338"/>
      <c r="R24" s="332"/>
      <c r="S24" s="302"/>
      <c r="T24" s="330"/>
      <c r="U24" s="302"/>
      <c r="V24" s="302"/>
      <c r="W24" s="302"/>
      <c r="X24" s="219"/>
      <c r="Y24" s="302"/>
      <c r="Z24" s="336"/>
      <c r="AA24" s="304"/>
      <c r="AB24" s="363"/>
      <c r="AC24" s="343"/>
      <c r="AD24" s="17">
        <v>16</v>
      </c>
      <c r="AE24" s="243">
        <f>MAI!$DX$40</f>
        <v>0</v>
      </c>
      <c r="AF24" s="189">
        <f>MAI!$AD$149</f>
        <v>0</v>
      </c>
      <c r="AG24" s="244">
        <f>SUMIF(MAI!$V$6:$V$144,"COCO",MAI!$AE$6:$AE$144)</f>
        <v>0</v>
      </c>
      <c r="AH24" s="244">
        <f>SUMIF(MAI!$V$6:$V$144,"EMBALAGES",MAI!$AE$6:$AE$144)</f>
        <v>0</v>
      </c>
      <c r="AI24" s="189">
        <f>SUMIF(MAI!$V$6:$V$144,"LIVRAISON",MAI!$AE$6:$AE$144)</f>
        <v>0</v>
      </c>
      <c r="AJ24" s="189">
        <f>SUMIF(MAI!$V$6:$V$144,"FRAIS FIXE",MAI!$AE$6:$AE$144)</f>
        <v>0</v>
      </c>
      <c r="AK24" s="244">
        <f>SUMIF(MAI!$V$6:$V$144,"DIVERS",MAI!$AE$6:$AE$144)+SUMIF(MAI!$V$6:$V$144,"PAPETERIE",MAI!$AE$6:$AE$144)</f>
        <v>0</v>
      </c>
      <c r="AL24" s="244">
        <f>SUMIF(MAI!$V$6:$V$144,"EXTRA",MAI!$AE$6:$AE$144)</f>
        <v>0</v>
      </c>
      <c r="AM24" s="244">
        <f>SUMIF(MAI!$V$6:$V$144,"ENTRETIEN",MAI!$AE$6:$AE$144)</f>
        <v>0</v>
      </c>
      <c r="AN24" s="244">
        <f>SUMIF(MAI!$V$6:$V$144,"EXPO",MAI!$AE$6:$AE$144)</f>
        <v>0</v>
      </c>
      <c r="AO24" s="354"/>
    </row>
    <row r="25" spans="1:41" ht="15.75" customHeight="1" thickBot="1" x14ac:dyDescent="0.35">
      <c r="O25" s="327" t="s">
        <v>74</v>
      </c>
      <c r="P25" s="335" t="e">
        <f>[0]!IN</f>
        <v>#REF!</v>
      </c>
      <c r="Q25" s="337" t="e">
        <f>[0]!CN</f>
        <v>#REF!</v>
      </c>
      <c r="R25" s="332" t="e">
        <f>SUMIF(#REF!,"COCO",#REF!)</f>
        <v>#REF!</v>
      </c>
      <c r="S25" s="302" t="e">
        <f>SUMIF(#REF!,"EMBALAGES",#REF!)</f>
        <v>#REF!</v>
      </c>
      <c r="T25" s="330" t="e">
        <f>SUMIF(#REF!,"LIVRAISON",#REF!)</f>
        <v>#REF!</v>
      </c>
      <c r="U25" s="302" t="e">
        <f>SUMIF(#REF!,"FRAIS FIXE",#REF!)</f>
        <v>#REF!</v>
      </c>
      <c r="V25" s="302" t="e">
        <f>SUMIF(#REF!,"DIVERS ",#REF!)+SUMIF(#REF!,"PAPETERIE",#REF!)</f>
        <v>#REF!</v>
      </c>
      <c r="W25" s="302" t="e">
        <f>SUMIF(#REF!,"EXTRA ",#REF!)</f>
        <v>#REF!</v>
      </c>
      <c r="X25" s="219"/>
      <c r="Y25" s="302" t="e">
        <f>[0]!VN</f>
        <v>#REF!</v>
      </c>
      <c r="Z25" s="335" t="e">
        <f>P25+Q25</f>
        <v>#REF!</v>
      </c>
      <c r="AA25" s="298" t="e">
        <f>Y25-Z25</f>
        <v>#REF!</v>
      </c>
      <c r="AB25" s="363"/>
      <c r="AC25" s="343" t="s">
        <v>69</v>
      </c>
      <c r="AD25" s="17">
        <v>0</v>
      </c>
      <c r="AE25" s="241" t="e">
        <f>#REF!</f>
        <v>#REF!</v>
      </c>
      <c r="AF25" s="186"/>
      <c r="AG25" s="208" t="e">
        <f>SUMIF(#REF!,"COCO",#REF!)</f>
        <v>#REF!</v>
      </c>
      <c r="AH25" s="208" t="e">
        <f>SUMIF(#REF!,"EMBALAGES",#REF!)</f>
        <v>#REF!</v>
      </c>
      <c r="AI25" s="208" t="e">
        <f>SUMIF(#REF!,"LIVRAISON",#REF!)</f>
        <v>#REF!</v>
      </c>
      <c r="AJ25" s="208" t="e">
        <f>SUMIF(#REF!,"FRAIS FIXE",#REF!)</f>
        <v>#REF!</v>
      </c>
      <c r="AK25" s="208" t="e">
        <f>SUMIF(#REF!,"DIVERS",#REF!)+SUMIF(#REF!,"PAPETERIE",#REF!)</f>
        <v>#REF!</v>
      </c>
      <c r="AL25" s="208" t="e">
        <f>SUMIF(#REF!,"EXTRA",#REF!)</f>
        <v>#REF!</v>
      </c>
      <c r="AM25" s="208" t="e">
        <f>SUMIF(#REF!,"ENTRETIEN",#REF!)</f>
        <v>#REF!</v>
      </c>
      <c r="AN25" s="208" t="e">
        <f>SUMIF(#REF!,"EXPO",#REF!)</f>
        <v>#REF!</v>
      </c>
      <c r="AO25" s="352" t="e">
        <f>#REF!</f>
        <v>#REF!</v>
      </c>
    </row>
    <row r="26" spans="1:41" ht="15.75" customHeight="1" thickBot="1" x14ac:dyDescent="0.35">
      <c r="O26" s="327"/>
      <c r="P26" s="336"/>
      <c r="Q26" s="338"/>
      <c r="R26" s="332"/>
      <c r="S26" s="302"/>
      <c r="T26" s="330"/>
      <c r="U26" s="302"/>
      <c r="V26" s="302"/>
      <c r="W26" s="302"/>
      <c r="X26" s="219"/>
      <c r="Y26" s="302"/>
      <c r="Z26" s="336"/>
      <c r="AA26" s="304"/>
      <c r="AB26" s="363"/>
      <c r="AC26" s="343"/>
      <c r="AD26" s="17">
        <v>5</v>
      </c>
      <c r="AE26" s="242" t="e">
        <f>#REF!</f>
        <v>#REF!</v>
      </c>
      <c r="AF26" s="187" t="e">
        <f>#REF!</f>
        <v>#REF!</v>
      </c>
      <c r="AG26" s="187" t="e">
        <f>SUMIF(#REF!,"COCO",#REF!)</f>
        <v>#REF!</v>
      </c>
      <c r="AH26" s="187" t="e">
        <f>SUMIF(#REF!,"EMBALAGES",#REF!)</f>
        <v>#REF!</v>
      </c>
      <c r="AI26" s="188" t="e">
        <f>SUMIF(#REF!,"LIVRAISON",#REF!)</f>
        <v>#REF!</v>
      </c>
      <c r="AJ26" s="188" t="e">
        <f>SUMIF(#REF!,"FRAIS FIXE",#REF!)</f>
        <v>#REF!</v>
      </c>
      <c r="AK26" s="187" t="e">
        <f>SUMIF(#REF!,"DIVERS",#REF!)+SUMIF(#REF!,"PAPETERIE",#REF!)</f>
        <v>#REF!</v>
      </c>
      <c r="AL26" s="202" t="e">
        <f>SUMIF(#REF!,"EXTRA",#REF!)</f>
        <v>#REF!</v>
      </c>
      <c r="AM26" s="202" t="e">
        <f>SUMIF(#REF!,"ENTRETIEN",#REF!)</f>
        <v>#REF!</v>
      </c>
      <c r="AN26" s="202" t="e">
        <f>SUMIF(#REF!,"EXPO",#REF!)</f>
        <v>#REF!</v>
      </c>
      <c r="AO26" s="353"/>
    </row>
    <row r="27" spans="1:41" ht="15.75" customHeight="1" thickBot="1" x14ac:dyDescent="0.35">
      <c r="O27" s="327" t="s">
        <v>75</v>
      </c>
      <c r="P27" s="302" t="e">
        <f>[0]!ID</f>
        <v>#REF!</v>
      </c>
      <c r="Q27" s="330" t="e">
        <f>[0]!CD</f>
        <v>#REF!</v>
      </c>
      <c r="R27" s="332" t="e">
        <f>SUMIF(#REF!,"COCO",#REF!)</f>
        <v>#REF!</v>
      </c>
      <c r="S27" s="302" t="e">
        <f>SUMIF(#REF!,"EMBALAGES",#REF!)</f>
        <v>#REF!</v>
      </c>
      <c r="T27" s="330" t="e">
        <f>SUMIF(#REF!,"LIVRAISON",#REF!)</f>
        <v>#REF!</v>
      </c>
      <c r="U27" s="302" t="e">
        <f>SUMIF(#REF!,"FRAIS FIXE",#REF!)</f>
        <v>#REF!</v>
      </c>
      <c r="V27" s="302" t="e">
        <f>SUMIF(#REF!,"DIVERS ",#REF!)+SUMIF(#REF!,"PAPETERIE",#REF!)</f>
        <v>#REF!</v>
      </c>
      <c r="W27" s="302" t="e">
        <f>SUMIF(#REF!,"EXTRA ",#REF!)</f>
        <v>#REF!</v>
      </c>
      <c r="X27" s="219"/>
      <c r="Y27" s="302" t="e">
        <f>[0]!VD</f>
        <v>#REF!</v>
      </c>
      <c r="Z27" s="335" t="e">
        <f>P27+Q27</f>
        <v>#REF!</v>
      </c>
      <c r="AA27" s="298" t="e">
        <f>Y27-Z27</f>
        <v>#REF!</v>
      </c>
      <c r="AB27" s="363"/>
      <c r="AC27" s="343"/>
      <c r="AD27" s="17">
        <v>13</v>
      </c>
      <c r="AE27" s="242" t="e">
        <f>#REF!</f>
        <v>#REF!</v>
      </c>
      <c r="AF27" s="188" t="e">
        <f>#REF!</f>
        <v>#REF!</v>
      </c>
      <c r="AG27" s="187" t="e">
        <f>SUMIF(#REF!,"COCO",#REF!)</f>
        <v>#REF!</v>
      </c>
      <c r="AH27" s="187" t="e">
        <f>SUMIF(#REF!,"EMBALAGES",#REF!)</f>
        <v>#REF!</v>
      </c>
      <c r="AI27" s="188" t="e">
        <f>SUMIF(#REF!,"LIVRAISON",#REF!)</f>
        <v>#REF!</v>
      </c>
      <c r="AJ27" s="188" t="e">
        <f>SUMIF(#REF!,"FRAIS FIXE",#REF!)</f>
        <v>#REF!</v>
      </c>
      <c r="AK27" s="187" t="e">
        <f>SUMIF(#REF!,"DIVERS",#REF!)+SUMIF(#REF!,"PAPETERIE",#REF!)</f>
        <v>#REF!</v>
      </c>
      <c r="AL27" s="187" t="e">
        <f>SUMIF(#REF!,"EXTRA",#REF!)</f>
        <v>#REF!</v>
      </c>
      <c r="AM27" s="187" t="e">
        <f>SUMIF(#REF!,"ENTRTIEN",#REF!)</f>
        <v>#REF!</v>
      </c>
      <c r="AN27" s="187" t="e">
        <f>SUMIF(#REF!,"EXPO",#REF!)</f>
        <v>#REF!</v>
      </c>
      <c r="AO27" s="353"/>
    </row>
    <row r="28" spans="1:41" ht="15.75" customHeight="1" thickBot="1" x14ac:dyDescent="0.35">
      <c r="O28" s="328"/>
      <c r="P28" s="329"/>
      <c r="Q28" s="331"/>
      <c r="R28" s="333"/>
      <c r="S28" s="303"/>
      <c r="T28" s="334"/>
      <c r="U28" s="303"/>
      <c r="V28" s="303"/>
      <c r="W28" s="303"/>
      <c r="X28" s="221"/>
      <c r="Y28" s="303"/>
      <c r="Z28" s="329"/>
      <c r="AA28" s="299"/>
      <c r="AB28" s="363"/>
      <c r="AC28" s="366"/>
      <c r="AD28" s="18">
        <v>16</v>
      </c>
      <c r="AE28" s="243" t="e">
        <f>#REF!</f>
        <v>#REF!</v>
      </c>
      <c r="AF28" s="189" t="e">
        <f>#REF!</f>
        <v>#REF!</v>
      </c>
      <c r="AG28" s="244" t="e">
        <f>SUMIF(#REF!,"COCO",#REF!)</f>
        <v>#REF!</v>
      </c>
      <c r="AH28" s="244" t="e">
        <f>SUMIF(#REF!,"EMBALAGES",#REF!)</f>
        <v>#REF!</v>
      </c>
      <c r="AI28" s="189" t="e">
        <f>SUMIF(#REF!,"LIVRAISON",#REF!)</f>
        <v>#REF!</v>
      </c>
      <c r="AJ28" s="189" t="e">
        <f>SUMIF(#REF!,"FRAIS FIXE",#REF!)</f>
        <v>#REF!</v>
      </c>
      <c r="AK28" s="244" t="e">
        <f>SUMIF(#REF!,"DIVERS",#REF!)+SUMIF(#REF!,"PAPETERIE",#REF!)</f>
        <v>#REF!</v>
      </c>
      <c r="AL28" s="244" t="e">
        <f>SUMIF(#REF!,"EXTRA",#REF!)</f>
        <v>#REF!</v>
      </c>
      <c r="AM28" s="244" t="e">
        <f>SUMIF(#REF!,"ENTRETIEN",#REF!)</f>
        <v>#REF!</v>
      </c>
      <c r="AN28" s="244" t="e">
        <f>SUMIF(#REF!,"EXPO",#REF!)</f>
        <v>#REF!</v>
      </c>
      <c r="AO28" s="354"/>
    </row>
    <row r="29" spans="1:41" ht="16.5" customHeight="1" thickTop="1" thickBot="1" x14ac:dyDescent="0.35">
      <c r="A29" s="169"/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O29" s="311" t="s">
        <v>124</v>
      </c>
      <c r="P29" s="322">
        <f>P5+P7+P9</f>
        <v>0</v>
      </c>
      <c r="Q29" s="322">
        <f t="shared" ref="Q29:AA29" si="0">Q5+Q7+Q9</f>
        <v>0</v>
      </c>
      <c r="R29" s="324">
        <f t="shared" si="0"/>
        <v>0</v>
      </c>
      <c r="S29" s="324">
        <f t="shared" si="0"/>
        <v>0</v>
      </c>
      <c r="T29" s="325">
        <f t="shared" si="0"/>
        <v>0</v>
      </c>
      <c r="U29" s="325">
        <f t="shared" si="0"/>
        <v>0</v>
      </c>
      <c r="V29" s="324">
        <f t="shared" si="0"/>
        <v>0</v>
      </c>
      <c r="W29" s="324">
        <f t="shared" ref="W29:X29" si="1">W5+W7+W9</f>
        <v>0</v>
      </c>
      <c r="X29" s="324">
        <f t="shared" si="1"/>
        <v>0</v>
      </c>
      <c r="Y29" s="322">
        <f t="shared" si="0"/>
        <v>0</v>
      </c>
      <c r="Z29" s="322">
        <f>Z5+Z7+Z9</f>
        <v>0</v>
      </c>
      <c r="AA29" s="300">
        <f t="shared" si="0"/>
        <v>0</v>
      </c>
      <c r="AB29" s="357" t="s">
        <v>135</v>
      </c>
      <c r="AC29" s="357"/>
      <c r="AD29" s="20">
        <v>0</v>
      </c>
      <c r="AE29" s="31" t="e">
        <f>AE5+AE9+AE13</f>
        <v>#REF!</v>
      </c>
      <c r="AF29" s="204"/>
      <c r="AG29" s="204">
        <f t="shared" ref="AF29:AK30" si="2">AG5+AG9+AG13</f>
        <v>0</v>
      </c>
      <c r="AH29" s="204">
        <f t="shared" si="2"/>
        <v>0</v>
      </c>
      <c r="AI29" s="204">
        <f t="shared" si="2"/>
        <v>0</v>
      </c>
      <c r="AJ29" s="204">
        <f t="shared" si="2"/>
        <v>0</v>
      </c>
      <c r="AK29" s="204">
        <f t="shared" si="2"/>
        <v>0</v>
      </c>
      <c r="AL29" s="204">
        <f t="shared" ref="AL29:AN29" si="3">AL5+AL9+AL13</f>
        <v>0</v>
      </c>
      <c r="AM29" s="204">
        <f t="shared" si="3"/>
        <v>0</v>
      </c>
      <c r="AN29" s="204">
        <f t="shared" si="3"/>
        <v>0</v>
      </c>
      <c r="AO29" s="358">
        <f>AO5+AO9+AO13</f>
        <v>0</v>
      </c>
    </row>
    <row r="30" spans="1:41" ht="15.75" customHeight="1" thickTop="1" thickBot="1" x14ac:dyDescent="0.35">
      <c r="A30" s="169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O30" s="311"/>
      <c r="P30" s="323"/>
      <c r="Q30" s="323"/>
      <c r="R30" s="323"/>
      <c r="S30" s="323"/>
      <c r="T30" s="326"/>
      <c r="U30" s="326"/>
      <c r="V30" s="323"/>
      <c r="W30" s="323"/>
      <c r="X30" s="323"/>
      <c r="Y30" s="323"/>
      <c r="Z30" s="323"/>
      <c r="AA30" s="301"/>
      <c r="AB30" s="339"/>
      <c r="AC30" s="339"/>
      <c r="AD30" s="17">
        <v>5</v>
      </c>
      <c r="AE30" s="23" t="e">
        <f>AE6+AE10+AE14</f>
        <v>#REF!</v>
      </c>
      <c r="AF30" s="137">
        <f t="shared" si="2"/>
        <v>0</v>
      </c>
      <c r="AG30" s="137">
        <f t="shared" si="2"/>
        <v>0</v>
      </c>
      <c r="AH30" s="137">
        <f t="shared" si="2"/>
        <v>0</v>
      </c>
      <c r="AI30" s="137">
        <f t="shared" si="2"/>
        <v>0</v>
      </c>
      <c r="AJ30" s="137">
        <f t="shared" si="2"/>
        <v>0</v>
      </c>
      <c r="AK30" s="137">
        <f t="shared" si="2"/>
        <v>0</v>
      </c>
      <c r="AL30" s="204">
        <f t="shared" ref="AL30:AN30" si="4">AL6+AL10+AL14</f>
        <v>0</v>
      </c>
      <c r="AM30" s="204">
        <f t="shared" si="4"/>
        <v>0</v>
      </c>
      <c r="AN30" s="204">
        <f t="shared" si="4"/>
        <v>0</v>
      </c>
      <c r="AO30" s="341"/>
    </row>
    <row r="31" spans="1:41" ht="15.75" customHeight="1" thickTop="1" thickBot="1" x14ac:dyDescent="0.35">
      <c r="A31" s="169"/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O31" s="311" t="s">
        <v>125</v>
      </c>
      <c r="P31" s="313" t="e">
        <f>P11+P13+P15</f>
        <v>#REF!</v>
      </c>
      <c r="Q31" s="313" t="e">
        <f t="shared" ref="Q31:AA31" si="5">Q11+Q13+Q15</f>
        <v>#REF!</v>
      </c>
      <c r="R31" s="313" t="e">
        <f t="shared" si="5"/>
        <v>#REF!</v>
      </c>
      <c r="S31" s="313" t="e">
        <f t="shared" si="5"/>
        <v>#REF!</v>
      </c>
      <c r="T31" s="320" t="e">
        <f t="shared" si="5"/>
        <v>#REF!</v>
      </c>
      <c r="U31" s="313" t="e">
        <f t="shared" si="5"/>
        <v>#REF!</v>
      </c>
      <c r="V31" s="313" t="e">
        <f t="shared" si="5"/>
        <v>#REF!</v>
      </c>
      <c r="W31" s="313" t="e">
        <f t="shared" ref="W31:X31" si="6">W11+W13+W15</f>
        <v>#REF!</v>
      </c>
      <c r="X31" s="313">
        <f t="shared" si="6"/>
        <v>0</v>
      </c>
      <c r="Y31" s="313" t="e">
        <f t="shared" si="5"/>
        <v>#REF!</v>
      </c>
      <c r="Z31" s="313" t="e">
        <f>Z11+Z13+Z15</f>
        <v>#REF!</v>
      </c>
      <c r="AA31" s="315" t="e">
        <f t="shared" si="5"/>
        <v>#REF!</v>
      </c>
      <c r="AB31" s="339"/>
      <c r="AC31" s="339"/>
      <c r="AD31" s="17">
        <v>13</v>
      </c>
      <c r="AE31" s="23" t="e">
        <f>AE7+AE11+AE15</f>
        <v>#REF!</v>
      </c>
      <c r="AF31" s="137">
        <f t="shared" ref="AF31:AK31" si="7">AF7+AF11+AF15</f>
        <v>0</v>
      </c>
      <c r="AG31" s="137">
        <f t="shared" si="7"/>
        <v>0</v>
      </c>
      <c r="AH31" s="137">
        <f t="shared" si="7"/>
        <v>0</v>
      </c>
      <c r="AI31" s="137">
        <f t="shared" si="7"/>
        <v>0</v>
      </c>
      <c r="AJ31" s="137">
        <f t="shared" si="7"/>
        <v>0</v>
      </c>
      <c r="AK31" s="137">
        <f t="shared" si="7"/>
        <v>0</v>
      </c>
      <c r="AL31" s="204">
        <f t="shared" ref="AL31:AN31" si="8">AL7+AL11+AL15</f>
        <v>0</v>
      </c>
      <c r="AM31" s="204">
        <f t="shared" si="8"/>
        <v>0</v>
      </c>
      <c r="AN31" s="204">
        <f t="shared" si="8"/>
        <v>0</v>
      </c>
      <c r="AO31" s="341"/>
    </row>
    <row r="32" spans="1:41" ht="15.75" customHeight="1" thickTop="1" thickBot="1" x14ac:dyDescent="0.35">
      <c r="A32" s="169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O32" s="311"/>
      <c r="P32" s="313"/>
      <c r="Q32" s="314"/>
      <c r="R32" s="314"/>
      <c r="S32" s="314"/>
      <c r="T32" s="321"/>
      <c r="U32" s="314"/>
      <c r="V32" s="314"/>
      <c r="W32" s="314"/>
      <c r="X32" s="314"/>
      <c r="Y32" s="314"/>
      <c r="Z32" s="314"/>
      <c r="AA32" s="316"/>
      <c r="AB32" s="339"/>
      <c r="AC32" s="339"/>
      <c r="AD32" s="17">
        <v>16</v>
      </c>
      <c r="AE32" s="26" t="e">
        <f>AE8+AE12+AE16</f>
        <v>#REF!</v>
      </c>
      <c r="AF32" s="140">
        <f t="shared" ref="AF32:AK32" si="9">AF8+AF12+AF16</f>
        <v>0</v>
      </c>
      <c r="AG32" s="140">
        <f t="shared" si="9"/>
        <v>0</v>
      </c>
      <c r="AH32" s="140">
        <f t="shared" si="9"/>
        <v>0</v>
      </c>
      <c r="AI32" s="140">
        <f t="shared" si="9"/>
        <v>0</v>
      </c>
      <c r="AJ32" s="140">
        <f t="shared" si="9"/>
        <v>0</v>
      </c>
      <c r="AK32" s="140">
        <f t="shared" si="9"/>
        <v>0</v>
      </c>
      <c r="AL32" s="205">
        <f t="shared" ref="AL32:AN32" si="10">AL8+AL12+AL16</f>
        <v>0</v>
      </c>
      <c r="AM32" s="205">
        <f t="shared" si="10"/>
        <v>0</v>
      </c>
      <c r="AN32" s="205">
        <f t="shared" si="10"/>
        <v>0</v>
      </c>
      <c r="AO32" s="342"/>
    </row>
    <row r="33" spans="1:41" ht="15.75" customHeight="1" thickTop="1" thickBot="1" x14ac:dyDescent="0.35">
      <c r="A33" s="169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O33" s="311" t="s">
        <v>126</v>
      </c>
      <c r="P33" s="313" t="e">
        <f>P17+P19+P21</f>
        <v>#REF!</v>
      </c>
      <c r="Q33" s="313" t="e">
        <f t="shared" ref="Q33:AA33" si="11">Q17+Q19+Q21</f>
        <v>#REF!</v>
      </c>
      <c r="R33" s="313" t="e">
        <f t="shared" si="11"/>
        <v>#REF!</v>
      </c>
      <c r="S33" s="313" t="e">
        <f t="shared" si="11"/>
        <v>#REF!</v>
      </c>
      <c r="T33" s="320" t="e">
        <f t="shared" si="11"/>
        <v>#REF!</v>
      </c>
      <c r="U33" s="313" t="e">
        <f t="shared" si="11"/>
        <v>#REF!</v>
      </c>
      <c r="V33" s="313" t="e">
        <f t="shared" si="11"/>
        <v>#REF!</v>
      </c>
      <c r="W33" s="313" t="e">
        <f t="shared" ref="W33:X33" si="12">W17+W19+W21</f>
        <v>#REF!</v>
      </c>
      <c r="X33" s="313">
        <f t="shared" si="12"/>
        <v>0</v>
      </c>
      <c r="Y33" s="313" t="e">
        <f t="shared" si="11"/>
        <v>#REF!</v>
      </c>
      <c r="Z33" s="313" t="e">
        <f>Z17+Z19+Z21</f>
        <v>#REF!</v>
      </c>
      <c r="AA33" s="315" t="e">
        <f t="shared" si="11"/>
        <v>#REF!</v>
      </c>
      <c r="AB33" s="339" t="s">
        <v>136</v>
      </c>
      <c r="AC33" s="339"/>
      <c r="AD33" s="17">
        <v>0</v>
      </c>
      <c r="AE33" s="30" t="e">
        <f>AE17+AE21+AE25</f>
        <v>#REF!</v>
      </c>
      <c r="AF33" s="141">
        <f t="shared" ref="AF33:AK33" si="13">AF17+AF21+AF25</f>
        <v>0</v>
      </c>
      <c r="AG33" s="141" t="e">
        <f t="shared" si="13"/>
        <v>#REF!</v>
      </c>
      <c r="AH33" s="141" t="e">
        <f t="shared" si="13"/>
        <v>#REF!</v>
      </c>
      <c r="AI33" s="141" t="e">
        <f t="shared" si="13"/>
        <v>#REF!</v>
      </c>
      <c r="AJ33" s="141" t="e">
        <f t="shared" si="13"/>
        <v>#REF!</v>
      </c>
      <c r="AK33" s="141" t="e">
        <f t="shared" si="13"/>
        <v>#REF!</v>
      </c>
      <c r="AL33" s="206" t="e">
        <f t="shared" ref="AL33:AN33" si="14">AL17+AL21+AL25</f>
        <v>#REF!</v>
      </c>
      <c r="AM33" s="206" t="e">
        <f t="shared" si="14"/>
        <v>#REF!</v>
      </c>
      <c r="AN33" s="206" t="e">
        <f t="shared" si="14"/>
        <v>#REF!</v>
      </c>
      <c r="AO33" s="344" t="e">
        <f>AO17+AO21+AO25</f>
        <v>#REF!</v>
      </c>
    </row>
    <row r="34" spans="1:41" ht="15.75" customHeight="1" thickTop="1" thickBot="1" x14ac:dyDescent="0.35">
      <c r="A34" s="169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O34" s="311"/>
      <c r="P34" s="313"/>
      <c r="Q34" s="314"/>
      <c r="R34" s="314"/>
      <c r="S34" s="314"/>
      <c r="T34" s="321"/>
      <c r="U34" s="314"/>
      <c r="V34" s="314"/>
      <c r="W34" s="314"/>
      <c r="X34" s="314"/>
      <c r="Y34" s="314"/>
      <c r="Z34" s="314"/>
      <c r="AA34" s="316"/>
      <c r="AB34" s="339"/>
      <c r="AC34" s="339"/>
      <c r="AD34" s="17">
        <v>5</v>
      </c>
      <c r="AE34" s="28" t="e">
        <f>AE18+AE22+AE26</f>
        <v>#REF!</v>
      </c>
      <c r="AF34" s="137" t="e">
        <f t="shared" ref="AF34:AK34" si="15">AF18+AF22+AF26</f>
        <v>#REF!</v>
      </c>
      <c r="AG34" s="137" t="e">
        <f t="shared" si="15"/>
        <v>#REF!</v>
      </c>
      <c r="AH34" s="137" t="e">
        <f t="shared" si="15"/>
        <v>#REF!</v>
      </c>
      <c r="AI34" s="137" t="e">
        <f t="shared" si="15"/>
        <v>#REF!</v>
      </c>
      <c r="AJ34" s="137" t="e">
        <f t="shared" si="15"/>
        <v>#REF!</v>
      </c>
      <c r="AK34" s="137" t="e">
        <f t="shared" si="15"/>
        <v>#REF!</v>
      </c>
      <c r="AL34" s="204" t="e">
        <f t="shared" ref="AL34:AN34" si="16">AL18+AL22+AL26</f>
        <v>#REF!</v>
      </c>
      <c r="AM34" s="204" t="e">
        <f t="shared" si="16"/>
        <v>#REF!</v>
      </c>
      <c r="AN34" s="204" t="e">
        <f t="shared" si="16"/>
        <v>#REF!</v>
      </c>
      <c r="AO34" s="341"/>
    </row>
    <row r="35" spans="1:41" ht="15.75" customHeight="1" thickTop="1" thickBot="1" x14ac:dyDescent="0.35">
      <c r="A35" s="169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O35" s="311" t="s">
        <v>128</v>
      </c>
      <c r="P35" s="313" t="e">
        <f>P23+P25+P27</f>
        <v>#REF!</v>
      </c>
      <c r="Q35" s="313" t="e">
        <f t="shared" ref="Q35:AA35" si="17">Q23+Q25+Q27</f>
        <v>#REF!</v>
      </c>
      <c r="R35" s="313" t="e">
        <f t="shared" si="17"/>
        <v>#REF!</v>
      </c>
      <c r="S35" s="313" t="e">
        <f t="shared" si="17"/>
        <v>#REF!</v>
      </c>
      <c r="T35" s="320" t="e">
        <f t="shared" si="17"/>
        <v>#REF!</v>
      </c>
      <c r="U35" s="313" t="e">
        <f t="shared" si="17"/>
        <v>#REF!</v>
      </c>
      <c r="V35" s="313" t="e">
        <f t="shared" si="17"/>
        <v>#REF!</v>
      </c>
      <c r="W35" s="313" t="e">
        <f t="shared" ref="W35:X35" si="18">W23+W25+W27</f>
        <v>#REF!</v>
      </c>
      <c r="X35" s="313">
        <f t="shared" si="18"/>
        <v>0</v>
      </c>
      <c r="Y35" s="313" t="e">
        <f t="shared" si="17"/>
        <v>#REF!</v>
      </c>
      <c r="Z35" s="313" t="e">
        <f>Z23+Z25+Z27</f>
        <v>#REF!</v>
      </c>
      <c r="AA35" s="315" t="e">
        <f t="shared" si="17"/>
        <v>#REF!</v>
      </c>
      <c r="AB35" s="339"/>
      <c r="AC35" s="339"/>
      <c r="AD35" s="17">
        <v>13</v>
      </c>
      <c r="AE35" s="28" t="e">
        <f>AE19+AE23+AE27</f>
        <v>#REF!</v>
      </c>
      <c r="AF35" s="137" t="e">
        <f t="shared" ref="AF35:AK35" si="19">AF19+AF23+AF27</f>
        <v>#REF!</v>
      </c>
      <c r="AG35" s="137" t="e">
        <f t="shared" si="19"/>
        <v>#REF!</v>
      </c>
      <c r="AH35" s="137" t="e">
        <f t="shared" si="19"/>
        <v>#REF!</v>
      </c>
      <c r="AI35" s="137" t="e">
        <f t="shared" si="19"/>
        <v>#REF!</v>
      </c>
      <c r="AJ35" s="137" t="e">
        <f t="shared" si="19"/>
        <v>#REF!</v>
      </c>
      <c r="AK35" s="137" t="e">
        <f t="shared" si="19"/>
        <v>#REF!</v>
      </c>
      <c r="AL35" s="204" t="e">
        <f t="shared" ref="AL35:AN35" si="20">AL19+AL23+AL27</f>
        <v>#REF!</v>
      </c>
      <c r="AM35" s="204" t="e">
        <f t="shared" si="20"/>
        <v>#REF!</v>
      </c>
      <c r="AN35" s="204" t="e">
        <f t="shared" si="20"/>
        <v>#REF!</v>
      </c>
      <c r="AO35" s="341"/>
    </row>
    <row r="36" spans="1:41" ht="15.75" customHeight="1" thickTop="1" thickBot="1" x14ac:dyDescent="0.35">
      <c r="A36" s="169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O36" s="311"/>
      <c r="P36" s="313"/>
      <c r="Q36" s="314"/>
      <c r="R36" s="314"/>
      <c r="S36" s="314"/>
      <c r="T36" s="321"/>
      <c r="U36" s="314"/>
      <c r="V36" s="314"/>
      <c r="W36" s="314"/>
      <c r="X36" s="314"/>
      <c r="Y36" s="314"/>
      <c r="Z36" s="314"/>
      <c r="AA36" s="316"/>
      <c r="AB36" s="339"/>
      <c r="AC36" s="339"/>
      <c r="AD36" s="17">
        <v>16</v>
      </c>
      <c r="AE36" s="29" t="e">
        <f>AE20+AE24+AE28</f>
        <v>#REF!</v>
      </c>
      <c r="AF36" s="142" t="e">
        <f t="shared" ref="AF36:AK36" si="21">AF20+AF24+AF28</f>
        <v>#REF!</v>
      </c>
      <c r="AG36" s="142" t="e">
        <f t="shared" si="21"/>
        <v>#REF!</v>
      </c>
      <c r="AH36" s="142" t="e">
        <f t="shared" si="21"/>
        <v>#REF!</v>
      </c>
      <c r="AI36" s="142" t="e">
        <f t="shared" si="21"/>
        <v>#REF!</v>
      </c>
      <c r="AJ36" s="142" t="e">
        <f t="shared" si="21"/>
        <v>#REF!</v>
      </c>
      <c r="AK36" s="142" t="e">
        <f t="shared" si="21"/>
        <v>#REF!</v>
      </c>
      <c r="AL36" s="207" t="e">
        <f t="shared" ref="AL36:AN36" si="22">AL20+AL24+AL28</f>
        <v>#REF!</v>
      </c>
      <c r="AM36" s="207" t="e">
        <f t="shared" si="22"/>
        <v>#REF!</v>
      </c>
      <c r="AN36" s="207" t="e">
        <f t="shared" si="22"/>
        <v>#REF!</v>
      </c>
      <c r="AO36" s="345"/>
    </row>
    <row r="37" spans="1:41" ht="15.75" customHeight="1" thickTop="1" thickBot="1" x14ac:dyDescent="0.35">
      <c r="A37" s="169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O37" s="311" t="s">
        <v>127</v>
      </c>
      <c r="P37" s="313" t="e">
        <f>SUM(#REF!)</f>
        <v>#REF!</v>
      </c>
      <c r="Q37" s="313" t="e">
        <f>SUM(Q29:Q36)</f>
        <v>#REF!</v>
      </c>
      <c r="R37" s="313" t="e">
        <f>SUM(R29:R36)</f>
        <v>#REF!</v>
      </c>
      <c r="S37" s="313" t="e">
        <f t="shared" ref="S37:AA37" si="23">SUM(S29:S36)</f>
        <v>#REF!</v>
      </c>
      <c r="T37" s="313" t="e">
        <f t="shared" si="23"/>
        <v>#REF!</v>
      </c>
      <c r="U37" s="313" t="e">
        <f t="shared" si="23"/>
        <v>#REF!</v>
      </c>
      <c r="V37" s="313" t="e">
        <f t="shared" si="23"/>
        <v>#REF!</v>
      </c>
      <c r="W37" s="313" t="e">
        <f t="shared" ref="W37:X37" si="24">SUM(W29:W36)</f>
        <v>#REF!</v>
      </c>
      <c r="X37" s="313">
        <f t="shared" si="24"/>
        <v>0</v>
      </c>
      <c r="Y37" s="313" t="e">
        <f t="shared" si="23"/>
        <v>#REF!</v>
      </c>
      <c r="Z37" s="313" t="e">
        <f>SUM(Z29:Z36)</f>
        <v>#REF!</v>
      </c>
      <c r="AA37" s="315" t="e">
        <f t="shared" si="23"/>
        <v>#REF!</v>
      </c>
      <c r="AB37" s="107"/>
      <c r="AC37" s="107"/>
      <c r="AD37" s="108"/>
      <c r="AE37" s="245"/>
      <c r="AF37" s="245"/>
      <c r="AG37" s="245"/>
      <c r="AH37" s="245"/>
      <c r="AI37" s="245"/>
      <c r="AJ37" s="245"/>
      <c r="AK37" s="245"/>
      <c r="AL37" s="245"/>
    </row>
    <row r="38" spans="1:41" ht="15.75" customHeight="1" thickTop="1" thickBot="1" x14ac:dyDescent="0.35">
      <c r="A38" s="169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O38" s="312"/>
      <c r="P38" s="317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9"/>
      <c r="AB38" s="15"/>
      <c r="AC38" s="15"/>
      <c r="AD38" s="19"/>
      <c r="AE38" s="15"/>
      <c r="AF38" s="15"/>
      <c r="AG38" s="15"/>
      <c r="AH38" s="15"/>
      <c r="AI38" s="16"/>
      <c r="AJ38" s="15"/>
      <c r="AK38" s="15"/>
      <c r="AL38" s="15"/>
    </row>
    <row r="39" spans="1:41" ht="15" thickBot="1" x14ac:dyDescent="0.35">
      <c r="AB39" s="351" t="s">
        <v>80</v>
      </c>
      <c r="AC39" s="343" t="s">
        <v>70</v>
      </c>
      <c r="AD39" s="17">
        <v>0</v>
      </c>
      <c r="AE39" s="241" t="e">
        <f>#REF!</f>
        <v>#REF!</v>
      </c>
      <c r="AF39" s="186"/>
      <c r="AG39" s="208" t="e">
        <f>SUMIF(#REF!,"COCO",#REF!)</f>
        <v>#REF!</v>
      </c>
      <c r="AH39" s="208" t="e">
        <f>SUMIF(#REF!,"EMBALAGES",#REF!)</f>
        <v>#REF!</v>
      </c>
      <c r="AI39" s="208" t="e">
        <f>SUMIF(#REF!,"LIVRAISON",#REF!)</f>
        <v>#REF!</v>
      </c>
      <c r="AJ39" s="208" t="e">
        <f>SUMIF(#REF!,"FRAIS FIXE",#REF!)</f>
        <v>#REF!</v>
      </c>
      <c r="AK39" s="208" t="e">
        <f>SUMIF(#REF!,"DIVERS",#REF!)+SUMIF(#REF!,"PAPETERIE",#REF!)</f>
        <v>#REF!</v>
      </c>
      <c r="AL39" s="208" t="e">
        <f>SUMIF(#REF!,"EXTRA",#REF!)</f>
        <v>#REF!</v>
      </c>
      <c r="AM39" s="208" t="e">
        <f>SUMIF(#REF!,"ENTRETIEN",#REF!)</f>
        <v>#REF!</v>
      </c>
      <c r="AN39" s="208" t="e">
        <f>SUMIF(#REF!,"EXPO",#REF!)</f>
        <v>#REF!</v>
      </c>
      <c r="AO39" s="352" t="e">
        <f>#REF!</f>
        <v>#REF!</v>
      </c>
    </row>
    <row r="40" spans="1:41" ht="15.75" customHeight="1" thickBot="1" x14ac:dyDescent="0.35">
      <c r="AB40" s="351"/>
      <c r="AC40" s="343"/>
      <c r="AD40" s="17">
        <v>5</v>
      </c>
      <c r="AE40" s="242" t="e">
        <f>#REF!</f>
        <v>#REF!</v>
      </c>
      <c r="AF40" s="187" t="e">
        <f>#REF!</f>
        <v>#REF!</v>
      </c>
      <c r="AG40" s="187" t="e">
        <f>SUMIF(#REF!,"COCO",#REF!)</f>
        <v>#REF!</v>
      </c>
      <c r="AH40" s="187" t="e">
        <f>SUMIF(#REF!,"EMBALAGES",#REF!)</f>
        <v>#REF!</v>
      </c>
      <c r="AI40" s="188" t="e">
        <f>SUMIF(#REF!,"LIVRAISON",#REF!)</f>
        <v>#REF!</v>
      </c>
      <c r="AJ40" s="188" t="e">
        <f>SUMIF(#REF!,"FRAIS FIXE",#REF!)</f>
        <v>#REF!</v>
      </c>
      <c r="AK40" s="187" t="e">
        <f>SUMIF(#REF!,"DIVERS",#REF!)+SUMIF(#REF!,"PAPETERIE",#REF!)</f>
        <v>#REF!</v>
      </c>
      <c r="AL40" s="202" t="e">
        <f>SUMIF(#REF!,"EXTRA",#REF!)</f>
        <v>#REF!</v>
      </c>
      <c r="AM40" s="202" t="e">
        <f>SUMIF(#REF!,"ENTRETIEN",#REF!)</f>
        <v>#REF!</v>
      </c>
      <c r="AN40" s="202" t="e">
        <f>SUMIF(#REF!,"EXPO",#REF!)</f>
        <v>#REF!</v>
      </c>
      <c r="AO40" s="353"/>
    </row>
    <row r="41" spans="1:41" ht="15.75" customHeight="1" thickBot="1" x14ac:dyDescent="0.35">
      <c r="AB41" s="351"/>
      <c r="AC41" s="343"/>
      <c r="AD41" s="17">
        <v>13</v>
      </c>
      <c r="AE41" s="242" t="e">
        <f>#REF!</f>
        <v>#REF!</v>
      </c>
      <c r="AF41" s="188" t="e">
        <f>#REF!</f>
        <v>#REF!</v>
      </c>
      <c r="AG41" s="187" t="e">
        <f>SUMIF(#REF!,"COCO",#REF!)</f>
        <v>#REF!</v>
      </c>
      <c r="AH41" s="187" t="e">
        <f>SUMIF(#REF!,"EMBALAGES",#REF!)</f>
        <v>#REF!</v>
      </c>
      <c r="AI41" s="188" t="e">
        <f>SUMIF(#REF!,"LIVRAISON",#REF!)</f>
        <v>#REF!</v>
      </c>
      <c r="AJ41" s="188" t="e">
        <f>SUMIF(#REF!,"FRAIS FIXE",#REF!)</f>
        <v>#REF!</v>
      </c>
      <c r="AK41" s="187" t="e">
        <f>SUMIF(#REF!,"DIVERS",#REF!)+SUMIF(#REF!,"PAPETERIE",#REF!)</f>
        <v>#REF!</v>
      </c>
      <c r="AL41" s="187" t="e">
        <f>SUMIF(#REF!,"EXTRA",#REF!)</f>
        <v>#REF!</v>
      </c>
      <c r="AM41" s="187" t="e">
        <f>SUMIF(#REF!,"ENTRTIEN",#REF!)</f>
        <v>#REF!</v>
      </c>
      <c r="AN41" s="187" t="e">
        <f>SUMIF(#REF!,"EXPO",#REF!)</f>
        <v>#REF!</v>
      </c>
      <c r="AO41" s="353"/>
    </row>
    <row r="42" spans="1:41" ht="15.75" customHeight="1" thickBot="1" x14ac:dyDescent="0.35">
      <c r="AB42" s="351"/>
      <c r="AC42" s="343"/>
      <c r="AD42" s="17">
        <v>16</v>
      </c>
      <c r="AE42" s="243" t="e">
        <f>#REF!</f>
        <v>#REF!</v>
      </c>
      <c r="AF42" s="189" t="e">
        <f>#REF!</f>
        <v>#REF!</v>
      </c>
      <c r="AG42" s="244" t="e">
        <f>SUMIF(#REF!,"COCO",#REF!)</f>
        <v>#REF!</v>
      </c>
      <c r="AH42" s="244" t="e">
        <f>SUMIF(#REF!,"EMBALAGES",#REF!)</f>
        <v>#REF!</v>
      </c>
      <c r="AI42" s="189" t="e">
        <f>SUMIF(#REF!,"LIVRAISON",#REF!)</f>
        <v>#REF!</v>
      </c>
      <c r="AJ42" s="189" t="e">
        <f>SUMIF(#REF!,"FRAIS FIXE",#REF!)</f>
        <v>#REF!</v>
      </c>
      <c r="AK42" s="244" t="e">
        <f>SUMIF(#REF!,"DIVERS",#REF!)+SUMIF(#REF!,"PAPETERIE",#REF!)</f>
        <v>#REF!</v>
      </c>
      <c r="AL42" s="244" t="e">
        <f>SUMIF(#REF!,"EXTRA",#REF!)</f>
        <v>#REF!</v>
      </c>
      <c r="AM42" s="244" t="e">
        <f>SUMIF(#REF!,"ENTRETIEN",#REF!)</f>
        <v>#REF!</v>
      </c>
      <c r="AN42" s="244" t="e">
        <f>SUMIF(#REF!,"EXPO",#REF!)</f>
        <v>#REF!</v>
      </c>
      <c r="AO42" s="354"/>
    </row>
    <row r="43" spans="1:41" ht="15" thickBot="1" x14ac:dyDescent="0.35">
      <c r="AB43" s="351"/>
      <c r="AC43" s="343" t="s">
        <v>71</v>
      </c>
      <c r="AD43" s="17">
        <v>0</v>
      </c>
      <c r="AE43" s="241" t="e">
        <f>#REF!</f>
        <v>#REF!</v>
      </c>
      <c r="AF43" s="186"/>
      <c r="AG43" s="208" t="e">
        <f>SUMIF(#REF!,"COCO",#REF!)</f>
        <v>#REF!</v>
      </c>
      <c r="AH43" s="208" t="e">
        <f>SUMIF(#REF!,"EMBALAGES",#REF!)</f>
        <v>#REF!</v>
      </c>
      <c r="AI43" s="208" t="e">
        <f>SUMIF(#REF!,"LIVRAISON",#REF!)</f>
        <v>#REF!</v>
      </c>
      <c r="AJ43" s="208" t="e">
        <f>SUMIF(#REF!,"FRAIS FIXE",#REF!)</f>
        <v>#REF!</v>
      </c>
      <c r="AK43" s="208" t="e">
        <f>SUMIF(#REF!,"DIVERS",#REF!)+SUMIF(#REF!,"PAPETERIE",#REF!)</f>
        <v>#REF!</v>
      </c>
      <c r="AL43" s="208" t="e">
        <f>SUMIF(#REF!,"EXTRA",#REF!)</f>
        <v>#REF!</v>
      </c>
      <c r="AM43" s="208" t="e">
        <f>SUMIF(#REF!,"ENTRETIEN",#REF!)</f>
        <v>#REF!</v>
      </c>
      <c r="AN43" s="208" t="e">
        <f>SUMIF(#REF!,"EXPO",#REF!)</f>
        <v>#REF!</v>
      </c>
      <c r="AO43" s="352" t="e">
        <f>#REF!</f>
        <v>#REF!</v>
      </c>
    </row>
    <row r="44" spans="1:41" ht="15" thickBot="1" x14ac:dyDescent="0.35">
      <c r="AB44" s="351"/>
      <c r="AC44" s="343"/>
      <c r="AD44" s="17">
        <v>5</v>
      </c>
      <c r="AE44" s="242" t="e">
        <f>#REF!</f>
        <v>#REF!</v>
      </c>
      <c r="AF44" s="187" t="e">
        <f>#REF!</f>
        <v>#REF!</v>
      </c>
      <c r="AG44" s="187" t="e">
        <f>SUMIF(#REF!,"COCO",#REF!)</f>
        <v>#REF!</v>
      </c>
      <c r="AH44" s="187" t="e">
        <f>SUMIF(#REF!,"EMBALAGES",#REF!)</f>
        <v>#REF!</v>
      </c>
      <c r="AI44" s="188" t="e">
        <f>SUMIF(#REF!,"LIVRAISON",#REF!)</f>
        <v>#REF!</v>
      </c>
      <c r="AJ44" s="188" t="e">
        <f>SUMIF(#REF!,"FRAIS FIXE",#REF!)</f>
        <v>#REF!</v>
      </c>
      <c r="AK44" s="187" t="e">
        <f>SUMIF(#REF!,"DIVERS",#REF!)+SUMIF(#REF!,"PAPETERIE",#REF!)</f>
        <v>#REF!</v>
      </c>
      <c r="AL44" s="202" t="e">
        <f>SUMIF(#REF!,"EXTRA",#REF!)</f>
        <v>#REF!</v>
      </c>
      <c r="AM44" s="202" t="e">
        <f>SUMIF(#REF!,"ENTRETIEN",#REF!)</f>
        <v>#REF!</v>
      </c>
      <c r="AN44" s="202" t="e">
        <f>SUMIF(#REF!,"EXPO",#REF!)</f>
        <v>#REF!</v>
      </c>
      <c r="AO44" s="353"/>
    </row>
    <row r="45" spans="1:41" ht="15" thickBot="1" x14ac:dyDescent="0.35">
      <c r="AB45" s="351"/>
      <c r="AC45" s="343"/>
      <c r="AD45" s="17">
        <v>13</v>
      </c>
      <c r="AE45" s="242" t="e">
        <f>#REF!</f>
        <v>#REF!</v>
      </c>
      <c r="AF45" s="188" t="e">
        <f>#REF!</f>
        <v>#REF!</v>
      </c>
      <c r="AG45" s="187" t="e">
        <f>SUMIF(#REF!,"COCO",#REF!)</f>
        <v>#REF!</v>
      </c>
      <c r="AH45" s="187" t="e">
        <f>SUMIF(#REF!,"EMBALAGES",#REF!)</f>
        <v>#REF!</v>
      </c>
      <c r="AI45" s="188" t="e">
        <f>SUMIF(#REF!,"LIVRAISON",#REF!)</f>
        <v>#REF!</v>
      </c>
      <c r="AJ45" s="188" t="e">
        <f>SUMIF(#REF!,"FRAIS FIXE",#REF!)</f>
        <v>#REF!</v>
      </c>
      <c r="AK45" s="187" t="e">
        <f>SUMIF(#REF!,"DIVERS",#REF!)+SUMIF(#REF!,"PAPETERIE",#REF!)</f>
        <v>#REF!</v>
      </c>
      <c r="AL45" s="187" t="e">
        <f>SUMIF(#REF!,"EXTRA",#REF!)</f>
        <v>#REF!</v>
      </c>
      <c r="AM45" s="187" t="e">
        <f>SUMIF(#REF!,"ENTRTIEN",#REF!)</f>
        <v>#REF!</v>
      </c>
      <c r="AN45" s="187" t="e">
        <f>SUMIF(#REF!,"EXPO",#REF!)</f>
        <v>#REF!</v>
      </c>
      <c r="AO45" s="353"/>
    </row>
    <row r="46" spans="1:41" ht="15" thickBot="1" x14ac:dyDescent="0.35">
      <c r="AB46" s="351"/>
      <c r="AC46" s="343"/>
      <c r="AD46" s="17">
        <v>16</v>
      </c>
      <c r="AE46" s="243" t="e">
        <f>#REF!</f>
        <v>#REF!</v>
      </c>
      <c r="AF46" s="189" t="e">
        <f>#REF!</f>
        <v>#REF!</v>
      </c>
      <c r="AG46" s="244" t="e">
        <f>SUMIF(#REF!,"COCO",#REF!)</f>
        <v>#REF!</v>
      </c>
      <c r="AH46" s="244" t="e">
        <f>SUMIF(#REF!,"EMBALAGES",#REF!)</f>
        <v>#REF!</v>
      </c>
      <c r="AI46" s="189" t="e">
        <f>SUMIF(#REF!,"LIVRAISON",#REF!)</f>
        <v>#REF!</v>
      </c>
      <c r="AJ46" s="189" t="e">
        <f>SUMIF(#REF!,"FRAIS FIXE",#REF!)</f>
        <v>#REF!</v>
      </c>
      <c r="AK46" s="244" t="e">
        <f>SUMIF(#REF!,"DIVERS",#REF!)+SUMIF(#REF!,"PAPETERIE",#REF!)</f>
        <v>#REF!</v>
      </c>
      <c r="AL46" s="244" t="e">
        <f>SUMIF(#REF!,"EXTRA",#REF!)</f>
        <v>#REF!</v>
      </c>
      <c r="AM46" s="244" t="e">
        <f>SUMIF(#REF!,"ENTRETIEN",#REF!)</f>
        <v>#REF!</v>
      </c>
      <c r="AN46" s="244" t="e">
        <f>SUMIF(#REF!,"EXPO",#REF!)</f>
        <v>#REF!</v>
      </c>
      <c r="AO46" s="354"/>
    </row>
    <row r="47" spans="1:41" ht="15" thickBot="1" x14ac:dyDescent="0.35">
      <c r="AB47" s="351"/>
      <c r="AC47" s="343" t="s">
        <v>72</v>
      </c>
      <c r="AD47" s="17">
        <v>0</v>
      </c>
      <c r="AE47" s="241" t="e">
        <f>#REF!</f>
        <v>#REF!</v>
      </c>
      <c r="AF47" s="186"/>
      <c r="AG47" s="208" t="e">
        <f>SUMIF(#REF!,"COCO",#REF!)</f>
        <v>#REF!</v>
      </c>
      <c r="AH47" s="208" t="e">
        <f>SUMIF(#REF!,"EMBALAGES",#REF!)</f>
        <v>#REF!</v>
      </c>
      <c r="AI47" s="208" t="e">
        <f>SUMIF(#REF!,"LIVRAISON",#REF!)</f>
        <v>#REF!</v>
      </c>
      <c r="AJ47" s="208" t="e">
        <f>SUMIF(#REF!,"FRAIS FIXE",#REF!)</f>
        <v>#REF!</v>
      </c>
      <c r="AK47" s="208" t="e">
        <f>SUMIF(#REF!,"DIVERS",#REF!)+SUMIF(#REF!,"PAPETERIE",#REF!)</f>
        <v>#REF!</v>
      </c>
      <c r="AL47" s="208" t="e">
        <f>SUMIF(#REF!,"EXTRA",#REF!)</f>
        <v>#REF!</v>
      </c>
      <c r="AM47" s="208" t="e">
        <f>SUMIF(#REF!,"ENTRETIEN",#REF!)</f>
        <v>#REF!</v>
      </c>
      <c r="AN47" s="208" t="e">
        <f>SUMIF(#REF!,"EXPO",#REF!)</f>
        <v>#REF!</v>
      </c>
      <c r="AO47" s="352" t="e">
        <f>#REF!</f>
        <v>#REF!</v>
      </c>
    </row>
    <row r="48" spans="1:41" ht="15" thickBot="1" x14ac:dyDescent="0.35">
      <c r="AB48" s="351"/>
      <c r="AC48" s="343"/>
      <c r="AD48" s="17">
        <v>5</v>
      </c>
      <c r="AE48" s="242" t="e">
        <f>#REF!</f>
        <v>#REF!</v>
      </c>
      <c r="AF48" s="187" t="e">
        <f>#REF!</f>
        <v>#REF!</v>
      </c>
      <c r="AG48" s="187" t="e">
        <f>SUMIF(#REF!,"COCO",#REF!)</f>
        <v>#REF!</v>
      </c>
      <c r="AH48" s="187" t="e">
        <f>SUMIF(#REF!,"EMBALAGES",#REF!)</f>
        <v>#REF!</v>
      </c>
      <c r="AI48" s="188" t="e">
        <f>SUMIF(#REF!,"LIVRAISON",#REF!)</f>
        <v>#REF!</v>
      </c>
      <c r="AJ48" s="188" t="e">
        <f>SUMIF(#REF!,"FRAIS FIXE",#REF!)</f>
        <v>#REF!</v>
      </c>
      <c r="AK48" s="187" t="e">
        <f>SUMIF(#REF!,"DIVERS",#REF!)+SUMIF(#REF!,"PAPETERIE",#REF!)</f>
        <v>#REF!</v>
      </c>
      <c r="AL48" s="202" t="e">
        <f>SUMIF(#REF!,"EXTRA",#REF!)</f>
        <v>#REF!</v>
      </c>
      <c r="AM48" s="202" t="e">
        <f>SUMIF(#REF!,"ENTRETIEN",#REF!)</f>
        <v>#REF!</v>
      </c>
      <c r="AN48" s="202" t="e">
        <f>SUMIF(#REF!,"EXPO",#REF!)</f>
        <v>#REF!</v>
      </c>
      <c r="AO48" s="353"/>
    </row>
    <row r="49" spans="28:41" ht="15" thickBot="1" x14ac:dyDescent="0.35">
      <c r="AB49" s="351"/>
      <c r="AC49" s="343"/>
      <c r="AD49" s="17">
        <v>13</v>
      </c>
      <c r="AE49" s="242" t="e">
        <f>#REF!</f>
        <v>#REF!</v>
      </c>
      <c r="AF49" s="188" t="e">
        <f>#REF!</f>
        <v>#REF!</v>
      </c>
      <c r="AG49" s="187" t="e">
        <f>SUMIF(#REF!,"COCO",#REF!)</f>
        <v>#REF!</v>
      </c>
      <c r="AH49" s="187" t="e">
        <f>SUMIF(#REF!,"EMBALAGES",#REF!)</f>
        <v>#REF!</v>
      </c>
      <c r="AI49" s="188" t="e">
        <f>SUMIF(#REF!,"LIVRAISON",#REF!)</f>
        <v>#REF!</v>
      </c>
      <c r="AJ49" s="188" t="e">
        <f>SUMIF(#REF!,"FRAIS FIXE",#REF!)</f>
        <v>#REF!</v>
      </c>
      <c r="AK49" s="187" t="e">
        <f>SUMIF(#REF!,"DIVERS",#REF!)+SUMIF(#REF!,"PAPETERIE",#REF!)</f>
        <v>#REF!</v>
      </c>
      <c r="AL49" s="187" t="e">
        <f>SUMIF(#REF!,"EXTRA",#REF!)</f>
        <v>#REF!</v>
      </c>
      <c r="AM49" s="187" t="e">
        <f>SUMIF(#REF!,"ENTRTIEN",#REF!)</f>
        <v>#REF!</v>
      </c>
      <c r="AN49" s="187" t="e">
        <f>SUMIF(#REF!,"EXPO",#REF!)</f>
        <v>#REF!</v>
      </c>
      <c r="AO49" s="353"/>
    </row>
    <row r="50" spans="28:41" ht="15" thickBot="1" x14ac:dyDescent="0.35">
      <c r="AB50" s="351"/>
      <c r="AC50" s="343"/>
      <c r="AD50" s="17">
        <v>16</v>
      </c>
      <c r="AE50" s="243" t="e">
        <f>#REF!</f>
        <v>#REF!</v>
      </c>
      <c r="AF50" s="189" t="e">
        <f>#REF!</f>
        <v>#REF!</v>
      </c>
      <c r="AG50" s="244" t="e">
        <f>SUMIF(#REF!,"COCO",#REF!)</f>
        <v>#REF!</v>
      </c>
      <c r="AH50" s="244" t="e">
        <f>SUMIF(#REF!,"EMBALAGES",#REF!)</f>
        <v>#REF!</v>
      </c>
      <c r="AI50" s="189" t="e">
        <f>SUMIF(#REF!,"LIVRAISON",#REF!)</f>
        <v>#REF!</v>
      </c>
      <c r="AJ50" s="189" t="e">
        <f>SUMIF(#REF!,"FRAIS FIXE",#REF!)</f>
        <v>#REF!</v>
      </c>
      <c r="AK50" s="244" t="e">
        <f>SUMIF(#REF!,"DIVERS",#REF!)+SUMIF(#REF!,"PAPETERIE",#REF!)</f>
        <v>#REF!</v>
      </c>
      <c r="AL50" s="244" t="e">
        <f>SUMIF(#REF!,"EXTRA",#REF!)</f>
        <v>#REF!</v>
      </c>
      <c r="AM50" s="244" t="e">
        <f>SUMIF(#REF!,"ENTRETIEN",#REF!)</f>
        <v>#REF!</v>
      </c>
      <c r="AN50" s="244" t="e">
        <f>SUMIF(#REF!,"EXPO",#REF!)</f>
        <v>#REF!</v>
      </c>
      <c r="AO50" s="354"/>
    </row>
    <row r="51" spans="28:41" ht="15" thickBot="1" x14ac:dyDescent="0.35">
      <c r="AB51" s="351" t="s">
        <v>81</v>
      </c>
      <c r="AC51" s="343" t="s">
        <v>73</v>
      </c>
      <c r="AD51" s="17">
        <v>0</v>
      </c>
      <c r="AE51" s="241" t="e">
        <f>#REF!</f>
        <v>#REF!</v>
      </c>
      <c r="AF51" s="186"/>
      <c r="AG51" s="208" t="e">
        <f>SUMIF(#REF!,"COCO",#REF!)</f>
        <v>#REF!</v>
      </c>
      <c r="AH51" s="208" t="e">
        <f>SUMIF(#REF!,"EMBALAGES",#REF!)</f>
        <v>#REF!</v>
      </c>
      <c r="AI51" s="208" t="e">
        <f>SUMIF(#REF!,"LIVRAISON",#REF!)</f>
        <v>#REF!</v>
      </c>
      <c r="AJ51" s="208" t="e">
        <f>SUMIF(#REF!,"FRAIS FIXE",#REF!)</f>
        <v>#REF!</v>
      </c>
      <c r="AK51" s="208" t="e">
        <f>SUMIF(#REF!,"DIVERS",#REF!)+SUMIF(#REF!,"PAPETERIE",#REF!)</f>
        <v>#REF!</v>
      </c>
      <c r="AL51" s="208" t="e">
        <f>SUMIF(#REF!,"EXTRA",#REF!)</f>
        <v>#REF!</v>
      </c>
      <c r="AM51" s="208" t="e">
        <f>SUMIF(#REF!,"ENTRETIEN",#REF!)</f>
        <v>#REF!</v>
      </c>
      <c r="AN51" s="208" t="e">
        <f>SUMIF(#REF!,"EXPO",#REF!)</f>
        <v>#REF!</v>
      </c>
      <c r="AO51" s="352" t="e">
        <f>#REF!</f>
        <v>#REF!</v>
      </c>
    </row>
    <row r="52" spans="28:41" ht="15" thickBot="1" x14ac:dyDescent="0.35">
      <c r="AB52" s="351"/>
      <c r="AC52" s="343"/>
      <c r="AD52" s="17">
        <v>5</v>
      </c>
      <c r="AE52" s="242" t="e">
        <f>#REF!</f>
        <v>#REF!</v>
      </c>
      <c r="AF52" s="187" t="e">
        <f>#REF!</f>
        <v>#REF!</v>
      </c>
      <c r="AG52" s="187" t="e">
        <f>SUMIF(#REF!,"COCO",#REF!)</f>
        <v>#REF!</v>
      </c>
      <c r="AH52" s="187" t="e">
        <f>SUMIF(#REF!,"EMBALAGES",#REF!)</f>
        <v>#REF!</v>
      </c>
      <c r="AI52" s="188" t="e">
        <f>SUMIF(#REF!,"LIVRAISON",#REF!)</f>
        <v>#REF!</v>
      </c>
      <c r="AJ52" s="188" t="e">
        <f>SUMIF(#REF!,"FRAIS FIXE",#REF!)</f>
        <v>#REF!</v>
      </c>
      <c r="AK52" s="187" t="e">
        <f>SUMIF(#REF!,"DIVERS",#REF!)+SUMIF(#REF!,"PAPETERIE",#REF!)</f>
        <v>#REF!</v>
      </c>
      <c r="AL52" s="202" t="e">
        <f>SUMIF(#REF!,"EXTRA",#REF!)</f>
        <v>#REF!</v>
      </c>
      <c r="AM52" s="202" t="e">
        <f>SUMIF(#REF!,"ENTRETIEN",#REF!)</f>
        <v>#REF!</v>
      </c>
      <c r="AN52" s="202" t="e">
        <f>SUMIF(#REF!,"EXPO",#REF!)</f>
        <v>#REF!</v>
      </c>
      <c r="AO52" s="353"/>
    </row>
    <row r="53" spans="28:41" ht="15" thickBot="1" x14ac:dyDescent="0.35">
      <c r="AB53" s="351"/>
      <c r="AC53" s="343"/>
      <c r="AD53" s="17">
        <v>13</v>
      </c>
      <c r="AE53" s="242" t="e">
        <f>#REF!</f>
        <v>#REF!</v>
      </c>
      <c r="AF53" s="188" t="e">
        <f>#REF!</f>
        <v>#REF!</v>
      </c>
      <c r="AG53" s="187" t="e">
        <f>SUMIF(#REF!,"COCO",#REF!)</f>
        <v>#REF!</v>
      </c>
      <c r="AH53" s="187" t="e">
        <f>SUMIF(#REF!,"EMBALAGES",#REF!)</f>
        <v>#REF!</v>
      </c>
      <c r="AI53" s="188" t="e">
        <f>SUMIF(#REF!,"LIVRAISON",#REF!)</f>
        <v>#REF!</v>
      </c>
      <c r="AJ53" s="188" t="e">
        <f>SUMIF(#REF!,"FRAIS FIXE",#REF!)</f>
        <v>#REF!</v>
      </c>
      <c r="AK53" s="187" t="e">
        <f>SUMIF(#REF!,"DIVERS",#REF!)+SUMIF(#REF!,"PAPETERIE",#REF!)</f>
        <v>#REF!</v>
      </c>
      <c r="AL53" s="187" t="e">
        <f>SUMIF(#REF!,"EXTRA",#REF!)</f>
        <v>#REF!</v>
      </c>
      <c r="AM53" s="187" t="e">
        <f>SUMIF(#REF!,"ENTRTIEN",#REF!)</f>
        <v>#REF!</v>
      </c>
      <c r="AN53" s="187" t="e">
        <f>SUMIF(#REF!,"EXPO",#REF!)</f>
        <v>#REF!</v>
      </c>
      <c r="AO53" s="353"/>
    </row>
    <row r="54" spans="28:41" ht="15" thickBot="1" x14ac:dyDescent="0.35">
      <c r="AB54" s="351"/>
      <c r="AC54" s="343"/>
      <c r="AD54" s="17">
        <v>16</v>
      </c>
      <c r="AE54" s="243" t="e">
        <f>#REF!</f>
        <v>#REF!</v>
      </c>
      <c r="AF54" s="189" t="e">
        <f>#REF!</f>
        <v>#REF!</v>
      </c>
      <c r="AG54" s="244" t="e">
        <f>SUMIF(#REF!,"COCO",#REF!)</f>
        <v>#REF!</v>
      </c>
      <c r="AH54" s="244" t="e">
        <f>SUMIF(#REF!,"EMBALAGES",#REF!)</f>
        <v>#REF!</v>
      </c>
      <c r="AI54" s="189" t="e">
        <f>SUMIF(#REF!,"LIVRAISON",#REF!)</f>
        <v>#REF!</v>
      </c>
      <c r="AJ54" s="189" t="e">
        <f>SUMIF(#REF!,"FRAIS FIXE",#REF!)</f>
        <v>#REF!</v>
      </c>
      <c r="AK54" s="244" t="e">
        <f>SUMIF(#REF!,"DIVERS",#REF!)+SUMIF(#REF!,"PAPETERIE",#REF!)</f>
        <v>#REF!</v>
      </c>
      <c r="AL54" s="244" t="e">
        <f>SUMIF(#REF!,"EXTRA",#REF!)</f>
        <v>#REF!</v>
      </c>
      <c r="AM54" s="244" t="e">
        <f>SUMIF(#REF!,"ENTRETIEN",#REF!)</f>
        <v>#REF!</v>
      </c>
      <c r="AN54" s="244" t="e">
        <f>SUMIF(#REF!,"EXPO",#REF!)</f>
        <v>#REF!</v>
      </c>
      <c r="AO54" s="354"/>
    </row>
    <row r="55" spans="28:41" ht="15" thickBot="1" x14ac:dyDescent="0.35">
      <c r="AB55" s="351"/>
      <c r="AC55" s="343" t="s">
        <v>74</v>
      </c>
      <c r="AD55" s="17">
        <v>0</v>
      </c>
      <c r="AE55" s="241" t="e">
        <f>#REF!</f>
        <v>#REF!</v>
      </c>
      <c r="AF55" s="186"/>
      <c r="AG55" s="208" t="e">
        <f>SUMIF(#REF!,"COCO",#REF!)</f>
        <v>#REF!</v>
      </c>
      <c r="AH55" s="208" t="e">
        <f>SUMIF(#REF!,"EMBALAGES",#REF!)</f>
        <v>#REF!</v>
      </c>
      <c r="AI55" s="208" t="e">
        <f>SUMIF(#REF!,"LIVRAISON",#REF!)</f>
        <v>#REF!</v>
      </c>
      <c r="AJ55" s="208" t="e">
        <f>SUMIF(#REF!,"FRAIS FIXE",#REF!)</f>
        <v>#REF!</v>
      </c>
      <c r="AK55" s="208" t="e">
        <f>SUMIF(#REF!,"DIVERS",#REF!)+SUMIF(#REF!,"PAPETERIE",#REF!)</f>
        <v>#REF!</v>
      </c>
      <c r="AL55" s="208" t="e">
        <f>SUMIF(#REF!,"EXTRA",#REF!)</f>
        <v>#REF!</v>
      </c>
      <c r="AM55" s="208" t="e">
        <f>SUMIF(#REF!,"ENTRETIEN",#REF!)</f>
        <v>#REF!</v>
      </c>
      <c r="AN55" s="208" t="e">
        <f>SUMIF(#REF!,"EXPO",#REF!)</f>
        <v>#REF!</v>
      </c>
      <c r="AO55" s="352" t="e">
        <f>#REF!</f>
        <v>#REF!</v>
      </c>
    </row>
    <row r="56" spans="28:41" ht="15" thickBot="1" x14ac:dyDescent="0.35">
      <c r="AB56" s="351"/>
      <c r="AC56" s="343"/>
      <c r="AD56" s="17">
        <v>5</v>
      </c>
      <c r="AE56" s="242" t="e">
        <f>#REF!</f>
        <v>#REF!</v>
      </c>
      <c r="AF56" s="187" t="e">
        <f>#REF!</f>
        <v>#REF!</v>
      </c>
      <c r="AG56" s="187" t="e">
        <f>SUMIF(#REF!,"COCO",#REF!)</f>
        <v>#REF!</v>
      </c>
      <c r="AH56" s="187" t="e">
        <f>SUMIF(#REF!,"EMBALAGES",#REF!)</f>
        <v>#REF!</v>
      </c>
      <c r="AI56" s="188" t="e">
        <f>SUMIF(#REF!,"LIVRAISON",#REF!)</f>
        <v>#REF!</v>
      </c>
      <c r="AJ56" s="188" t="e">
        <f>SUMIF(#REF!,"FRAIS FIXE",#REF!)</f>
        <v>#REF!</v>
      </c>
      <c r="AK56" s="187" t="e">
        <f>SUMIF(#REF!,"DIVERS",#REF!)+SUMIF(#REF!,"PAPETERIE",#REF!)</f>
        <v>#REF!</v>
      </c>
      <c r="AL56" s="202" t="e">
        <f>SUMIF(#REF!,"EXTRA",#REF!)</f>
        <v>#REF!</v>
      </c>
      <c r="AM56" s="202" t="e">
        <f>SUMIF(#REF!,"ENTRETIEN",#REF!)</f>
        <v>#REF!</v>
      </c>
      <c r="AN56" s="202" t="e">
        <f>SUMIF(#REF!,"EXPO",#REF!)</f>
        <v>#REF!</v>
      </c>
      <c r="AO56" s="353"/>
    </row>
    <row r="57" spans="28:41" ht="15" thickBot="1" x14ac:dyDescent="0.35">
      <c r="AB57" s="351"/>
      <c r="AC57" s="343"/>
      <c r="AD57" s="17">
        <v>13</v>
      </c>
      <c r="AE57" s="242" t="e">
        <f>#REF!</f>
        <v>#REF!</v>
      </c>
      <c r="AF57" s="188" t="e">
        <f>#REF!</f>
        <v>#REF!</v>
      </c>
      <c r="AG57" s="187" t="e">
        <f>SUMIF(#REF!,"COCO",#REF!)</f>
        <v>#REF!</v>
      </c>
      <c r="AH57" s="187" t="e">
        <f>SUMIF(#REF!,"EMBALAGES",#REF!)</f>
        <v>#REF!</v>
      </c>
      <c r="AI57" s="188" t="e">
        <f>SUMIF(#REF!,"LIVRAISON",#REF!)</f>
        <v>#REF!</v>
      </c>
      <c r="AJ57" s="188" t="e">
        <f>SUMIF(#REF!,"FRAIS FIXE",#REF!)</f>
        <v>#REF!</v>
      </c>
      <c r="AK57" s="187" t="e">
        <f>SUMIF(#REF!,"DIVERS",#REF!)+SUMIF(#REF!,"PAPETERIE",#REF!)</f>
        <v>#REF!</v>
      </c>
      <c r="AL57" s="187" t="e">
        <f>SUMIF(#REF!,"EXTRA",#REF!)</f>
        <v>#REF!</v>
      </c>
      <c r="AM57" s="187" t="e">
        <f>SUMIF(#REF!,"ENTRTIEN",#REF!)</f>
        <v>#REF!</v>
      </c>
      <c r="AN57" s="187" t="e">
        <f>SUMIF(#REF!,"EXPO",#REF!)</f>
        <v>#REF!</v>
      </c>
      <c r="AO57" s="353"/>
    </row>
    <row r="58" spans="28:41" ht="15" thickBot="1" x14ac:dyDescent="0.35">
      <c r="AB58" s="351"/>
      <c r="AC58" s="343"/>
      <c r="AD58" s="17">
        <v>16</v>
      </c>
      <c r="AE58" s="243" t="e">
        <f>#REF!</f>
        <v>#REF!</v>
      </c>
      <c r="AF58" s="189" t="e">
        <f>#REF!</f>
        <v>#REF!</v>
      </c>
      <c r="AG58" s="244" t="e">
        <f>SUMIF(#REF!,"COCO",#REF!)</f>
        <v>#REF!</v>
      </c>
      <c r="AH58" s="244" t="e">
        <f>SUMIF(#REF!,"EMBALAGES",#REF!)</f>
        <v>#REF!</v>
      </c>
      <c r="AI58" s="189" t="e">
        <f>SUMIF(#REF!,"LIVRAISON",#REF!)</f>
        <v>#REF!</v>
      </c>
      <c r="AJ58" s="189" t="e">
        <f>SUMIF(#REF!,"FRAIS FIXE",#REF!)</f>
        <v>#REF!</v>
      </c>
      <c r="AK58" s="244" t="e">
        <f>SUMIF(#REF!,"DIVERS",#REF!)+SUMIF(#REF!,"PAPETERIE",#REF!)</f>
        <v>#REF!</v>
      </c>
      <c r="AL58" s="244" t="e">
        <f>SUMIF(#REF!,"EXTRA",#REF!)</f>
        <v>#REF!</v>
      </c>
      <c r="AM58" s="244" t="e">
        <f>SUMIF(#REF!,"ENTRETIEN",#REF!)</f>
        <v>#REF!</v>
      </c>
      <c r="AN58" s="244" t="e">
        <f>SUMIF(#REF!,"EXPO",#REF!)</f>
        <v>#REF!</v>
      </c>
      <c r="AO58" s="354"/>
    </row>
    <row r="59" spans="28:41" ht="15" thickBot="1" x14ac:dyDescent="0.35">
      <c r="AB59" s="351"/>
      <c r="AC59" s="343" t="s">
        <v>75</v>
      </c>
      <c r="AD59" s="17">
        <v>0</v>
      </c>
      <c r="AE59" s="241" t="e">
        <f>#REF!</f>
        <v>#REF!</v>
      </c>
      <c r="AF59" s="186"/>
      <c r="AG59" s="208" t="e">
        <f>SUMIF(#REF!,"COCO",#REF!)</f>
        <v>#REF!</v>
      </c>
      <c r="AH59" s="208" t="e">
        <f>SUMIF(#REF!,"EMBALAGES",#REF!)</f>
        <v>#REF!</v>
      </c>
      <c r="AI59" s="208" t="e">
        <f>SUMIF(#REF!,"LIVRAISON",#REF!)</f>
        <v>#REF!</v>
      </c>
      <c r="AJ59" s="208" t="e">
        <f>SUMIF(#REF!,"FRAIS FIXE",#REF!)</f>
        <v>#REF!</v>
      </c>
      <c r="AK59" s="208" t="e">
        <f>SUMIF(#REF!,"DIVERS",#REF!)+SUMIF(#REF!,"PAPETERIE",#REF!)</f>
        <v>#REF!</v>
      </c>
      <c r="AL59" s="208" t="e">
        <f>SUMIF(#REF!,"EXTRA",#REF!)</f>
        <v>#REF!</v>
      </c>
      <c r="AM59" s="208" t="e">
        <f>SUMIF(#REF!,"ENTRETIEN",#REF!)</f>
        <v>#REF!</v>
      </c>
      <c r="AN59" s="208" t="e">
        <f>SUMIF(#REF!,"EXPO",#REF!)</f>
        <v>#REF!</v>
      </c>
      <c r="AO59" s="352" t="e">
        <f>#REF!</f>
        <v>#REF!</v>
      </c>
    </row>
    <row r="60" spans="28:41" ht="15" thickBot="1" x14ac:dyDescent="0.35">
      <c r="AB60" s="351"/>
      <c r="AC60" s="343"/>
      <c r="AD60" s="17">
        <v>5</v>
      </c>
      <c r="AE60" s="242" t="e">
        <f>#REF!</f>
        <v>#REF!</v>
      </c>
      <c r="AF60" s="187" t="e">
        <f>#REF!</f>
        <v>#REF!</v>
      </c>
      <c r="AG60" s="187" t="e">
        <f>SUMIF(#REF!,"COCO",#REF!)</f>
        <v>#REF!</v>
      </c>
      <c r="AH60" s="187" t="e">
        <f>SUMIF(#REF!,"EMBALAGES",#REF!)</f>
        <v>#REF!</v>
      </c>
      <c r="AI60" s="188" t="e">
        <f>SUMIF(#REF!,"LIVRAISON",#REF!)</f>
        <v>#REF!</v>
      </c>
      <c r="AJ60" s="188" t="e">
        <f>SUMIF(#REF!,"FRAIS FIXE",#REF!)</f>
        <v>#REF!</v>
      </c>
      <c r="AK60" s="187" t="e">
        <f>SUMIF(#REF!,"DIVERS",#REF!)+SUMIF(#REF!,"PAPETERIE",#REF!)</f>
        <v>#REF!</v>
      </c>
      <c r="AL60" s="202" t="e">
        <f>SUMIF(#REF!,"EXTRA",#REF!)</f>
        <v>#REF!</v>
      </c>
      <c r="AM60" s="202" t="e">
        <f>SUMIF(#REF!,"ENTRETIEN",#REF!)</f>
        <v>#REF!</v>
      </c>
      <c r="AN60" s="202" t="e">
        <f>SUMIF(#REF!,"EXPO",#REF!)</f>
        <v>#REF!</v>
      </c>
      <c r="AO60" s="353"/>
    </row>
    <row r="61" spans="28:41" ht="15" thickBot="1" x14ac:dyDescent="0.35">
      <c r="AB61" s="351"/>
      <c r="AC61" s="343"/>
      <c r="AD61" s="17">
        <v>13</v>
      </c>
      <c r="AE61" s="242" t="e">
        <f>#REF!</f>
        <v>#REF!</v>
      </c>
      <c r="AF61" s="188" t="e">
        <f>#REF!</f>
        <v>#REF!</v>
      </c>
      <c r="AG61" s="187" t="e">
        <f>SUMIF(#REF!,"COCO",#REF!)</f>
        <v>#REF!</v>
      </c>
      <c r="AH61" s="187" t="e">
        <f>SUMIF(#REF!,"EMBALAGES",#REF!)</f>
        <v>#REF!</v>
      </c>
      <c r="AI61" s="188" t="e">
        <f>SUMIF(#REF!,"LIVRAISON",#REF!)</f>
        <v>#REF!</v>
      </c>
      <c r="AJ61" s="188" t="e">
        <f>SUMIF(#REF!,"FRAIS FIXE",#REF!)</f>
        <v>#REF!</v>
      </c>
      <c r="AK61" s="187" t="e">
        <f>SUMIF(#REF!,"DIVERS",#REF!)+SUMIF(#REF!,"PAPETERIE",#REF!)</f>
        <v>#REF!</v>
      </c>
      <c r="AL61" s="187" t="e">
        <f>SUMIF(#REF!,"EXTRA",#REF!)</f>
        <v>#REF!</v>
      </c>
      <c r="AM61" s="187" t="e">
        <f>SUMIF(#REF!,"ENTRTIEN",#REF!)</f>
        <v>#REF!</v>
      </c>
      <c r="AN61" s="187" t="e">
        <f>SUMIF(#REF!,"EXPO",#REF!)</f>
        <v>#REF!</v>
      </c>
      <c r="AO61" s="353"/>
    </row>
    <row r="62" spans="28:41" ht="15" thickBot="1" x14ac:dyDescent="0.35">
      <c r="AB62" s="351"/>
      <c r="AC62" s="343"/>
      <c r="AD62" s="17">
        <v>16</v>
      </c>
      <c r="AE62" s="243" t="e">
        <f>#REF!</f>
        <v>#REF!</v>
      </c>
      <c r="AF62" s="189" t="e">
        <f>#REF!</f>
        <v>#REF!</v>
      </c>
      <c r="AG62" s="244" t="e">
        <f>SUMIF(#REF!,"COCO",#REF!)</f>
        <v>#REF!</v>
      </c>
      <c r="AH62" s="244" t="e">
        <f>SUMIF(#REF!,"EMBALAGES",#REF!)</f>
        <v>#REF!</v>
      </c>
      <c r="AI62" s="189" t="e">
        <f>SUMIF(#REF!,"LIVRAISON",#REF!)</f>
        <v>#REF!</v>
      </c>
      <c r="AJ62" s="189" t="e">
        <f>SUMIF(#REF!,"FRAIS FIXE",#REF!)</f>
        <v>#REF!</v>
      </c>
      <c r="AK62" s="244" t="e">
        <f>SUMIF(#REF!,"DIVERS",#REF!)+SUMIF(#REF!,"PAPETERIE",#REF!)</f>
        <v>#REF!</v>
      </c>
      <c r="AL62" s="244" t="e">
        <f>SUMIF(#REF!,"EXTRA",#REF!)</f>
        <v>#REF!</v>
      </c>
      <c r="AM62" s="244" t="e">
        <f>SUMIF(#REF!,"ENTRETIEN",#REF!)</f>
        <v>#REF!</v>
      </c>
      <c r="AN62" s="244" t="e">
        <f>SUMIF(#REF!,"EXPO",#REF!)</f>
        <v>#REF!</v>
      </c>
      <c r="AO62" s="354"/>
    </row>
    <row r="63" spans="28:41" ht="15" thickBot="1" x14ac:dyDescent="0.35">
      <c r="AB63" s="339" t="s">
        <v>137</v>
      </c>
      <c r="AC63" s="339"/>
      <c r="AD63" s="21">
        <v>0</v>
      </c>
      <c r="AE63" s="22" t="e">
        <f>AE39+AE43+AE47</f>
        <v>#REF!</v>
      </c>
      <c r="AF63" s="141"/>
      <c r="AG63" s="204" t="e">
        <f t="shared" ref="AF63:AK64" si="25">AG39+AG43+AG47</f>
        <v>#REF!</v>
      </c>
      <c r="AH63" s="204" t="e">
        <f t="shared" si="25"/>
        <v>#REF!</v>
      </c>
      <c r="AI63" s="204" t="e">
        <f t="shared" si="25"/>
        <v>#REF!</v>
      </c>
      <c r="AJ63" s="204" t="e">
        <f t="shared" si="25"/>
        <v>#REF!</v>
      </c>
      <c r="AK63" s="204" t="e">
        <f t="shared" si="25"/>
        <v>#REF!</v>
      </c>
      <c r="AL63" s="204" t="e">
        <f t="shared" ref="AL63:AN63" si="26">AL39+AL43+AL47</f>
        <v>#REF!</v>
      </c>
      <c r="AM63" s="204" t="e">
        <f t="shared" si="26"/>
        <v>#REF!</v>
      </c>
      <c r="AN63" s="204" t="e">
        <f t="shared" si="26"/>
        <v>#REF!</v>
      </c>
      <c r="AO63" s="355" t="e">
        <f>AO39+AO43+AO47</f>
        <v>#REF!</v>
      </c>
    </row>
    <row r="64" spans="28:41" ht="15" thickBot="1" x14ac:dyDescent="0.35">
      <c r="AB64" s="339"/>
      <c r="AC64" s="339"/>
      <c r="AD64" s="21">
        <v>5</v>
      </c>
      <c r="AE64" s="23" t="e">
        <f>AE40+AE44+AE48</f>
        <v>#REF!</v>
      </c>
      <c r="AF64" s="137" t="e">
        <f t="shared" si="25"/>
        <v>#REF!</v>
      </c>
      <c r="AG64" s="137" t="e">
        <f t="shared" si="25"/>
        <v>#REF!</v>
      </c>
      <c r="AH64" s="137" t="e">
        <f t="shared" si="25"/>
        <v>#REF!</v>
      </c>
      <c r="AI64" s="137" t="e">
        <f t="shared" si="25"/>
        <v>#REF!</v>
      </c>
      <c r="AJ64" s="137" t="e">
        <f t="shared" si="25"/>
        <v>#REF!</v>
      </c>
      <c r="AK64" s="137" t="e">
        <f t="shared" si="25"/>
        <v>#REF!</v>
      </c>
      <c r="AL64" s="204" t="e">
        <f t="shared" ref="AL64:AN64" si="27">AL40+AL44+AL48</f>
        <v>#REF!</v>
      </c>
      <c r="AM64" s="204" t="e">
        <f t="shared" si="27"/>
        <v>#REF!</v>
      </c>
      <c r="AN64" s="204" t="e">
        <f t="shared" si="27"/>
        <v>#REF!</v>
      </c>
      <c r="AO64" s="341"/>
    </row>
    <row r="65" spans="28:41" ht="15" thickBot="1" x14ac:dyDescent="0.35">
      <c r="AB65" s="339"/>
      <c r="AC65" s="339"/>
      <c r="AD65" s="21">
        <v>13</v>
      </c>
      <c r="AE65" s="23" t="e">
        <f>AE41+AE45+AE49</f>
        <v>#REF!</v>
      </c>
      <c r="AF65" s="137" t="e">
        <f t="shared" ref="AF65:AK65" si="28">AF41+AF45+AF49</f>
        <v>#REF!</v>
      </c>
      <c r="AG65" s="137" t="e">
        <f t="shared" si="28"/>
        <v>#REF!</v>
      </c>
      <c r="AH65" s="137" t="e">
        <f t="shared" si="28"/>
        <v>#REF!</v>
      </c>
      <c r="AI65" s="137" t="e">
        <f t="shared" si="28"/>
        <v>#REF!</v>
      </c>
      <c r="AJ65" s="137" t="e">
        <f t="shared" si="28"/>
        <v>#REF!</v>
      </c>
      <c r="AK65" s="137" t="e">
        <f t="shared" si="28"/>
        <v>#REF!</v>
      </c>
      <c r="AL65" s="204" t="e">
        <f t="shared" ref="AL65:AN65" si="29">AL41+AL45+AL49</f>
        <v>#REF!</v>
      </c>
      <c r="AM65" s="204" t="e">
        <f t="shared" si="29"/>
        <v>#REF!</v>
      </c>
      <c r="AN65" s="204" t="e">
        <f t="shared" si="29"/>
        <v>#REF!</v>
      </c>
      <c r="AO65" s="341"/>
    </row>
    <row r="66" spans="28:41" ht="15" thickBot="1" x14ac:dyDescent="0.35">
      <c r="AB66" s="339"/>
      <c r="AC66" s="339"/>
      <c r="AD66" s="21">
        <v>16</v>
      </c>
      <c r="AE66" s="24" t="e">
        <f>AE42+AE46+AE50</f>
        <v>#REF!</v>
      </c>
      <c r="AF66" s="138" t="e">
        <f t="shared" ref="AF66:AK66" si="30">AF42+AF46+AF50</f>
        <v>#REF!</v>
      </c>
      <c r="AG66" s="138" t="e">
        <f t="shared" si="30"/>
        <v>#REF!</v>
      </c>
      <c r="AH66" s="138" t="e">
        <f t="shared" si="30"/>
        <v>#REF!</v>
      </c>
      <c r="AI66" s="138" t="e">
        <f t="shared" si="30"/>
        <v>#REF!</v>
      </c>
      <c r="AJ66" s="138" t="e">
        <f t="shared" si="30"/>
        <v>#REF!</v>
      </c>
      <c r="AK66" s="138" t="e">
        <f t="shared" si="30"/>
        <v>#REF!</v>
      </c>
      <c r="AL66" s="209" t="e">
        <f t="shared" ref="AL66:AN66" si="31">AL42+AL46+AL50</f>
        <v>#REF!</v>
      </c>
      <c r="AM66" s="209" t="e">
        <f t="shared" si="31"/>
        <v>#REF!</v>
      </c>
      <c r="AN66" s="209" t="e">
        <f t="shared" si="31"/>
        <v>#REF!</v>
      </c>
      <c r="AO66" s="356"/>
    </row>
    <row r="67" spans="28:41" ht="15.6" thickTop="1" thickBot="1" x14ac:dyDescent="0.35">
      <c r="AB67" s="339" t="s">
        <v>138</v>
      </c>
      <c r="AC67" s="339"/>
      <c r="AD67" s="21">
        <v>0</v>
      </c>
      <c r="AE67" s="25" t="e">
        <f>AE51+AE55+AE59</f>
        <v>#REF!</v>
      </c>
      <c r="AF67" s="139">
        <f t="shared" ref="AF67:AK67" si="32">AF51+AF55+AF59</f>
        <v>0</v>
      </c>
      <c r="AG67" s="139" t="e">
        <f t="shared" si="32"/>
        <v>#REF!</v>
      </c>
      <c r="AH67" s="139" t="e">
        <f t="shared" si="32"/>
        <v>#REF!</v>
      </c>
      <c r="AI67" s="139" t="e">
        <f t="shared" si="32"/>
        <v>#REF!</v>
      </c>
      <c r="AJ67" s="139" t="e">
        <f t="shared" si="32"/>
        <v>#REF!</v>
      </c>
      <c r="AK67" s="139" t="e">
        <f t="shared" si="32"/>
        <v>#REF!</v>
      </c>
      <c r="AL67" s="203" t="e">
        <f t="shared" ref="AL67:AN67" si="33">AL51+AL55+AL59</f>
        <v>#REF!</v>
      </c>
      <c r="AM67" s="203" t="e">
        <f t="shared" si="33"/>
        <v>#REF!</v>
      </c>
      <c r="AN67" s="203" t="e">
        <f t="shared" si="33"/>
        <v>#REF!</v>
      </c>
      <c r="AO67" s="340" t="e">
        <f>+AO51+AO55+AO59</f>
        <v>#REF!</v>
      </c>
    </row>
    <row r="68" spans="28:41" ht="15" thickBot="1" x14ac:dyDescent="0.35">
      <c r="AB68" s="339"/>
      <c r="AC68" s="339"/>
      <c r="AD68" s="21">
        <v>5</v>
      </c>
      <c r="AE68" s="23" t="e">
        <f>AE52+AE56+AE60</f>
        <v>#REF!</v>
      </c>
      <c r="AF68" s="137" t="e">
        <f t="shared" ref="AF68:AK68" si="34">AF52+AF56+AF60</f>
        <v>#REF!</v>
      </c>
      <c r="AG68" s="137" t="e">
        <f t="shared" si="34"/>
        <v>#REF!</v>
      </c>
      <c r="AH68" s="137" t="e">
        <f t="shared" si="34"/>
        <v>#REF!</v>
      </c>
      <c r="AI68" s="137" t="e">
        <f t="shared" si="34"/>
        <v>#REF!</v>
      </c>
      <c r="AJ68" s="137" t="e">
        <f t="shared" si="34"/>
        <v>#REF!</v>
      </c>
      <c r="AK68" s="137" t="e">
        <f t="shared" si="34"/>
        <v>#REF!</v>
      </c>
      <c r="AL68" s="204" t="e">
        <f t="shared" ref="AL68:AN68" si="35">AL52+AL56+AL60</f>
        <v>#REF!</v>
      </c>
      <c r="AM68" s="204" t="e">
        <f t="shared" si="35"/>
        <v>#REF!</v>
      </c>
      <c r="AN68" s="204" t="e">
        <f t="shared" si="35"/>
        <v>#REF!</v>
      </c>
      <c r="AO68" s="341"/>
    </row>
    <row r="69" spans="28:41" ht="15" thickBot="1" x14ac:dyDescent="0.35">
      <c r="AB69" s="339"/>
      <c r="AC69" s="339"/>
      <c r="AD69" s="21">
        <v>13</v>
      </c>
      <c r="AE69" s="23" t="e">
        <f>AE53+AE57+AE61</f>
        <v>#REF!</v>
      </c>
      <c r="AF69" s="137" t="e">
        <f t="shared" ref="AF69:AK69" si="36">AF53+AF57+AF61</f>
        <v>#REF!</v>
      </c>
      <c r="AG69" s="137" t="e">
        <f t="shared" si="36"/>
        <v>#REF!</v>
      </c>
      <c r="AH69" s="137" t="e">
        <f t="shared" si="36"/>
        <v>#REF!</v>
      </c>
      <c r="AI69" s="137" t="e">
        <f t="shared" si="36"/>
        <v>#REF!</v>
      </c>
      <c r="AJ69" s="137" t="e">
        <f t="shared" si="36"/>
        <v>#REF!</v>
      </c>
      <c r="AK69" s="137" t="e">
        <f t="shared" si="36"/>
        <v>#REF!</v>
      </c>
      <c r="AL69" s="204" t="e">
        <f t="shared" ref="AL69:AN69" si="37">AL53+AL57+AL61</f>
        <v>#REF!</v>
      </c>
      <c r="AM69" s="204" t="e">
        <f t="shared" si="37"/>
        <v>#REF!</v>
      </c>
      <c r="AN69" s="204" t="e">
        <f t="shared" si="37"/>
        <v>#REF!</v>
      </c>
      <c r="AO69" s="341"/>
    </row>
    <row r="70" spans="28:41" ht="15" thickBot="1" x14ac:dyDescent="0.35">
      <c r="AB70" s="339"/>
      <c r="AC70" s="339"/>
      <c r="AD70" s="21">
        <v>16</v>
      </c>
      <c r="AE70" s="26" t="e">
        <f>AE54+AE58+AE62</f>
        <v>#REF!</v>
      </c>
      <c r="AF70" s="140" t="e">
        <f t="shared" ref="AF70:AK70" si="38">AF54+AF58+AF62</f>
        <v>#REF!</v>
      </c>
      <c r="AG70" s="140" t="e">
        <f t="shared" si="38"/>
        <v>#REF!</v>
      </c>
      <c r="AH70" s="140" t="e">
        <f t="shared" si="38"/>
        <v>#REF!</v>
      </c>
      <c r="AI70" s="140" t="e">
        <f t="shared" si="38"/>
        <v>#REF!</v>
      </c>
      <c r="AJ70" s="140" t="e">
        <f t="shared" si="38"/>
        <v>#REF!</v>
      </c>
      <c r="AK70" s="140" t="e">
        <f t="shared" si="38"/>
        <v>#REF!</v>
      </c>
      <c r="AL70" s="205" t="e">
        <f t="shared" ref="AL70:AN70" si="39">AL54+AL58+AL62</f>
        <v>#REF!</v>
      </c>
      <c r="AM70" s="205" t="e">
        <f t="shared" si="39"/>
        <v>#REF!</v>
      </c>
      <c r="AN70" s="205" t="e">
        <f t="shared" si="39"/>
        <v>#REF!</v>
      </c>
      <c r="AO70" s="342"/>
    </row>
    <row r="71" spans="28:41" ht="15" thickBot="1" x14ac:dyDescent="0.35">
      <c r="AB71" s="343" t="s">
        <v>127</v>
      </c>
      <c r="AC71" s="343"/>
      <c r="AD71" s="21">
        <v>0</v>
      </c>
      <c r="AE71" s="22" t="e">
        <f t="shared" ref="AE71:AK71" si="40">AE29+AE33+AE63+AE67</f>
        <v>#REF!</v>
      </c>
      <c r="AF71" s="141">
        <f t="shared" si="40"/>
        <v>0</v>
      </c>
      <c r="AG71" s="141" t="e">
        <f t="shared" si="40"/>
        <v>#REF!</v>
      </c>
      <c r="AH71" s="141" t="e">
        <f t="shared" si="40"/>
        <v>#REF!</v>
      </c>
      <c r="AI71" s="141" t="e">
        <f t="shared" si="40"/>
        <v>#REF!</v>
      </c>
      <c r="AJ71" s="141" t="e">
        <f t="shared" si="40"/>
        <v>#REF!</v>
      </c>
      <c r="AK71" s="141" t="e">
        <f t="shared" si="40"/>
        <v>#REF!</v>
      </c>
      <c r="AL71" s="206" t="e">
        <f t="shared" ref="AL71:AN71" si="41">AL29+AL33+AL63+AL67</f>
        <v>#REF!</v>
      </c>
      <c r="AM71" s="206" t="e">
        <f t="shared" si="41"/>
        <v>#REF!</v>
      </c>
      <c r="AN71" s="206" t="e">
        <f t="shared" si="41"/>
        <v>#REF!</v>
      </c>
      <c r="AO71" s="344" t="e">
        <f>AO67+AO63+AO33+AO29</f>
        <v>#REF!</v>
      </c>
    </row>
    <row r="72" spans="28:41" ht="15" thickBot="1" x14ac:dyDescent="0.35">
      <c r="AB72" s="343"/>
      <c r="AC72" s="343"/>
      <c r="AD72" s="21">
        <v>5</v>
      </c>
      <c r="AE72" s="23" t="e">
        <f t="shared" ref="AE72:AK72" si="42">AE30+AE34+AE64+AE68</f>
        <v>#REF!</v>
      </c>
      <c r="AF72" s="137" t="e">
        <f t="shared" si="42"/>
        <v>#REF!</v>
      </c>
      <c r="AG72" s="137" t="e">
        <f t="shared" si="42"/>
        <v>#REF!</v>
      </c>
      <c r="AH72" s="137" t="e">
        <f t="shared" si="42"/>
        <v>#REF!</v>
      </c>
      <c r="AI72" s="137" t="e">
        <f t="shared" si="42"/>
        <v>#REF!</v>
      </c>
      <c r="AJ72" s="137" t="e">
        <f t="shared" si="42"/>
        <v>#REF!</v>
      </c>
      <c r="AK72" s="137" t="e">
        <f t="shared" si="42"/>
        <v>#REF!</v>
      </c>
      <c r="AL72" s="204" t="e">
        <f t="shared" ref="AL72:AN72" si="43">AL30+AL34+AL64+AL68</f>
        <v>#REF!</v>
      </c>
      <c r="AM72" s="204" t="e">
        <f t="shared" si="43"/>
        <v>#REF!</v>
      </c>
      <c r="AN72" s="204" t="e">
        <f t="shared" si="43"/>
        <v>#REF!</v>
      </c>
      <c r="AO72" s="341"/>
    </row>
    <row r="73" spans="28:41" ht="15" thickBot="1" x14ac:dyDescent="0.35">
      <c r="AB73" s="343"/>
      <c r="AC73" s="343"/>
      <c r="AD73" s="21">
        <v>13</v>
      </c>
      <c r="AE73" s="23" t="e">
        <f t="shared" ref="AE73:AK73" si="44">AE31+AE35+AE65+AE69</f>
        <v>#REF!</v>
      </c>
      <c r="AF73" s="137" t="e">
        <f t="shared" si="44"/>
        <v>#REF!</v>
      </c>
      <c r="AG73" s="137" t="e">
        <f t="shared" si="44"/>
        <v>#REF!</v>
      </c>
      <c r="AH73" s="137" t="e">
        <f t="shared" si="44"/>
        <v>#REF!</v>
      </c>
      <c r="AI73" s="137" t="e">
        <f t="shared" si="44"/>
        <v>#REF!</v>
      </c>
      <c r="AJ73" s="137" t="e">
        <f t="shared" si="44"/>
        <v>#REF!</v>
      </c>
      <c r="AK73" s="137" t="e">
        <f t="shared" si="44"/>
        <v>#REF!</v>
      </c>
      <c r="AL73" s="204" t="e">
        <f t="shared" ref="AL73:AN73" si="45">AL31+AL35+AL65+AL69</f>
        <v>#REF!</v>
      </c>
      <c r="AM73" s="204" t="e">
        <f t="shared" si="45"/>
        <v>#REF!</v>
      </c>
      <c r="AN73" s="204" t="e">
        <f t="shared" si="45"/>
        <v>#REF!</v>
      </c>
      <c r="AO73" s="341"/>
    </row>
    <row r="74" spans="28:41" ht="15" thickBot="1" x14ac:dyDescent="0.35">
      <c r="AB74" s="343"/>
      <c r="AC74" s="343"/>
      <c r="AD74" s="21">
        <v>16</v>
      </c>
      <c r="AE74" s="27" t="e">
        <f t="shared" ref="AE74:AK74" si="46">AE32+AE36+AE66+AE70</f>
        <v>#REF!</v>
      </c>
      <c r="AF74" s="142" t="e">
        <f t="shared" si="46"/>
        <v>#REF!</v>
      </c>
      <c r="AG74" s="142" t="e">
        <f t="shared" si="46"/>
        <v>#REF!</v>
      </c>
      <c r="AH74" s="142" t="e">
        <f t="shared" si="46"/>
        <v>#REF!</v>
      </c>
      <c r="AI74" s="142" t="e">
        <f t="shared" si="46"/>
        <v>#REF!</v>
      </c>
      <c r="AJ74" s="142" t="e">
        <f t="shared" si="46"/>
        <v>#REF!</v>
      </c>
      <c r="AK74" s="142" t="e">
        <f t="shared" si="46"/>
        <v>#REF!</v>
      </c>
      <c r="AL74" s="207" t="e">
        <f t="shared" ref="AL74:AN74" si="47">AL32+AL36+AL66+AL70</f>
        <v>#REF!</v>
      </c>
      <c r="AM74" s="207" t="e">
        <f t="shared" si="47"/>
        <v>#REF!</v>
      </c>
      <c r="AN74" s="207" t="e">
        <f t="shared" si="47"/>
        <v>#REF!</v>
      </c>
      <c r="AO74" s="345"/>
    </row>
  </sheetData>
  <sheetProtection selectLockedCells="1"/>
  <mergeCells count="277">
    <mergeCell ref="X37:X38"/>
    <mergeCell ref="Z9:Z10"/>
    <mergeCell ref="Y9:Y10"/>
    <mergeCell ref="AA9:AA10"/>
    <mergeCell ref="T11:T12"/>
    <mergeCell ref="X3:X4"/>
    <mergeCell ref="X29:X30"/>
    <mergeCell ref="X31:X32"/>
    <mergeCell ref="X33:X34"/>
    <mergeCell ref="X35:X36"/>
    <mergeCell ref="U11:U12"/>
    <mergeCell ref="V11:V12"/>
    <mergeCell ref="Z11:Z12"/>
    <mergeCell ref="Y11:Y12"/>
    <mergeCell ref="AA11:AA12"/>
    <mergeCell ref="AA13:AA14"/>
    <mergeCell ref="Y15:Y16"/>
    <mergeCell ref="AA15:AA16"/>
    <mergeCell ref="AA17:AA18"/>
    <mergeCell ref="W37:W38"/>
    <mergeCell ref="Z35:Z36"/>
    <mergeCell ref="AA31:AA32"/>
    <mergeCell ref="AA33:AA34"/>
    <mergeCell ref="W35:W36"/>
    <mergeCell ref="AK3:AK4"/>
    <mergeCell ref="AO3:AO4"/>
    <mergeCell ref="AM3:AM4"/>
    <mergeCell ref="AN3:AN4"/>
    <mergeCell ref="B23:B24"/>
    <mergeCell ref="AA3:AA4"/>
    <mergeCell ref="P3:P4"/>
    <mergeCell ref="V3:V4"/>
    <mergeCell ref="Z3:Z4"/>
    <mergeCell ref="Y3:Y4"/>
    <mergeCell ref="V7:V8"/>
    <mergeCell ref="Z7:Z8"/>
    <mergeCell ref="Y7:Y8"/>
    <mergeCell ref="O11:O12"/>
    <mergeCell ref="P11:P12"/>
    <mergeCell ref="Q11:Q12"/>
    <mergeCell ref="R11:R12"/>
    <mergeCell ref="S11:S12"/>
    <mergeCell ref="O3:O4"/>
    <mergeCell ref="Q3:Q4"/>
    <mergeCell ref="R3:R4"/>
    <mergeCell ref="S3:S4"/>
    <mergeCell ref="T3:T4"/>
    <mergeCell ref="U3:U4"/>
    <mergeCell ref="AB3:AB4"/>
    <mergeCell ref="AC3:AC4"/>
    <mergeCell ref="AD3:AD4"/>
    <mergeCell ref="AE3:AE4"/>
    <mergeCell ref="AF3:AF4"/>
    <mergeCell ref="AG3:AG4"/>
    <mergeCell ref="AH3:AH4"/>
    <mergeCell ref="AI3:AI4"/>
    <mergeCell ref="AJ3:AJ4"/>
    <mergeCell ref="AB17:AB28"/>
    <mergeCell ref="AC17:AC20"/>
    <mergeCell ref="AO17:AO20"/>
    <mergeCell ref="AC21:AC24"/>
    <mergeCell ref="AO21:AO24"/>
    <mergeCell ref="AC25:AC28"/>
    <mergeCell ref="AO25:AO28"/>
    <mergeCell ref="AA7:AA8"/>
    <mergeCell ref="O9:O10"/>
    <mergeCell ref="P9:P10"/>
    <mergeCell ref="Q9:Q10"/>
    <mergeCell ref="R9:R10"/>
    <mergeCell ref="S9:S10"/>
    <mergeCell ref="T9:T10"/>
    <mergeCell ref="U9:U10"/>
    <mergeCell ref="V9:V10"/>
    <mergeCell ref="AO51:AO54"/>
    <mergeCell ref="AC55:AC58"/>
    <mergeCell ref="AO55:AO58"/>
    <mergeCell ref="AC59:AC62"/>
    <mergeCell ref="AO59:AO62"/>
    <mergeCell ref="AB63:AC66"/>
    <mergeCell ref="AO63:AO66"/>
    <mergeCell ref="AB29:AC32"/>
    <mergeCell ref="AO29:AO32"/>
    <mergeCell ref="AB33:AC36"/>
    <mergeCell ref="AO33:AO36"/>
    <mergeCell ref="AB39:AB50"/>
    <mergeCell ref="AC39:AC42"/>
    <mergeCell ref="AO39:AO42"/>
    <mergeCell ref="AC43:AC46"/>
    <mergeCell ref="AO43:AO46"/>
    <mergeCell ref="AC47:AC50"/>
    <mergeCell ref="AO47:AO50"/>
    <mergeCell ref="AB67:AC70"/>
    <mergeCell ref="AO67:AO70"/>
    <mergeCell ref="AB71:AC74"/>
    <mergeCell ref="AO71:AO74"/>
    <mergeCell ref="O5:O6"/>
    <mergeCell ref="P5:P6"/>
    <mergeCell ref="Q5:Q6"/>
    <mergeCell ref="R5:R6"/>
    <mergeCell ref="S5:S6"/>
    <mergeCell ref="T5:T6"/>
    <mergeCell ref="U5:U6"/>
    <mergeCell ref="V5:V6"/>
    <mergeCell ref="Z5:Z6"/>
    <mergeCell ref="Y5:Y6"/>
    <mergeCell ref="AA5:AA6"/>
    <mergeCell ref="O7:O8"/>
    <mergeCell ref="P7:P8"/>
    <mergeCell ref="Q7:Q8"/>
    <mergeCell ref="R7:R8"/>
    <mergeCell ref="S7:S8"/>
    <mergeCell ref="T7:T8"/>
    <mergeCell ref="U7:U8"/>
    <mergeCell ref="AB51:AB62"/>
    <mergeCell ref="AC51:AC54"/>
    <mergeCell ref="O13:O14"/>
    <mergeCell ref="P13:P14"/>
    <mergeCell ref="Q13:Q14"/>
    <mergeCell ref="R13:R14"/>
    <mergeCell ref="S13:S14"/>
    <mergeCell ref="T13:T14"/>
    <mergeCell ref="U13:U14"/>
    <mergeCell ref="V13:V14"/>
    <mergeCell ref="Z13:Z14"/>
    <mergeCell ref="Y13:Y14"/>
    <mergeCell ref="O17:O18"/>
    <mergeCell ref="P17:P18"/>
    <mergeCell ref="Q17:Q18"/>
    <mergeCell ref="R17:R18"/>
    <mergeCell ref="S17:S18"/>
    <mergeCell ref="T17:T18"/>
    <mergeCell ref="U17:U18"/>
    <mergeCell ref="V17:V18"/>
    <mergeCell ref="Z17:Z18"/>
    <mergeCell ref="Y17:Y18"/>
    <mergeCell ref="W17:W18"/>
    <mergeCell ref="O15:O16"/>
    <mergeCell ref="P15:P16"/>
    <mergeCell ref="Q15:Q16"/>
    <mergeCell ref="R15:R16"/>
    <mergeCell ref="S15:S16"/>
    <mergeCell ref="T15:T16"/>
    <mergeCell ref="U15:U16"/>
    <mergeCell ref="V15:V16"/>
    <mergeCell ref="Z15:Z16"/>
    <mergeCell ref="O19:O20"/>
    <mergeCell ref="P19:P20"/>
    <mergeCell ref="Q19:Q20"/>
    <mergeCell ref="R19:R20"/>
    <mergeCell ref="S19:S20"/>
    <mergeCell ref="T19:T20"/>
    <mergeCell ref="U19:U20"/>
    <mergeCell ref="V19:V20"/>
    <mergeCell ref="Z19:Z20"/>
    <mergeCell ref="Y19:Y20"/>
    <mergeCell ref="W19:W20"/>
    <mergeCell ref="O21:O22"/>
    <mergeCell ref="P21:P22"/>
    <mergeCell ref="Q21:Q22"/>
    <mergeCell ref="R21:R22"/>
    <mergeCell ref="S21:S22"/>
    <mergeCell ref="T21:T22"/>
    <mergeCell ref="U21:U22"/>
    <mergeCell ref="V21:V22"/>
    <mergeCell ref="Z21:Z22"/>
    <mergeCell ref="Y21:Y22"/>
    <mergeCell ref="W21:W22"/>
    <mergeCell ref="O23:O24"/>
    <mergeCell ref="P23:P24"/>
    <mergeCell ref="Q23:Q24"/>
    <mergeCell ref="R23:R24"/>
    <mergeCell ref="S23:S24"/>
    <mergeCell ref="T23:T24"/>
    <mergeCell ref="U23:U24"/>
    <mergeCell ref="V23:V24"/>
    <mergeCell ref="Z23:Z24"/>
    <mergeCell ref="Y23:Y24"/>
    <mergeCell ref="W23:W24"/>
    <mergeCell ref="O25:O26"/>
    <mergeCell ref="P25:P26"/>
    <mergeCell ref="Q25:Q26"/>
    <mergeCell ref="R25:R26"/>
    <mergeCell ref="S25:S26"/>
    <mergeCell ref="T25:T26"/>
    <mergeCell ref="U25:U26"/>
    <mergeCell ref="V25:V26"/>
    <mergeCell ref="Z25:Z26"/>
    <mergeCell ref="Y25:Y26"/>
    <mergeCell ref="W25:W26"/>
    <mergeCell ref="O27:O28"/>
    <mergeCell ref="P27:P28"/>
    <mergeCell ref="Q27:Q28"/>
    <mergeCell ref="R27:R28"/>
    <mergeCell ref="S27:S28"/>
    <mergeCell ref="T27:T28"/>
    <mergeCell ref="U27:U28"/>
    <mergeCell ref="V27:V28"/>
    <mergeCell ref="Z27:Z28"/>
    <mergeCell ref="Y27:Y28"/>
    <mergeCell ref="P29:P30"/>
    <mergeCell ref="Q29:Q30"/>
    <mergeCell ref="R29:R30"/>
    <mergeCell ref="S29:S30"/>
    <mergeCell ref="T29:T30"/>
    <mergeCell ref="U29:U30"/>
    <mergeCell ref="V29:V30"/>
    <mergeCell ref="Z29:Z30"/>
    <mergeCell ref="Y29:Y30"/>
    <mergeCell ref="W29:W30"/>
    <mergeCell ref="P31:P32"/>
    <mergeCell ref="Q31:Q32"/>
    <mergeCell ref="R31:R32"/>
    <mergeCell ref="S31:S32"/>
    <mergeCell ref="T31:T32"/>
    <mergeCell ref="U31:U32"/>
    <mergeCell ref="V31:V32"/>
    <mergeCell ref="Z31:Z32"/>
    <mergeCell ref="W31:W32"/>
    <mergeCell ref="Y31:Y32"/>
    <mergeCell ref="P33:P34"/>
    <mergeCell ref="Q33:Q34"/>
    <mergeCell ref="R33:R34"/>
    <mergeCell ref="S33:S34"/>
    <mergeCell ref="T33:T34"/>
    <mergeCell ref="U33:U34"/>
    <mergeCell ref="V33:V34"/>
    <mergeCell ref="Z33:Z34"/>
    <mergeCell ref="Y33:Y34"/>
    <mergeCell ref="W33:W34"/>
    <mergeCell ref="O29:O30"/>
    <mergeCell ref="O31:O32"/>
    <mergeCell ref="O33:O34"/>
    <mergeCell ref="O35:O36"/>
    <mergeCell ref="O37:O38"/>
    <mergeCell ref="Y35:Y36"/>
    <mergeCell ref="AA35:AA36"/>
    <mergeCell ref="P37:P38"/>
    <mergeCell ref="Q37:Q38"/>
    <mergeCell ref="R37:R38"/>
    <mergeCell ref="S37:S38"/>
    <mergeCell ref="T37:T38"/>
    <mergeCell ref="U37:U38"/>
    <mergeCell ref="V37:V38"/>
    <mergeCell ref="Z37:Z38"/>
    <mergeCell ref="Y37:Y38"/>
    <mergeCell ref="AA37:AA38"/>
    <mergeCell ref="P35:P36"/>
    <mergeCell ref="Q35:Q36"/>
    <mergeCell ref="R35:R36"/>
    <mergeCell ref="S35:S36"/>
    <mergeCell ref="T35:T36"/>
    <mergeCell ref="U35:U36"/>
    <mergeCell ref="V35:V36"/>
    <mergeCell ref="AA27:AA28"/>
    <mergeCell ref="AA29:AA30"/>
    <mergeCell ref="W27:W28"/>
    <mergeCell ref="AA23:AA24"/>
    <mergeCell ref="AA25:AA26"/>
    <mergeCell ref="AA19:AA20"/>
    <mergeCell ref="AA21:AA22"/>
    <mergeCell ref="AB1:AO2"/>
    <mergeCell ref="AL3:AL4"/>
    <mergeCell ref="W3:W4"/>
    <mergeCell ref="W5:W6"/>
    <mergeCell ref="W7:W8"/>
    <mergeCell ref="W9:W10"/>
    <mergeCell ref="W11:W12"/>
    <mergeCell ref="W13:W14"/>
    <mergeCell ref="W15:W16"/>
    <mergeCell ref="O1:AA2"/>
    <mergeCell ref="AB5:AB16"/>
    <mergeCell ref="AC5:AC8"/>
    <mergeCell ref="AO5:AO8"/>
    <mergeCell ref="AC9:AC12"/>
    <mergeCell ref="AO9:AO12"/>
    <mergeCell ref="AC13:AC16"/>
    <mergeCell ref="AO13:AO16"/>
  </mergeCells>
  <phoneticPr fontId="13" type="noConversion"/>
  <printOptions horizontalCentered="1" verticalCentered="1"/>
  <pageMargins left="0.11811023622047245" right="0.11811023622047245" top="0" bottom="0" header="0" footer="0"/>
  <pageSetup paperSize="9" scale="94" orientation="landscape" r:id="rId1"/>
  <headerFooter scaleWithDoc="0"/>
  <rowBreaks count="1" manualBreakCount="1">
    <brk id="38" max="16383" man="1"/>
  </rowBreaks>
  <colBreaks count="1" manualBreakCount="1"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121920</xdr:colOff>
                    <xdr:row>1</xdr:row>
                    <xdr:rowOff>22860</xdr:rowOff>
                  </from>
                  <to>
                    <xdr:col>9</xdr:col>
                    <xdr:colOff>571500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C34E-F6D5-403A-BD9D-AA1A5875C451}">
  <sheetPr codeName="Feuil2"/>
  <dimension ref="A1:AD173"/>
  <sheetViews>
    <sheetView view="pageLayout" topLeftCell="J1" zoomScaleNormal="100" workbookViewId="0">
      <selection activeCell="N6" sqref="N6"/>
    </sheetView>
  </sheetViews>
  <sheetFormatPr baseColWidth="10" defaultColWidth="11.44140625" defaultRowHeight="14.4" x14ac:dyDescent="0.3"/>
  <cols>
    <col min="1" max="2" width="13.5546875" customWidth="1"/>
    <col min="3" max="3" width="16.109375" customWidth="1"/>
    <col min="4" max="4" width="10" customWidth="1"/>
    <col min="5" max="6" width="11" customWidth="1"/>
    <col min="8" max="8" width="11" customWidth="1"/>
    <col min="9" max="11" width="15" customWidth="1"/>
    <col min="12" max="12" width="20" customWidth="1"/>
    <col min="13" max="14" width="15" customWidth="1"/>
    <col min="15" max="23" width="11" customWidth="1"/>
    <col min="24" max="24" width="10" customWidth="1"/>
    <col min="25" max="25" width="20" customWidth="1"/>
    <col min="26" max="28" width="12.5546875" customWidth="1"/>
    <col min="29" max="29" width="10" customWidth="1"/>
    <col min="30" max="30" width="15" customWidth="1"/>
    <col min="31" max="33" width="10" customWidth="1"/>
  </cols>
  <sheetData>
    <row r="1" spans="1:30" ht="14.4" customHeight="1" thickBot="1" x14ac:dyDescent="0.35">
      <c r="A1" s="379" t="s">
        <v>214</v>
      </c>
      <c r="B1" s="379"/>
      <c r="C1" s="379"/>
      <c r="D1" s="379"/>
      <c r="E1" s="379"/>
      <c r="F1" s="379"/>
      <c r="G1" s="379"/>
      <c r="H1" s="379"/>
      <c r="I1" s="383" t="s">
        <v>222</v>
      </c>
      <c r="J1" s="383"/>
      <c r="K1" s="383"/>
      <c r="L1" s="383"/>
      <c r="M1" s="383"/>
      <c r="N1" s="383"/>
      <c r="O1" s="380"/>
      <c r="P1" s="380"/>
      <c r="Q1" s="380"/>
      <c r="R1" s="380"/>
      <c r="S1" s="380"/>
      <c r="T1" s="380"/>
      <c r="U1" s="380"/>
      <c r="V1" s="380"/>
      <c r="W1" s="380"/>
      <c r="X1" s="606" t="s">
        <v>0</v>
      </c>
      <c r="Y1" s="607" t="s">
        <v>11</v>
      </c>
      <c r="Z1" s="607" t="s">
        <v>248</v>
      </c>
      <c r="AA1" s="607" t="s">
        <v>249</v>
      </c>
      <c r="AB1" s="607" t="s">
        <v>250</v>
      </c>
      <c r="AC1" s="383" t="s">
        <v>251</v>
      </c>
      <c r="AD1" s="383" t="s">
        <v>252</v>
      </c>
    </row>
    <row r="2" spans="1:30" ht="14.4" customHeight="1" thickBot="1" x14ac:dyDescent="0.35">
      <c r="A2" s="378" t="s">
        <v>2</v>
      </c>
      <c r="B2" s="378" t="s">
        <v>207</v>
      </c>
      <c r="C2" s="378" t="s">
        <v>30</v>
      </c>
      <c r="D2" s="378">
        <v>4</v>
      </c>
      <c r="E2" s="378">
        <v>5</v>
      </c>
      <c r="F2" s="378">
        <v>6</v>
      </c>
      <c r="G2" s="378">
        <v>7</v>
      </c>
      <c r="H2" s="378">
        <v>8</v>
      </c>
      <c r="I2" s="383"/>
      <c r="J2" s="383"/>
      <c r="K2" s="383"/>
      <c r="L2" s="383"/>
      <c r="M2" s="383"/>
      <c r="N2" s="383"/>
      <c r="O2" s="380"/>
      <c r="P2" s="380"/>
      <c r="Q2" s="380"/>
      <c r="R2" s="380"/>
      <c r="S2" s="380"/>
      <c r="T2" s="380"/>
      <c r="U2" s="380"/>
      <c r="V2" s="380"/>
      <c r="W2" s="380"/>
      <c r="X2" s="606"/>
      <c r="Y2" s="607"/>
      <c r="Z2" s="607"/>
      <c r="AA2" s="607"/>
      <c r="AB2" s="607"/>
      <c r="AC2" s="383"/>
      <c r="AD2" s="383"/>
    </row>
    <row r="3" spans="1:30" ht="14.4" customHeight="1" thickBot="1" x14ac:dyDescent="0.35">
      <c r="A3" s="378"/>
      <c r="B3" s="378"/>
      <c r="C3" s="378"/>
      <c r="D3" s="378"/>
      <c r="E3" s="378"/>
      <c r="F3" s="378"/>
      <c r="G3" s="378"/>
      <c r="H3" s="378"/>
      <c r="I3" s="233" t="s">
        <v>214</v>
      </c>
      <c r="J3" s="385" t="s">
        <v>221</v>
      </c>
      <c r="K3" s="385"/>
      <c r="L3" s="1"/>
      <c r="O3" s="376" t="s">
        <v>4</v>
      </c>
      <c r="P3" s="376" t="s">
        <v>225</v>
      </c>
      <c r="Q3" s="376" t="s">
        <v>224</v>
      </c>
      <c r="R3" s="388" t="s">
        <v>231</v>
      </c>
      <c r="S3" s="376" t="s">
        <v>156</v>
      </c>
      <c r="T3" s="381" t="s">
        <v>155</v>
      </c>
      <c r="U3" s="377" t="s">
        <v>4</v>
      </c>
      <c r="V3" s="386" t="s">
        <v>142</v>
      </c>
      <c r="W3" s="387" t="s">
        <v>158</v>
      </c>
    </row>
    <row r="4" spans="1:30" ht="14.4" customHeight="1" thickBot="1" x14ac:dyDescent="0.35">
      <c r="A4" s="378"/>
      <c r="B4" s="378"/>
      <c r="C4" s="378"/>
      <c r="D4" s="233" t="s">
        <v>31</v>
      </c>
      <c r="E4" s="234">
        <v>0</v>
      </c>
      <c r="F4" s="234">
        <v>0.05</v>
      </c>
      <c r="G4" s="234">
        <v>0.13</v>
      </c>
      <c r="H4" s="234">
        <v>0.16</v>
      </c>
      <c r="I4" s="378" t="s">
        <v>2</v>
      </c>
      <c r="J4" s="384" t="s">
        <v>230</v>
      </c>
      <c r="K4" s="378" t="s">
        <v>154</v>
      </c>
      <c r="L4" s="378" t="s">
        <v>205</v>
      </c>
      <c r="M4" s="612"/>
      <c r="O4" s="376"/>
      <c r="P4" s="376"/>
      <c r="Q4" s="376"/>
      <c r="R4" s="389"/>
      <c r="S4" s="376"/>
      <c r="T4" s="381"/>
      <c r="U4" s="377"/>
      <c r="V4" s="386"/>
      <c r="W4" s="387"/>
    </row>
    <row r="5" spans="1:30" ht="14.4" customHeight="1" x14ac:dyDescent="0.3">
      <c r="A5" s="236" t="s">
        <v>35</v>
      </c>
      <c r="B5" s="233" t="s">
        <v>209</v>
      </c>
      <c r="C5" s="233" t="s">
        <v>98</v>
      </c>
      <c r="D5" s="233">
        <v>50</v>
      </c>
      <c r="E5" s="233"/>
      <c r="F5" s="233"/>
      <c r="G5" s="233"/>
      <c r="H5" s="233"/>
      <c r="I5" s="378"/>
      <c r="J5" s="384"/>
      <c r="K5" s="378"/>
      <c r="L5" s="378"/>
      <c r="M5" s="612"/>
      <c r="O5" s="264">
        <v>0</v>
      </c>
      <c r="P5" s="265">
        <v>0</v>
      </c>
      <c r="Q5" s="265">
        <v>0</v>
      </c>
      <c r="R5" s="265"/>
      <c r="S5" s="265"/>
      <c r="T5" s="269">
        <v>0</v>
      </c>
      <c r="U5" s="268">
        <v>0</v>
      </c>
      <c r="V5" s="266">
        <v>0</v>
      </c>
      <c r="W5" s="267"/>
    </row>
    <row r="6" spans="1:30" ht="14.4" customHeight="1" x14ac:dyDescent="0.3">
      <c r="A6" s="235" t="s">
        <v>17</v>
      </c>
      <c r="B6" s="233" t="s">
        <v>209</v>
      </c>
      <c r="C6" s="233" t="s">
        <v>93</v>
      </c>
      <c r="D6" s="233">
        <v>100</v>
      </c>
      <c r="E6" s="233">
        <v>0</v>
      </c>
      <c r="F6" s="233"/>
      <c r="G6" s="233"/>
      <c r="H6" s="233"/>
      <c r="I6" s="233" t="s">
        <v>209</v>
      </c>
      <c r="J6" s="233" t="s">
        <v>108</v>
      </c>
      <c r="K6" s="233" t="s">
        <v>155</v>
      </c>
      <c r="L6" s="238" t="s">
        <v>5</v>
      </c>
      <c r="M6" s="604" t="s">
        <v>240</v>
      </c>
      <c r="O6" s="261">
        <v>0.25</v>
      </c>
      <c r="P6" s="246">
        <v>1000</v>
      </c>
      <c r="Q6" s="246">
        <v>1000</v>
      </c>
      <c r="R6" s="246"/>
      <c r="S6" s="5"/>
      <c r="T6" s="262">
        <v>250</v>
      </c>
      <c r="U6" s="6">
        <v>1</v>
      </c>
      <c r="V6" s="5">
        <v>800</v>
      </c>
      <c r="W6" s="263"/>
    </row>
    <row r="7" spans="1:30" ht="14.4" customHeight="1" x14ac:dyDescent="0.3">
      <c r="A7" s="235" t="s">
        <v>36</v>
      </c>
      <c r="B7" s="233" t="s">
        <v>209</v>
      </c>
      <c r="C7" s="233" t="s">
        <v>94</v>
      </c>
      <c r="D7" s="233">
        <v>100</v>
      </c>
      <c r="E7" s="233">
        <v>0</v>
      </c>
      <c r="F7" s="233"/>
      <c r="G7" s="233"/>
      <c r="H7" s="233"/>
      <c r="I7" s="233" t="s">
        <v>212</v>
      </c>
      <c r="J7" s="233" t="s">
        <v>107</v>
      </c>
      <c r="K7" s="233" t="s">
        <v>156</v>
      </c>
      <c r="L7" s="239" t="s">
        <v>130</v>
      </c>
      <c r="M7" s="604" t="s">
        <v>142</v>
      </c>
      <c r="O7" s="247">
        <v>0.5</v>
      </c>
      <c r="P7" s="7">
        <v>2000</v>
      </c>
      <c r="Q7" s="7">
        <v>2000</v>
      </c>
      <c r="R7" s="7"/>
      <c r="S7" s="1"/>
      <c r="T7" s="258">
        <v>500</v>
      </c>
      <c r="U7" s="4">
        <v>2</v>
      </c>
      <c r="V7" s="1">
        <v>1600</v>
      </c>
      <c r="W7" s="248"/>
    </row>
    <row r="8" spans="1:30" ht="14.4" customHeight="1" x14ac:dyDescent="0.3">
      <c r="A8" s="235" t="s">
        <v>37</v>
      </c>
      <c r="B8" s="233" t="s">
        <v>209</v>
      </c>
      <c r="C8" s="233" t="s">
        <v>95</v>
      </c>
      <c r="D8" s="233">
        <v>100</v>
      </c>
      <c r="E8" s="233"/>
      <c r="F8" s="233">
        <v>5</v>
      </c>
      <c r="G8" s="233"/>
      <c r="H8" s="233"/>
      <c r="I8" s="233" t="s">
        <v>208</v>
      </c>
      <c r="J8" s="233" t="s">
        <v>109</v>
      </c>
      <c r="K8" s="233" t="s">
        <v>157</v>
      </c>
      <c r="L8" s="239" t="s">
        <v>6</v>
      </c>
      <c r="M8" s="604" t="s">
        <v>241</v>
      </c>
      <c r="O8" s="247">
        <v>0.75</v>
      </c>
      <c r="P8" s="7">
        <v>3000</v>
      </c>
      <c r="Q8" s="7">
        <v>3000</v>
      </c>
      <c r="R8" s="7"/>
      <c r="S8" s="1"/>
      <c r="T8" s="258">
        <v>750</v>
      </c>
      <c r="U8" s="4">
        <v>3</v>
      </c>
      <c r="V8" s="1">
        <v>2400</v>
      </c>
      <c r="W8" s="248"/>
    </row>
    <row r="9" spans="1:30" ht="14.4" customHeight="1" x14ac:dyDescent="0.3">
      <c r="A9" s="235" t="s">
        <v>38</v>
      </c>
      <c r="B9" s="233" t="s">
        <v>209</v>
      </c>
      <c r="C9" s="233" t="s">
        <v>98</v>
      </c>
      <c r="D9" s="233">
        <v>30</v>
      </c>
      <c r="E9" s="233"/>
      <c r="F9" s="233"/>
      <c r="G9" s="233"/>
      <c r="H9" s="233"/>
      <c r="I9" s="233" t="s">
        <v>213</v>
      </c>
      <c r="J9" s="233" t="s">
        <v>117</v>
      </c>
      <c r="K9" s="233" t="s">
        <v>158</v>
      </c>
      <c r="L9" s="239" t="s">
        <v>7</v>
      </c>
      <c r="M9" s="605" t="s">
        <v>242</v>
      </c>
      <c r="O9" s="247">
        <v>1</v>
      </c>
      <c r="P9" s="260">
        <v>3500</v>
      </c>
      <c r="Q9" s="260">
        <v>4000</v>
      </c>
      <c r="R9" s="260">
        <v>3500</v>
      </c>
      <c r="S9" s="273"/>
      <c r="T9" s="272">
        <v>1000</v>
      </c>
      <c r="U9" s="4">
        <v>4</v>
      </c>
      <c r="V9" s="1">
        <v>3200</v>
      </c>
      <c r="W9" s="248"/>
    </row>
    <row r="10" spans="1:30" ht="14.4" customHeight="1" x14ac:dyDescent="0.3">
      <c r="A10" s="235" t="s">
        <v>39</v>
      </c>
      <c r="B10" s="233" t="s">
        <v>209</v>
      </c>
      <c r="C10" s="233" t="s">
        <v>96</v>
      </c>
      <c r="D10" s="233">
        <v>100</v>
      </c>
      <c r="E10" s="233"/>
      <c r="F10" s="233"/>
      <c r="G10" s="233"/>
      <c r="H10" s="233"/>
      <c r="I10" s="233" t="s">
        <v>141</v>
      </c>
      <c r="J10" s="233" t="s">
        <v>118</v>
      </c>
      <c r="K10" s="233"/>
      <c r="L10" s="239" t="s">
        <v>8</v>
      </c>
      <c r="M10" s="605" t="s">
        <v>243</v>
      </c>
      <c r="O10" s="247">
        <v>1.25</v>
      </c>
      <c r="P10" s="7">
        <v>4500</v>
      </c>
      <c r="Q10" s="249">
        <v>5000</v>
      </c>
      <c r="R10" s="249"/>
      <c r="S10" s="1"/>
      <c r="T10" s="258">
        <v>1250</v>
      </c>
      <c r="U10" s="4">
        <v>5</v>
      </c>
      <c r="V10" s="1">
        <v>4000</v>
      </c>
      <c r="W10" s="248"/>
    </row>
    <row r="11" spans="1:30" ht="14.4" customHeight="1" x14ac:dyDescent="0.3">
      <c r="A11" s="237" t="s">
        <v>104</v>
      </c>
      <c r="B11" s="233" t="s">
        <v>212</v>
      </c>
      <c r="C11" s="233"/>
      <c r="D11" s="233">
        <v>100</v>
      </c>
      <c r="E11" s="233"/>
      <c r="F11" s="233">
        <v>5</v>
      </c>
      <c r="G11" s="233"/>
      <c r="H11" s="233"/>
      <c r="I11" s="233" t="s">
        <v>210</v>
      </c>
      <c r="J11" s="233" t="s">
        <v>129</v>
      </c>
      <c r="K11" s="233"/>
      <c r="L11" s="240" t="s">
        <v>215</v>
      </c>
      <c r="M11" s="605" t="s">
        <v>244</v>
      </c>
      <c r="O11" s="247">
        <v>1.5</v>
      </c>
      <c r="P11" s="7">
        <v>5500</v>
      </c>
      <c r="Q11" s="249">
        <v>6000</v>
      </c>
      <c r="R11" s="249"/>
      <c r="S11" s="1"/>
      <c r="T11" s="258">
        <v>1500</v>
      </c>
      <c r="U11" s="4">
        <v>6</v>
      </c>
      <c r="V11" s="1">
        <v>4800</v>
      </c>
      <c r="W11" s="248"/>
    </row>
    <row r="12" spans="1:30" ht="14.4" customHeight="1" x14ac:dyDescent="0.3">
      <c r="A12" s="237" t="s">
        <v>211</v>
      </c>
      <c r="B12" s="233" t="s">
        <v>40</v>
      </c>
      <c r="C12" s="233" t="s">
        <v>112</v>
      </c>
      <c r="D12" s="233">
        <v>100</v>
      </c>
      <c r="E12" s="234"/>
      <c r="F12" s="233"/>
      <c r="G12" s="233"/>
      <c r="H12" s="233">
        <v>16</v>
      </c>
      <c r="I12" s="233" t="s">
        <v>41</v>
      </c>
      <c r="J12" s="233" t="s">
        <v>232</v>
      </c>
      <c r="K12" s="233"/>
      <c r="L12" s="240" t="s">
        <v>216</v>
      </c>
      <c r="M12" s="605" t="s">
        <v>245</v>
      </c>
      <c r="O12" s="247">
        <v>1.75</v>
      </c>
      <c r="P12" s="7">
        <v>6500</v>
      </c>
      <c r="Q12" s="249">
        <v>7000</v>
      </c>
      <c r="R12" s="249"/>
      <c r="S12" s="1"/>
      <c r="T12" s="258">
        <v>1750</v>
      </c>
      <c r="U12" s="4">
        <v>7</v>
      </c>
      <c r="V12" s="1">
        <v>5600</v>
      </c>
      <c r="W12" s="248"/>
    </row>
    <row r="13" spans="1:30" ht="14.4" customHeight="1" x14ac:dyDescent="0.3">
      <c r="A13" s="237" t="s">
        <v>50</v>
      </c>
      <c r="B13" s="233" t="s">
        <v>208</v>
      </c>
      <c r="C13" s="233" t="s">
        <v>97</v>
      </c>
      <c r="D13" s="233">
        <v>100</v>
      </c>
      <c r="E13" s="233"/>
      <c r="F13" s="233"/>
      <c r="G13" s="233"/>
      <c r="H13" s="233">
        <v>16</v>
      </c>
      <c r="I13" s="233" t="s">
        <v>42</v>
      </c>
      <c r="J13" s="233"/>
      <c r="K13" s="233"/>
      <c r="L13" s="240" t="s">
        <v>217</v>
      </c>
      <c r="M13" s="605" t="s">
        <v>246</v>
      </c>
      <c r="O13" s="247">
        <v>2</v>
      </c>
      <c r="P13" s="7">
        <v>7000</v>
      </c>
      <c r="Q13" s="249">
        <v>8000</v>
      </c>
      <c r="R13" s="249"/>
      <c r="S13" s="1"/>
      <c r="T13" s="258">
        <v>2000</v>
      </c>
      <c r="U13" s="4">
        <v>8</v>
      </c>
      <c r="V13" s="1">
        <v>6400</v>
      </c>
      <c r="W13" s="248"/>
    </row>
    <row r="14" spans="1:30" ht="14.4" customHeight="1" x14ac:dyDescent="0.3">
      <c r="A14" s="237" t="s">
        <v>152</v>
      </c>
      <c r="B14" s="233" t="s">
        <v>208</v>
      </c>
      <c r="C14" s="233" t="s">
        <v>153</v>
      </c>
      <c r="D14" s="233">
        <v>100</v>
      </c>
      <c r="E14" s="233"/>
      <c r="F14" s="233"/>
      <c r="G14" s="233"/>
      <c r="H14" s="233">
        <v>16</v>
      </c>
      <c r="I14" s="233" t="s">
        <v>233</v>
      </c>
      <c r="J14" s="233"/>
      <c r="K14" s="233"/>
      <c r="L14" s="240" t="s">
        <v>218</v>
      </c>
      <c r="M14" s="605" t="s">
        <v>247</v>
      </c>
      <c r="O14" s="247">
        <v>2.25</v>
      </c>
      <c r="P14" s="7">
        <v>8000</v>
      </c>
      <c r="Q14" s="249">
        <v>9000</v>
      </c>
      <c r="R14" s="249"/>
      <c r="S14" s="1"/>
      <c r="T14" s="258">
        <v>2250</v>
      </c>
      <c r="U14" s="4">
        <v>9</v>
      </c>
      <c r="V14" s="1">
        <v>7200</v>
      </c>
      <c r="W14" s="248"/>
    </row>
    <row r="15" spans="1:30" ht="14.4" customHeight="1" x14ac:dyDescent="0.3">
      <c r="A15" s="237" t="s">
        <v>142</v>
      </c>
      <c r="B15" s="233" t="s">
        <v>208</v>
      </c>
      <c r="C15" s="233" t="s">
        <v>143</v>
      </c>
      <c r="D15" s="233">
        <v>100</v>
      </c>
      <c r="E15" s="233"/>
      <c r="F15" s="233"/>
      <c r="G15" s="233"/>
      <c r="H15" s="233">
        <v>16</v>
      </c>
      <c r="I15" s="233"/>
      <c r="J15" s="233"/>
      <c r="K15" s="233"/>
      <c r="L15" s="240" t="s">
        <v>219</v>
      </c>
      <c r="O15" s="247">
        <v>2.5</v>
      </c>
      <c r="P15" s="7">
        <v>9000</v>
      </c>
      <c r="Q15" s="249">
        <v>10000</v>
      </c>
      <c r="R15" s="249"/>
      <c r="S15" s="1"/>
      <c r="T15" s="258">
        <v>2500</v>
      </c>
      <c r="U15" s="4">
        <v>10</v>
      </c>
      <c r="V15" s="1">
        <v>8000</v>
      </c>
      <c r="W15" s="248"/>
    </row>
    <row r="16" spans="1:30" ht="14.4" customHeight="1" x14ac:dyDescent="0.3">
      <c r="A16" s="237" t="s">
        <v>52</v>
      </c>
      <c r="B16" s="233" t="s">
        <v>209</v>
      </c>
      <c r="C16" s="233" t="s">
        <v>105</v>
      </c>
      <c r="D16" s="233">
        <v>30</v>
      </c>
      <c r="E16" s="233">
        <v>0</v>
      </c>
      <c r="F16" s="233"/>
      <c r="G16" s="233"/>
      <c r="H16" s="233"/>
      <c r="I16" s="233"/>
      <c r="J16" s="233"/>
      <c r="K16" s="233"/>
      <c r="L16" s="240" t="s">
        <v>220</v>
      </c>
      <c r="O16" s="247">
        <v>2.75</v>
      </c>
      <c r="P16" s="7">
        <v>10000</v>
      </c>
      <c r="Q16" s="249">
        <v>11000</v>
      </c>
      <c r="R16" s="249"/>
      <c r="S16" s="1"/>
      <c r="T16" s="258">
        <v>2750</v>
      </c>
      <c r="U16" s="4">
        <v>11</v>
      </c>
      <c r="V16" s="1">
        <v>8800</v>
      </c>
      <c r="W16" s="248"/>
    </row>
    <row r="17" spans="1:23" ht="14.4" customHeight="1" x14ac:dyDescent="0.3">
      <c r="A17" s="237" t="s">
        <v>53</v>
      </c>
      <c r="B17" s="233" t="s">
        <v>42</v>
      </c>
      <c r="C17" s="233" t="s">
        <v>99</v>
      </c>
      <c r="D17" s="233">
        <v>100</v>
      </c>
      <c r="E17" s="233"/>
      <c r="F17" s="233"/>
      <c r="G17" s="233"/>
      <c r="H17" s="233"/>
      <c r="I17" s="233"/>
      <c r="J17" s="233"/>
      <c r="K17" s="233"/>
      <c r="L17" s="233"/>
      <c r="O17" s="247">
        <v>3</v>
      </c>
      <c r="P17" s="7">
        <v>10500</v>
      </c>
      <c r="Q17" s="249">
        <v>12000</v>
      </c>
      <c r="R17" s="249"/>
      <c r="S17" s="1"/>
      <c r="T17" s="258">
        <v>3000</v>
      </c>
      <c r="U17" s="4">
        <v>12</v>
      </c>
      <c r="V17" s="1">
        <v>9600</v>
      </c>
      <c r="W17" s="248"/>
    </row>
    <row r="18" spans="1:23" ht="14.4" customHeight="1" x14ac:dyDescent="0.3">
      <c r="A18" s="237" t="s">
        <v>100</v>
      </c>
      <c r="B18" s="233" t="s">
        <v>41</v>
      </c>
      <c r="C18" s="237"/>
      <c r="D18" s="233">
        <v>100</v>
      </c>
      <c r="E18" s="233"/>
      <c r="F18" s="233">
        <v>5</v>
      </c>
      <c r="G18" s="233"/>
      <c r="H18" s="233"/>
      <c r="I18" s="233"/>
      <c r="J18" s="233"/>
      <c r="K18" s="233"/>
      <c r="L18" s="233"/>
      <c r="O18" s="247">
        <v>3.25</v>
      </c>
      <c r="P18" s="7">
        <v>11500</v>
      </c>
      <c r="Q18" s="249">
        <v>13000</v>
      </c>
      <c r="R18" s="249"/>
      <c r="S18" s="1"/>
      <c r="T18" s="258">
        <v>3250</v>
      </c>
      <c r="U18" s="4">
        <v>13</v>
      </c>
      <c r="V18" s="1">
        <v>10400</v>
      </c>
      <c r="W18" s="248"/>
    </row>
    <row r="19" spans="1:23" x14ac:dyDescent="0.3">
      <c r="A19" s="237" t="s">
        <v>147</v>
      </c>
      <c r="B19" s="233" t="s">
        <v>213</v>
      </c>
      <c r="C19" s="237" t="s">
        <v>144</v>
      </c>
      <c r="D19" s="233">
        <v>100</v>
      </c>
      <c r="E19" s="233">
        <v>0</v>
      </c>
      <c r="F19" s="233"/>
      <c r="G19" s="233"/>
      <c r="H19" s="233"/>
      <c r="I19" s="233"/>
      <c r="J19" s="233"/>
      <c r="K19" s="233"/>
      <c r="L19" s="233"/>
      <c r="O19" s="247">
        <v>3.5</v>
      </c>
      <c r="P19" s="7">
        <v>12500</v>
      </c>
      <c r="Q19" s="249">
        <v>14000</v>
      </c>
      <c r="R19" s="249"/>
      <c r="S19" s="1"/>
      <c r="T19" s="258">
        <v>3500</v>
      </c>
      <c r="U19" s="4">
        <v>14</v>
      </c>
      <c r="V19" s="1">
        <v>11200</v>
      </c>
      <c r="W19" s="248"/>
    </row>
    <row r="20" spans="1:23" x14ac:dyDescent="0.3">
      <c r="A20" s="237" t="s">
        <v>148</v>
      </c>
      <c r="B20" s="233" t="s">
        <v>213</v>
      </c>
      <c r="C20" s="237" t="s">
        <v>145</v>
      </c>
      <c r="D20" s="233">
        <v>100</v>
      </c>
      <c r="E20" s="233">
        <v>0</v>
      </c>
      <c r="F20" s="233"/>
      <c r="G20" s="233"/>
      <c r="H20" s="233"/>
      <c r="I20" s="233"/>
      <c r="J20" s="233"/>
      <c r="K20" s="233"/>
      <c r="L20" s="233"/>
      <c r="O20" s="247">
        <v>3.75</v>
      </c>
      <c r="P20" s="7">
        <v>13500</v>
      </c>
      <c r="Q20" s="249">
        <v>15000</v>
      </c>
      <c r="R20" s="249"/>
      <c r="S20" s="1"/>
      <c r="T20" s="258">
        <v>3750</v>
      </c>
      <c r="U20" s="4">
        <v>15</v>
      </c>
      <c r="V20" s="1">
        <v>12000</v>
      </c>
      <c r="W20" s="248"/>
    </row>
    <row r="21" spans="1:23" x14ac:dyDescent="0.3">
      <c r="A21" s="237" t="s">
        <v>149</v>
      </c>
      <c r="B21" s="233" t="s">
        <v>213</v>
      </c>
      <c r="C21" s="237" t="s">
        <v>146</v>
      </c>
      <c r="D21" s="233">
        <v>100</v>
      </c>
      <c r="E21" s="233">
        <v>0</v>
      </c>
      <c r="F21" s="233"/>
      <c r="G21" s="233"/>
      <c r="H21" s="233"/>
      <c r="I21" s="1"/>
      <c r="J21" s="233"/>
      <c r="K21" s="233"/>
      <c r="L21" s="233"/>
      <c r="O21" s="247">
        <v>4</v>
      </c>
      <c r="P21" s="7">
        <v>14000</v>
      </c>
      <c r="Q21" s="249">
        <v>16000</v>
      </c>
      <c r="R21" s="249"/>
      <c r="S21" s="1"/>
      <c r="T21" s="258">
        <v>4000</v>
      </c>
      <c r="U21" s="4">
        <v>16</v>
      </c>
      <c r="V21" s="1">
        <v>12800</v>
      </c>
      <c r="W21" s="248"/>
    </row>
    <row r="22" spans="1:23" x14ac:dyDescent="0.3">
      <c r="A22" s="237" t="s">
        <v>42</v>
      </c>
      <c r="B22" s="233" t="s">
        <v>42</v>
      </c>
      <c r="C22" s="237" t="s">
        <v>111</v>
      </c>
      <c r="D22" s="233">
        <v>100</v>
      </c>
      <c r="E22" s="233">
        <v>0</v>
      </c>
      <c r="F22" s="233"/>
      <c r="G22" s="233"/>
      <c r="H22" s="233"/>
      <c r="J22" s="1"/>
      <c r="K22" s="1"/>
      <c r="L22" s="1"/>
      <c r="O22" s="247">
        <v>4.25</v>
      </c>
      <c r="P22" s="7">
        <v>15000</v>
      </c>
      <c r="Q22" s="249">
        <v>17000</v>
      </c>
      <c r="R22" s="249"/>
      <c r="S22" s="1"/>
      <c r="T22" s="258">
        <v>4250</v>
      </c>
      <c r="U22" s="4">
        <v>17</v>
      </c>
      <c r="V22" s="1">
        <v>13600</v>
      </c>
      <c r="W22" s="248"/>
    </row>
    <row r="23" spans="1:23" x14ac:dyDescent="0.3">
      <c r="A23" s="237" t="s">
        <v>51</v>
      </c>
      <c r="B23" s="233" t="s">
        <v>208</v>
      </c>
      <c r="C23" s="237" t="s">
        <v>112</v>
      </c>
      <c r="D23" s="233">
        <v>100</v>
      </c>
      <c r="E23" s="233"/>
      <c r="F23" s="233"/>
      <c r="G23" s="233"/>
      <c r="H23" s="233">
        <v>16</v>
      </c>
      <c r="O23" s="247">
        <v>4.5</v>
      </c>
      <c r="P23" s="7">
        <v>16000</v>
      </c>
      <c r="Q23" s="249">
        <v>18000</v>
      </c>
      <c r="R23" s="249"/>
      <c r="S23" s="1"/>
      <c r="T23" s="258">
        <v>4500</v>
      </c>
      <c r="U23" s="4">
        <v>18</v>
      </c>
      <c r="V23" s="1">
        <v>14400</v>
      </c>
      <c r="W23" s="248"/>
    </row>
    <row r="24" spans="1:23" x14ac:dyDescent="0.3">
      <c r="A24" s="237" t="s">
        <v>54</v>
      </c>
      <c r="B24" s="233" t="s">
        <v>210</v>
      </c>
      <c r="C24" s="237" t="s">
        <v>110</v>
      </c>
      <c r="D24" s="233">
        <v>30</v>
      </c>
      <c r="E24" s="233">
        <v>0</v>
      </c>
      <c r="F24" s="233"/>
      <c r="G24" s="233"/>
      <c r="H24" s="233"/>
      <c r="O24" s="247">
        <v>4.75</v>
      </c>
      <c r="P24" s="7">
        <v>17000</v>
      </c>
      <c r="Q24" s="249">
        <v>19000</v>
      </c>
      <c r="R24" s="249"/>
      <c r="S24" s="1"/>
      <c r="T24" s="258">
        <v>4750</v>
      </c>
      <c r="U24" s="4">
        <v>19</v>
      </c>
      <c r="V24" s="1">
        <v>15200</v>
      </c>
      <c r="W24" s="248"/>
    </row>
    <row r="25" spans="1:23" x14ac:dyDescent="0.3">
      <c r="A25" s="237" t="s">
        <v>113</v>
      </c>
      <c r="B25" s="233" t="s">
        <v>212</v>
      </c>
      <c r="C25" s="237" t="s">
        <v>112</v>
      </c>
      <c r="D25" s="233">
        <v>100</v>
      </c>
      <c r="E25" s="233">
        <v>0</v>
      </c>
      <c r="F25" s="233"/>
      <c r="G25" s="233"/>
      <c r="H25" s="233"/>
      <c r="I25" t="s">
        <v>228</v>
      </c>
      <c r="O25" s="247">
        <v>5</v>
      </c>
      <c r="P25" s="7">
        <v>17500</v>
      </c>
      <c r="Q25" s="249">
        <v>20000</v>
      </c>
      <c r="R25" s="249"/>
      <c r="S25" s="1"/>
      <c r="T25" s="258">
        <v>5000</v>
      </c>
      <c r="U25" s="4">
        <v>20</v>
      </c>
      <c r="V25" s="1">
        <v>16000</v>
      </c>
      <c r="W25" s="248"/>
    </row>
    <row r="26" spans="1:23" x14ac:dyDescent="0.3">
      <c r="A26" s="237" t="s">
        <v>114</v>
      </c>
      <c r="B26" s="233" t="s">
        <v>212</v>
      </c>
      <c r="C26" s="237" t="s">
        <v>112</v>
      </c>
      <c r="D26" s="233">
        <v>100</v>
      </c>
      <c r="E26" s="233"/>
      <c r="F26" s="233">
        <v>5</v>
      </c>
      <c r="G26" s="233"/>
      <c r="H26" s="233"/>
      <c r="O26" s="247">
        <v>5.25</v>
      </c>
      <c r="P26" s="7">
        <v>18500</v>
      </c>
      <c r="Q26" s="249">
        <v>21000</v>
      </c>
      <c r="R26" s="249"/>
      <c r="S26" s="1"/>
      <c r="T26" s="258">
        <v>5250</v>
      </c>
      <c r="U26" s="4">
        <v>21</v>
      </c>
      <c r="V26" s="1">
        <v>16800</v>
      </c>
      <c r="W26" s="248"/>
    </row>
    <row r="27" spans="1:23" x14ac:dyDescent="0.3">
      <c r="A27" s="233" t="s">
        <v>103</v>
      </c>
      <c r="B27" s="233" t="s">
        <v>212</v>
      </c>
      <c r="C27" s="237" t="s">
        <v>112</v>
      </c>
      <c r="D27" s="233">
        <v>100</v>
      </c>
      <c r="E27" s="233"/>
      <c r="F27" s="233"/>
      <c r="G27" s="233"/>
      <c r="H27" s="233">
        <v>16</v>
      </c>
      <c r="O27" s="247">
        <v>5.5</v>
      </c>
      <c r="P27" s="7">
        <v>19500</v>
      </c>
      <c r="Q27" s="249">
        <v>22000</v>
      </c>
      <c r="R27" s="249"/>
      <c r="S27" s="1"/>
      <c r="T27" s="258">
        <v>5500</v>
      </c>
      <c r="U27" s="4">
        <v>22</v>
      </c>
      <c r="V27" s="1">
        <v>17600</v>
      </c>
      <c r="W27" s="248"/>
    </row>
    <row r="28" spans="1:23" x14ac:dyDescent="0.3">
      <c r="A28" s="233" t="s">
        <v>101</v>
      </c>
      <c r="B28" s="233" t="s">
        <v>41</v>
      </c>
      <c r="C28" s="237"/>
      <c r="D28" s="233">
        <v>100</v>
      </c>
      <c r="E28" s="233"/>
      <c r="F28" s="233"/>
      <c r="G28" s="233"/>
      <c r="H28" s="233">
        <v>16</v>
      </c>
      <c r="O28" s="247">
        <v>5.75</v>
      </c>
      <c r="P28" s="7">
        <v>20500</v>
      </c>
      <c r="Q28" s="249">
        <v>23000</v>
      </c>
      <c r="R28" s="249"/>
      <c r="S28" s="1"/>
      <c r="T28" s="258">
        <v>5750</v>
      </c>
      <c r="U28" s="4">
        <v>23</v>
      </c>
      <c r="V28" s="1">
        <v>18400</v>
      </c>
      <c r="W28" s="248"/>
    </row>
    <row r="29" spans="1:23" x14ac:dyDescent="0.3">
      <c r="A29" s="233" t="s">
        <v>100</v>
      </c>
      <c r="B29" s="233" t="s">
        <v>41</v>
      </c>
      <c r="C29" s="237"/>
      <c r="D29" s="233">
        <v>100</v>
      </c>
      <c r="E29" s="233"/>
      <c r="F29" s="233">
        <v>5</v>
      </c>
      <c r="G29" s="233"/>
      <c r="H29" s="233"/>
      <c r="O29" s="247">
        <v>6</v>
      </c>
      <c r="P29" s="7">
        <v>21000</v>
      </c>
      <c r="Q29" s="249">
        <v>24000</v>
      </c>
      <c r="R29" s="249"/>
      <c r="S29" s="1"/>
      <c r="T29" s="258">
        <v>6000</v>
      </c>
      <c r="U29" s="4">
        <v>24</v>
      </c>
      <c r="V29" s="1">
        <v>19200</v>
      </c>
      <c r="W29" s="248"/>
    </row>
    <row r="30" spans="1:23" x14ac:dyDescent="0.3">
      <c r="A30" s="233" t="s">
        <v>102</v>
      </c>
      <c r="B30" s="233" t="s">
        <v>41</v>
      </c>
      <c r="C30" s="237"/>
      <c r="D30" s="233">
        <v>100</v>
      </c>
      <c r="E30" s="233">
        <v>0</v>
      </c>
      <c r="F30" s="233"/>
      <c r="G30" s="233"/>
      <c r="H30" s="233"/>
      <c r="O30" s="250">
        <v>6.25</v>
      </c>
      <c r="P30" s="1">
        <v>22000</v>
      </c>
      <c r="Q30" s="249">
        <v>25000</v>
      </c>
      <c r="R30" s="249"/>
      <c r="S30" s="1"/>
      <c r="T30" s="258">
        <v>6250</v>
      </c>
      <c r="U30" s="4">
        <v>25</v>
      </c>
      <c r="V30" s="1">
        <v>20000</v>
      </c>
      <c r="W30" s="248"/>
    </row>
    <row r="31" spans="1:23" x14ac:dyDescent="0.3">
      <c r="A31" s="233" t="s">
        <v>115</v>
      </c>
      <c r="B31" s="233" t="s">
        <v>210</v>
      </c>
      <c r="C31" s="237" t="s">
        <v>98</v>
      </c>
      <c r="D31" s="233">
        <v>50</v>
      </c>
      <c r="E31" s="233"/>
      <c r="F31" s="233"/>
      <c r="G31" s="233"/>
      <c r="H31" s="233">
        <v>16</v>
      </c>
      <c r="O31" s="250">
        <v>6.5</v>
      </c>
      <c r="P31" s="1">
        <v>23000</v>
      </c>
      <c r="Q31" s="249">
        <v>26000</v>
      </c>
      <c r="R31" s="249"/>
      <c r="S31" s="1"/>
      <c r="T31" s="258">
        <v>6500</v>
      </c>
      <c r="U31" s="4">
        <v>26</v>
      </c>
      <c r="V31" s="1">
        <v>20800</v>
      </c>
      <c r="W31" s="248"/>
    </row>
    <row r="32" spans="1:23" x14ac:dyDescent="0.3">
      <c r="A32" s="233" t="s">
        <v>140</v>
      </c>
      <c r="B32" s="233" t="s">
        <v>141</v>
      </c>
      <c r="C32" s="237" t="s">
        <v>141</v>
      </c>
      <c r="D32" s="233">
        <v>100</v>
      </c>
      <c r="E32" s="233">
        <v>0</v>
      </c>
      <c r="F32" s="233"/>
      <c r="G32" s="233"/>
      <c r="H32" s="233"/>
      <c r="O32" s="250">
        <v>6.75</v>
      </c>
      <c r="P32" s="1">
        <v>24000</v>
      </c>
      <c r="Q32" s="249">
        <v>27000</v>
      </c>
      <c r="R32" s="249"/>
      <c r="S32" s="1"/>
      <c r="T32" s="258">
        <v>6750</v>
      </c>
      <c r="U32" s="4">
        <v>27</v>
      </c>
      <c r="V32" s="1">
        <v>21600</v>
      </c>
      <c r="W32" s="248"/>
    </row>
    <row r="33" spans="1:23" x14ac:dyDescent="0.3">
      <c r="A33" s="233" t="s">
        <v>150</v>
      </c>
      <c r="B33" s="233" t="s">
        <v>210</v>
      </c>
      <c r="C33" s="237" t="s">
        <v>151</v>
      </c>
      <c r="D33" s="233">
        <v>40</v>
      </c>
      <c r="E33" s="233">
        <v>0</v>
      </c>
      <c r="F33" s="233"/>
      <c r="G33" s="233"/>
      <c r="H33" s="233"/>
      <c r="O33" s="250">
        <v>7</v>
      </c>
      <c r="P33" s="1">
        <v>24500</v>
      </c>
      <c r="Q33" s="249">
        <v>28000</v>
      </c>
      <c r="R33" s="249"/>
      <c r="S33" s="1"/>
      <c r="T33" s="258">
        <v>7000</v>
      </c>
      <c r="U33" s="4">
        <v>28</v>
      </c>
      <c r="V33" s="1">
        <v>22400</v>
      </c>
      <c r="W33" s="248"/>
    </row>
    <row r="34" spans="1:23" x14ac:dyDescent="0.3">
      <c r="A34" s="233" t="s">
        <v>192</v>
      </c>
      <c r="B34" s="233" t="s">
        <v>210</v>
      </c>
      <c r="C34" s="237" t="s">
        <v>193</v>
      </c>
      <c r="D34" s="233">
        <v>100</v>
      </c>
      <c r="E34" s="233"/>
      <c r="F34" s="233"/>
      <c r="G34" s="233"/>
      <c r="H34" s="233">
        <v>16</v>
      </c>
      <c r="O34" s="250">
        <v>7.25</v>
      </c>
      <c r="P34" s="1">
        <v>25500</v>
      </c>
      <c r="Q34" s="249">
        <v>29000</v>
      </c>
      <c r="R34" s="249"/>
      <c r="S34" s="1"/>
      <c r="T34" s="258">
        <v>7250</v>
      </c>
      <c r="U34" s="4">
        <v>29</v>
      </c>
      <c r="V34" s="1">
        <v>23200</v>
      </c>
      <c r="W34" s="248"/>
    </row>
    <row r="35" spans="1:23" x14ac:dyDescent="0.3">
      <c r="A35" s="233" t="s">
        <v>194</v>
      </c>
      <c r="B35" s="233" t="s">
        <v>210</v>
      </c>
      <c r="C35" s="237" t="s">
        <v>195</v>
      </c>
      <c r="D35" s="233">
        <v>100</v>
      </c>
      <c r="E35" s="233"/>
      <c r="F35" s="233"/>
      <c r="G35" s="233"/>
      <c r="H35" s="233"/>
      <c r="O35" s="250">
        <v>7.5</v>
      </c>
      <c r="P35" s="1">
        <v>26500</v>
      </c>
      <c r="Q35" s="249">
        <v>30000</v>
      </c>
      <c r="R35" s="249"/>
      <c r="S35" s="1"/>
      <c r="T35" s="258">
        <v>7500</v>
      </c>
      <c r="U35" s="4">
        <v>30</v>
      </c>
      <c r="V35" s="1">
        <v>24000</v>
      </c>
      <c r="W35" s="248"/>
    </row>
    <row r="36" spans="1:23" x14ac:dyDescent="0.3">
      <c r="A36" s="233" t="s">
        <v>196</v>
      </c>
      <c r="B36" s="233" t="s">
        <v>42</v>
      </c>
      <c r="C36" s="237" t="s">
        <v>197</v>
      </c>
      <c r="D36" s="233">
        <v>100</v>
      </c>
      <c r="E36" s="233">
        <v>0</v>
      </c>
      <c r="F36" s="233"/>
      <c r="G36" s="233"/>
      <c r="H36" s="233"/>
      <c r="O36" s="250">
        <v>7.75</v>
      </c>
      <c r="P36" s="1">
        <v>27500</v>
      </c>
      <c r="Q36" s="249">
        <v>31000</v>
      </c>
      <c r="R36" s="249"/>
      <c r="S36" s="1"/>
      <c r="T36" s="258">
        <v>7750</v>
      </c>
      <c r="U36" s="4">
        <v>31</v>
      </c>
      <c r="V36" s="1">
        <v>24800</v>
      </c>
      <c r="W36" s="248"/>
    </row>
    <row r="37" spans="1:23" x14ac:dyDescent="0.3">
      <c r="A37" s="233" t="s">
        <v>198</v>
      </c>
      <c r="B37" s="233" t="s">
        <v>210</v>
      </c>
      <c r="C37" s="237" t="s">
        <v>199</v>
      </c>
      <c r="D37" s="233">
        <v>100</v>
      </c>
      <c r="E37" s="233"/>
      <c r="F37" s="233"/>
      <c r="G37" s="233"/>
      <c r="H37" s="233"/>
      <c r="O37" s="250">
        <v>8</v>
      </c>
      <c r="P37" s="1">
        <v>28000</v>
      </c>
      <c r="Q37" s="249">
        <v>32000</v>
      </c>
      <c r="R37" s="249"/>
      <c r="S37" s="1"/>
      <c r="T37" s="258">
        <v>8000</v>
      </c>
      <c r="U37" s="4">
        <v>32</v>
      </c>
      <c r="V37" s="1">
        <v>25600</v>
      </c>
      <c r="W37" s="248"/>
    </row>
    <row r="38" spans="1:23" x14ac:dyDescent="0.3">
      <c r="A38" s="233" t="s">
        <v>200</v>
      </c>
      <c r="B38" s="233" t="s">
        <v>210</v>
      </c>
      <c r="C38" s="237" t="s">
        <v>201</v>
      </c>
      <c r="D38" s="233">
        <v>100</v>
      </c>
      <c r="E38" s="233"/>
      <c r="F38" s="233"/>
      <c r="G38" s="233"/>
      <c r="H38" s="233">
        <v>16</v>
      </c>
      <c r="O38" s="250">
        <v>8.25</v>
      </c>
      <c r="P38" s="1">
        <v>29000</v>
      </c>
      <c r="Q38" s="249">
        <v>33000</v>
      </c>
      <c r="R38" s="249"/>
      <c r="S38" s="1"/>
      <c r="T38" s="258">
        <v>8250</v>
      </c>
      <c r="U38" s="4">
        <v>33</v>
      </c>
      <c r="V38" s="1">
        <v>26400</v>
      </c>
      <c r="W38" s="248"/>
    </row>
    <row r="39" spans="1:23" x14ac:dyDescent="0.3">
      <c r="A39" s="233" t="s">
        <v>202</v>
      </c>
      <c r="B39" s="233" t="s">
        <v>208</v>
      </c>
      <c r="C39" s="237" t="s">
        <v>143</v>
      </c>
      <c r="D39" s="233">
        <v>100</v>
      </c>
      <c r="E39" s="233"/>
      <c r="F39" s="233"/>
      <c r="G39" s="233"/>
      <c r="H39" s="233">
        <v>16</v>
      </c>
      <c r="O39" s="250">
        <v>8.5</v>
      </c>
      <c r="P39" s="1">
        <v>30000</v>
      </c>
      <c r="Q39" s="249">
        <v>34000</v>
      </c>
      <c r="R39" s="249"/>
      <c r="S39" s="1"/>
      <c r="T39" s="258">
        <v>8500</v>
      </c>
      <c r="U39" s="4">
        <v>34</v>
      </c>
      <c r="V39" s="1">
        <v>27200</v>
      </c>
      <c r="W39" s="248"/>
    </row>
    <row r="40" spans="1:23" x14ac:dyDescent="0.3">
      <c r="A40" s="233" t="s">
        <v>203</v>
      </c>
      <c r="B40" s="233" t="s">
        <v>42</v>
      </c>
      <c r="C40" s="237" t="s">
        <v>41</v>
      </c>
      <c r="D40" s="233">
        <v>100</v>
      </c>
      <c r="E40" s="233">
        <v>0</v>
      </c>
      <c r="F40" s="233"/>
      <c r="G40" s="233"/>
      <c r="H40" s="233"/>
      <c r="O40" s="250">
        <v>8.75</v>
      </c>
      <c r="P40" s="1">
        <v>31000</v>
      </c>
      <c r="Q40" s="249">
        <v>35000</v>
      </c>
      <c r="R40" s="249"/>
      <c r="S40" s="1"/>
      <c r="T40" s="258">
        <v>8750</v>
      </c>
      <c r="U40" s="4">
        <v>35</v>
      </c>
      <c r="V40" s="1">
        <v>28000</v>
      </c>
      <c r="W40" s="248"/>
    </row>
    <row r="41" spans="1:23" x14ac:dyDescent="0.3">
      <c r="A41" s="233" t="s">
        <v>42</v>
      </c>
      <c r="B41" s="233" t="s">
        <v>42</v>
      </c>
      <c r="C41" s="237" t="s">
        <v>204</v>
      </c>
      <c r="D41" s="233">
        <v>100</v>
      </c>
      <c r="E41" s="233">
        <v>0</v>
      </c>
      <c r="F41" s="233"/>
      <c r="G41" s="233"/>
      <c r="H41" s="233"/>
      <c r="O41" s="250">
        <v>9</v>
      </c>
      <c r="P41" s="1">
        <v>31500</v>
      </c>
      <c r="Q41" s="249">
        <v>36000</v>
      </c>
      <c r="R41" s="249"/>
      <c r="S41" s="1"/>
      <c r="T41" s="258">
        <v>9000</v>
      </c>
      <c r="U41" s="4">
        <v>36</v>
      </c>
      <c r="V41" s="1">
        <v>28800</v>
      </c>
      <c r="W41" s="248"/>
    </row>
    <row r="42" spans="1:23" x14ac:dyDescent="0.3">
      <c r="A42" s="233"/>
      <c r="B42" s="233"/>
      <c r="C42" s="233"/>
      <c r="D42" s="233"/>
      <c r="E42" s="234"/>
      <c r="F42" s="234"/>
      <c r="G42" s="233"/>
      <c r="H42" s="234"/>
      <c r="O42" s="250">
        <v>9.25</v>
      </c>
      <c r="P42" s="1">
        <v>32500</v>
      </c>
      <c r="Q42" s="249">
        <v>37000</v>
      </c>
      <c r="R42" s="249"/>
      <c r="S42" s="1"/>
      <c r="T42" s="258">
        <v>9250</v>
      </c>
      <c r="U42" s="4">
        <v>37</v>
      </c>
      <c r="V42" s="1">
        <v>29600</v>
      </c>
      <c r="W42" s="248"/>
    </row>
    <row r="43" spans="1:23" x14ac:dyDescent="0.3">
      <c r="A43" s="235"/>
      <c r="B43" s="233"/>
      <c r="C43" s="233"/>
      <c r="D43" s="233"/>
      <c r="E43" s="233"/>
      <c r="F43" s="233"/>
      <c r="G43" s="233"/>
      <c r="H43" s="233"/>
      <c r="O43" s="250">
        <v>9.5</v>
      </c>
      <c r="P43" s="1">
        <v>33500</v>
      </c>
      <c r="Q43" s="249">
        <v>38000</v>
      </c>
      <c r="R43" s="249"/>
      <c r="S43" s="1"/>
      <c r="T43" s="258">
        <v>9500</v>
      </c>
      <c r="U43" s="4">
        <v>38</v>
      </c>
      <c r="V43" s="1">
        <v>30400</v>
      </c>
      <c r="W43" s="248"/>
    </row>
    <row r="44" spans="1:23" x14ac:dyDescent="0.3">
      <c r="A44" s="235"/>
      <c r="B44" s="233"/>
      <c r="C44" s="233"/>
      <c r="D44" s="233"/>
      <c r="E44" s="233"/>
      <c r="F44" s="233"/>
      <c r="G44" s="233"/>
      <c r="H44" s="233"/>
      <c r="O44" s="250">
        <v>9.75</v>
      </c>
      <c r="P44" s="1">
        <v>34500</v>
      </c>
      <c r="Q44" s="249">
        <v>39000</v>
      </c>
      <c r="R44" s="249"/>
      <c r="S44" s="1"/>
      <c r="T44" s="258">
        <v>9750</v>
      </c>
      <c r="U44" s="4">
        <v>39</v>
      </c>
      <c r="V44" s="1">
        <v>31200</v>
      </c>
      <c r="W44" s="248"/>
    </row>
    <row r="45" spans="1:23" x14ac:dyDescent="0.3">
      <c r="A45" s="235"/>
      <c r="B45" s="233"/>
      <c r="C45" s="233"/>
      <c r="D45" s="233"/>
      <c r="E45" s="233"/>
      <c r="F45" s="233"/>
      <c r="G45" s="233"/>
      <c r="H45" s="233"/>
      <c r="O45" s="250">
        <v>10</v>
      </c>
      <c r="P45" s="1">
        <v>35000</v>
      </c>
      <c r="Q45" s="249">
        <v>40000</v>
      </c>
      <c r="R45" s="249"/>
      <c r="S45" s="1"/>
      <c r="T45" s="258">
        <v>10000</v>
      </c>
      <c r="U45" s="4">
        <v>40</v>
      </c>
      <c r="V45" s="1">
        <v>32000</v>
      </c>
      <c r="W45" s="248"/>
    </row>
    <row r="46" spans="1:23" x14ac:dyDescent="0.3">
      <c r="A46" s="235"/>
      <c r="B46" s="233"/>
      <c r="C46" s="233"/>
      <c r="D46" s="233"/>
      <c r="E46" s="233"/>
      <c r="F46" s="233"/>
      <c r="G46" s="233"/>
      <c r="H46" s="233"/>
      <c r="O46" s="250">
        <v>10.25</v>
      </c>
      <c r="P46" s="251">
        <v>36000</v>
      </c>
      <c r="Q46" s="249">
        <v>41000</v>
      </c>
      <c r="R46" s="249"/>
      <c r="S46" s="1"/>
      <c r="T46" s="258">
        <v>10250</v>
      </c>
      <c r="U46" s="4">
        <v>41</v>
      </c>
      <c r="V46" s="1">
        <v>32800</v>
      </c>
      <c r="W46" s="248"/>
    </row>
    <row r="47" spans="1:23" x14ac:dyDescent="0.3">
      <c r="A47" s="235"/>
      <c r="B47" s="233"/>
      <c r="C47" s="233"/>
      <c r="D47" s="233"/>
      <c r="E47" s="233"/>
      <c r="F47" s="233"/>
      <c r="G47" s="233"/>
      <c r="H47" s="233"/>
      <c r="O47" s="250">
        <v>10.5</v>
      </c>
      <c r="P47" s="251">
        <v>37000</v>
      </c>
      <c r="Q47" s="249">
        <v>42000</v>
      </c>
      <c r="R47" s="249"/>
      <c r="S47" s="1"/>
      <c r="T47" s="258">
        <v>10500</v>
      </c>
      <c r="U47" s="4">
        <v>42</v>
      </c>
      <c r="V47" s="1">
        <v>33600</v>
      </c>
      <c r="W47" s="248"/>
    </row>
    <row r="48" spans="1:23" x14ac:dyDescent="0.3">
      <c r="A48" s="235"/>
      <c r="B48" s="233"/>
      <c r="C48" s="233"/>
      <c r="D48" s="233"/>
      <c r="E48" s="233"/>
      <c r="F48" s="233"/>
      <c r="G48" s="233"/>
      <c r="H48" s="233"/>
      <c r="O48" s="250">
        <v>10.75</v>
      </c>
      <c r="P48" s="251">
        <v>38000</v>
      </c>
      <c r="Q48" s="249">
        <v>43000</v>
      </c>
      <c r="R48" s="249"/>
      <c r="S48" s="1"/>
      <c r="T48" s="258">
        <v>10750</v>
      </c>
      <c r="U48" s="4">
        <v>43</v>
      </c>
      <c r="V48" s="1">
        <v>34400</v>
      </c>
      <c r="W48" s="248"/>
    </row>
    <row r="49" spans="1:23" x14ac:dyDescent="0.3">
      <c r="A49" s="237"/>
      <c r="B49" s="233"/>
      <c r="C49" s="233"/>
      <c r="D49" s="233"/>
      <c r="E49" s="233"/>
      <c r="F49" s="233"/>
      <c r="G49" s="233"/>
      <c r="H49" s="233"/>
      <c r="O49" s="250">
        <v>11</v>
      </c>
      <c r="P49" s="251">
        <v>38500</v>
      </c>
      <c r="Q49" s="249">
        <v>44000</v>
      </c>
      <c r="R49" s="249"/>
      <c r="S49" s="1"/>
      <c r="T49" s="258">
        <v>11000</v>
      </c>
      <c r="U49" s="4">
        <v>44</v>
      </c>
      <c r="V49" s="1">
        <v>35200</v>
      </c>
      <c r="W49" s="248"/>
    </row>
    <row r="50" spans="1:23" x14ac:dyDescent="0.3">
      <c r="A50" s="237"/>
      <c r="B50" s="233"/>
      <c r="C50" s="233"/>
      <c r="D50" s="233"/>
      <c r="E50" s="234"/>
      <c r="F50" s="233"/>
      <c r="G50" s="233"/>
      <c r="H50" s="233"/>
      <c r="O50" s="250">
        <v>11.25</v>
      </c>
      <c r="P50" s="251">
        <v>39500</v>
      </c>
      <c r="Q50" s="249">
        <v>45000</v>
      </c>
      <c r="R50" s="249"/>
      <c r="S50" s="1"/>
      <c r="T50" s="258">
        <v>11250</v>
      </c>
      <c r="U50" s="4">
        <v>45</v>
      </c>
      <c r="V50" s="1">
        <v>36000</v>
      </c>
      <c r="W50" s="248"/>
    </row>
    <row r="51" spans="1:23" x14ac:dyDescent="0.3">
      <c r="A51" s="237"/>
      <c r="B51" s="233"/>
      <c r="C51" s="233"/>
      <c r="D51" s="233"/>
      <c r="E51" s="233"/>
      <c r="F51" s="233"/>
      <c r="G51" s="233"/>
      <c r="H51" s="233"/>
      <c r="O51" s="250">
        <v>11.5</v>
      </c>
      <c r="P51" s="251">
        <v>40500</v>
      </c>
      <c r="Q51" s="249">
        <v>46000</v>
      </c>
      <c r="R51" s="249"/>
      <c r="S51" s="1"/>
      <c r="T51" s="258">
        <v>11500</v>
      </c>
      <c r="U51" s="4">
        <v>46</v>
      </c>
      <c r="V51" s="1">
        <v>36800</v>
      </c>
      <c r="W51" s="248"/>
    </row>
    <row r="52" spans="1:23" x14ac:dyDescent="0.3">
      <c r="A52" s="237"/>
      <c r="B52" s="233"/>
      <c r="C52" s="233"/>
      <c r="D52" s="233"/>
      <c r="E52" s="233"/>
      <c r="F52" s="233"/>
      <c r="G52" s="233"/>
      <c r="H52" s="233"/>
      <c r="O52" s="250">
        <v>11.75</v>
      </c>
      <c r="P52" s="251">
        <v>41500</v>
      </c>
      <c r="Q52" s="249">
        <v>47000</v>
      </c>
      <c r="R52" s="249"/>
      <c r="S52" s="1"/>
      <c r="T52" s="258">
        <v>11750</v>
      </c>
      <c r="U52" s="4">
        <v>47</v>
      </c>
      <c r="V52" s="1">
        <v>37600</v>
      </c>
      <c r="W52" s="248"/>
    </row>
    <row r="53" spans="1:23" x14ac:dyDescent="0.3">
      <c r="A53" s="237"/>
      <c r="B53" s="233"/>
      <c r="C53" s="233"/>
      <c r="D53" s="233"/>
      <c r="E53" s="233"/>
      <c r="F53" s="233"/>
      <c r="G53" s="233"/>
      <c r="H53" s="233"/>
      <c r="O53" s="250">
        <v>12</v>
      </c>
      <c r="P53" s="251">
        <v>43000</v>
      </c>
      <c r="Q53" s="249">
        <v>48000</v>
      </c>
      <c r="R53" s="249"/>
      <c r="S53" s="1"/>
      <c r="T53" s="258">
        <v>12000</v>
      </c>
      <c r="U53" s="4">
        <v>48</v>
      </c>
      <c r="V53" s="1">
        <v>38400</v>
      </c>
      <c r="W53" s="248"/>
    </row>
    <row r="54" spans="1:23" x14ac:dyDescent="0.3">
      <c r="A54" s="237"/>
      <c r="B54" s="233"/>
      <c r="C54" s="237"/>
      <c r="D54" s="233"/>
      <c r="E54" s="233"/>
      <c r="F54" s="233"/>
      <c r="G54" s="233"/>
      <c r="H54" s="233"/>
      <c r="O54" s="250">
        <v>12.25</v>
      </c>
      <c r="P54" s="251">
        <v>44000</v>
      </c>
      <c r="Q54" s="249">
        <v>49000</v>
      </c>
      <c r="R54" s="249"/>
      <c r="S54" s="1"/>
      <c r="T54" s="258">
        <v>12250</v>
      </c>
      <c r="U54" s="4">
        <v>49</v>
      </c>
      <c r="V54" s="1">
        <v>39200</v>
      </c>
      <c r="W54" s="248"/>
    </row>
    <row r="55" spans="1:23" x14ac:dyDescent="0.3">
      <c r="A55" s="237"/>
      <c r="B55" s="233"/>
      <c r="C55" s="237"/>
      <c r="D55" s="233"/>
      <c r="E55" s="233"/>
      <c r="F55" s="233"/>
      <c r="G55" s="233"/>
      <c r="H55" s="233"/>
      <c r="O55" s="250">
        <v>12.5</v>
      </c>
      <c r="P55" s="251">
        <v>45000</v>
      </c>
      <c r="Q55" s="249">
        <v>50000</v>
      </c>
      <c r="R55" s="249"/>
      <c r="S55" s="1"/>
      <c r="T55" s="258">
        <v>12500</v>
      </c>
      <c r="U55" s="4">
        <v>50</v>
      </c>
      <c r="V55" s="1">
        <v>40000</v>
      </c>
      <c r="W55" s="248"/>
    </row>
    <row r="56" spans="1:23" x14ac:dyDescent="0.3">
      <c r="A56" s="237"/>
      <c r="B56" s="233"/>
      <c r="C56" s="237"/>
      <c r="D56" s="233"/>
      <c r="E56" s="233"/>
      <c r="F56" s="233"/>
      <c r="G56" s="233"/>
      <c r="H56" s="233"/>
      <c r="O56" s="250">
        <v>12.75</v>
      </c>
      <c r="P56" s="251">
        <v>46000</v>
      </c>
      <c r="Q56" s="249">
        <v>51000</v>
      </c>
      <c r="R56" s="249"/>
      <c r="S56" s="1"/>
      <c r="T56" s="258">
        <v>12750</v>
      </c>
      <c r="U56" s="4"/>
      <c r="V56" s="1"/>
      <c r="W56" s="248"/>
    </row>
    <row r="57" spans="1:23" x14ac:dyDescent="0.3">
      <c r="A57" s="237"/>
      <c r="B57" s="233"/>
      <c r="C57" s="237"/>
      <c r="D57" s="233"/>
      <c r="E57" s="233"/>
      <c r="F57" s="233"/>
      <c r="G57" s="233"/>
      <c r="H57" s="233"/>
      <c r="O57" s="250">
        <v>13</v>
      </c>
      <c r="P57" s="251">
        <v>46500</v>
      </c>
      <c r="Q57" s="249">
        <v>52000</v>
      </c>
      <c r="R57" s="249"/>
      <c r="S57" s="1"/>
      <c r="T57" s="258">
        <v>13000</v>
      </c>
      <c r="U57" s="4"/>
      <c r="V57" s="1"/>
      <c r="W57" s="248"/>
    </row>
    <row r="58" spans="1:23" x14ac:dyDescent="0.3">
      <c r="A58" s="237"/>
      <c r="B58" s="233"/>
      <c r="C58" s="237"/>
      <c r="D58" s="233"/>
      <c r="E58" s="233"/>
      <c r="F58" s="233"/>
      <c r="G58" s="233"/>
      <c r="H58" s="233"/>
      <c r="O58" s="252">
        <v>13.25</v>
      </c>
      <c r="P58" s="251">
        <v>47500</v>
      </c>
      <c r="Q58" s="249">
        <v>53000</v>
      </c>
      <c r="R58" s="249"/>
      <c r="S58" s="1"/>
      <c r="T58" s="258">
        <v>13250</v>
      </c>
      <c r="U58" s="4"/>
      <c r="V58" s="1"/>
      <c r="W58" s="248"/>
    </row>
    <row r="59" spans="1:23" x14ac:dyDescent="0.3">
      <c r="A59" s="237"/>
      <c r="B59" s="233"/>
      <c r="C59" s="237"/>
      <c r="D59" s="233"/>
      <c r="E59" s="233"/>
      <c r="F59" s="233"/>
      <c r="G59" s="233"/>
      <c r="H59" s="233"/>
      <c r="O59" s="252">
        <v>13.5</v>
      </c>
      <c r="P59" s="251">
        <v>48500</v>
      </c>
      <c r="Q59" s="249">
        <v>54000</v>
      </c>
      <c r="R59" s="249"/>
      <c r="S59" s="1"/>
      <c r="T59" s="258">
        <v>13500</v>
      </c>
      <c r="U59" s="4"/>
      <c r="V59" s="1"/>
      <c r="W59" s="248"/>
    </row>
    <row r="60" spans="1:23" x14ac:dyDescent="0.3">
      <c r="A60" s="233"/>
      <c r="B60" s="233"/>
      <c r="C60" s="237"/>
      <c r="D60" s="233"/>
      <c r="E60" s="233"/>
      <c r="F60" s="233"/>
      <c r="G60" s="233"/>
      <c r="H60" s="233"/>
      <c r="O60" s="252">
        <v>13.75</v>
      </c>
      <c r="P60" s="251">
        <v>49000</v>
      </c>
      <c r="Q60" s="249">
        <v>55000</v>
      </c>
      <c r="R60" s="249"/>
      <c r="S60" s="1"/>
      <c r="T60" s="258">
        <v>13750</v>
      </c>
      <c r="U60" s="4"/>
      <c r="V60" s="1"/>
      <c r="W60" s="248"/>
    </row>
    <row r="61" spans="1:23" x14ac:dyDescent="0.3">
      <c r="A61" s="233"/>
      <c r="B61" s="233"/>
      <c r="C61" s="237"/>
      <c r="D61" s="233"/>
      <c r="E61" s="233"/>
      <c r="F61" s="233"/>
      <c r="G61" s="233"/>
      <c r="H61" s="233"/>
      <c r="L61" s="270"/>
      <c r="O61" s="252">
        <v>14</v>
      </c>
      <c r="P61" s="251">
        <v>50000</v>
      </c>
      <c r="Q61" s="249">
        <v>56000</v>
      </c>
      <c r="R61" s="249"/>
      <c r="S61" s="1"/>
      <c r="T61" s="258">
        <v>14000</v>
      </c>
      <c r="U61" s="4"/>
      <c r="V61" s="1"/>
      <c r="W61" s="248"/>
    </row>
    <row r="62" spans="1:23" x14ac:dyDescent="0.3">
      <c r="A62" s="233"/>
      <c r="B62" s="233"/>
      <c r="C62" s="237"/>
      <c r="D62" s="233"/>
      <c r="E62" s="233"/>
      <c r="F62" s="233"/>
      <c r="G62" s="233"/>
      <c r="H62" s="233"/>
      <c r="L62" s="271"/>
      <c r="O62" s="252">
        <v>14.25</v>
      </c>
      <c r="P62" s="251">
        <v>51000</v>
      </c>
      <c r="Q62" s="249">
        <v>57000</v>
      </c>
      <c r="R62" s="249"/>
      <c r="S62" s="1"/>
      <c r="T62" s="258">
        <v>14250</v>
      </c>
      <c r="U62" s="4"/>
      <c r="V62" s="1"/>
      <c r="W62" s="248"/>
    </row>
    <row r="63" spans="1:23" x14ac:dyDescent="0.3">
      <c r="A63" s="233"/>
      <c r="B63" s="233"/>
      <c r="C63" s="237"/>
      <c r="D63" s="233"/>
      <c r="E63" s="233"/>
      <c r="F63" s="233"/>
      <c r="G63" s="233"/>
      <c r="H63" s="233"/>
      <c r="O63" s="252">
        <v>14.5</v>
      </c>
      <c r="P63" s="251">
        <v>52000</v>
      </c>
      <c r="Q63" s="249">
        <v>58000</v>
      </c>
      <c r="R63" s="249"/>
      <c r="S63" s="1"/>
      <c r="T63" s="258">
        <v>14500</v>
      </c>
      <c r="U63" s="4"/>
      <c r="V63" s="1"/>
      <c r="W63" s="248"/>
    </row>
    <row r="64" spans="1:23" x14ac:dyDescent="0.3">
      <c r="A64" s="233"/>
      <c r="B64" s="233"/>
      <c r="C64" s="237"/>
      <c r="D64" s="233"/>
      <c r="E64" s="233"/>
      <c r="F64" s="233"/>
      <c r="G64" s="233"/>
      <c r="H64" s="233"/>
      <c r="O64" s="252">
        <v>14.75</v>
      </c>
      <c r="P64" s="251">
        <v>53000</v>
      </c>
      <c r="Q64" s="249">
        <v>59000</v>
      </c>
      <c r="R64" s="249"/>
      <c r="S64" s="1"/>
      <c r="T64" s="258">
        <v>14750</v>
      </c>
      <c r="U64" s="4"/>
      <c r="V64" s="1"/>
      <c r="W64" s="248"/>
    </row>
    <row r="65" spans="1:23" x14ac:dyDescent="0.3">
      <c r="A65" s="233"/>
      <c r="B65" s="233"/>
      <c r="C65" s="237"/>
      <c r="D65" s="233"/>
      <c r="E65" s="233"/>
      <c r="F65" s="233"/>
      <c r="G65" s="233"/>
      <c r="H65" s="233"/>
      <c r="O65" s="252">
        <v>15</v>
      </c>
      <c r="P65" s="251">
        <v>53500</v>
      </c>
      <c r="Q65" s="249">
        <v>60000</v>
      </c>
      <c r="R65" s="249"/>
      <c r="S65" s="1"/>
      <c r="T65" s="258">
        <v>15000</v>
      </c>
      <c r="U65" s="4"/>
      <c r="V65" s="1"/>
      <c r="W65" s="248"/>
    </row>
    <row r="66" spans="1:23" x14ac:dyDescent="0.3">
      <c r="A66" s="233"/>
      <c r="B66" s="233"/>
      <c r="C66" s="237"/>
      <c r="D66" s="233"/>
      <c r="E66" s="233"/>
      <c r="F66" s="233"/>
      <c r="G66" s="233"/>
      <c r="H66" s="233"/>
      <c r="O66" s="252">
        <v>15.25</v>
      </c>
      <c r="P66" s="251">
        <v>54500</v>
      </c>
      <c r="Q66" s="249">
        <v>61000</v>
      </c>
      <c r="R66" s="249"/>
      <c r="S66" s="1"/>
      <c r="T66" s="258">
        <v>15250</v>
      </c>
      <c r="U66" s="4"/>
      <c r="V66" s="1"/>
      <c r="W66" s="248"/>
    </row>
    <row r="67" spans="1:23" x14ac:dyDescent="0.3">
      <c r="A67" s="233"/>
      <c r="B67" s="233"/>
      <c r="C67" s="237"/>
      <c r="D67" s="233"/>
      <c r="E67" s="233"/>
      <c r="F67" s="233"/>
      <c r="G67" s="233"/>
      <c r="H67" s="233"/>
      <c r="O67" s="252">
        <v>15.5</v>
      </c>
      <c r="P67" s="251">
        <v>55500</v>
      </c>
      <c r="Q67" s="249">
        <v>62000</v>
      </c>
      <c r="R67" s="249"/>
      <c r="S67" s="1"/>
      <c r="T67" s="258">
        <v>15500</v>
      </c>
      <c r="U67" s="4"/>
      <c r="V67" s="1"/>
      <c r="W67" s="248"/>
    </row>
    <row r="68" spans="1:23" x14ac:dyDescent="0.3">
      <c r="A68" s="233"/>
      <c r="B68" s="233"/>
      <c r="C68" s="237"/>
      <c r="D68" s="233"/>
      <c r="E68" s="233"/>
      <c r="F68" s="233"/>
      <c r="G68" s="233"/>
      <c r="H68" s="233"/>
      <c r="O68" s="252">
        <v>15.75</v>
      </c>
      <c r="P68" s="251">
        <v>56500</v>
      </c>
      <c r="Q68" s="249">
        <v>63000</v>
      </c>
      <c r="R68" s="249"/>
      <c r="S68" s="1"/>
      <c r="T68" s="258">
        <v>15750</v>
      </c>
      <c r="U68" s="4"/>
      <c r="V68" s="1"/>
      <c r="W68" s="248"/>
    </row>
    <row r="69" spans="1:23" x14ac:dyDescent="0.3">
      <c r="A69" s="233"/>
      <c r="B69" s="233"/>
      <c r="C69" s="237"/>
      <c r="D69" s="233"/>
      <c r="E69" s="233"/>
      <c r="F69" s="233"/>
      <c r="G69" s="233"/>
      <c r="H69" s="233"/>
      <c r="O69" s="252">
        <v>16</v>
      </c>
      <c r="P69" s="251">
        <v>57000</v>
      </c>
      <c r="Q69" s="249">
        <v>64000</v>
      </c>
      <c r="R69" s="249"/>
      <c r="S69" s="1"/>
      <c r="T69" s="258">
        <v>16000</v>
      </c>
      <c r="U69" s="4"/>
      <c r="V69" s="1"/>
      <c r="W69" s="248"/>
    </row>
    <row r="70" spans="1:23" x14ac:dyDescent="0.3">
      <c r="A70" s="233"/>
      <c r="B70" s="233"/>
      <c r="C70" s="237"/>
      <c r="D70" s="233"/>
      <c r="E70" s="233"/>
      <c r="F70" s="233"/>
      <c r="G70" s="233"/>
      <c r="H70" s="233"/>
      <c r="O70" s="252">
        <v>16.25</v>
      </c>
      <c r="P70" s="251">
        <v>58000</v>
      </c>
      <c r="Q70" s="249">
        <v>65000</v>
      </c>
      <c r="R70" s="249"/>
      <c r="S70" s="1"/>
      <c r="T70" s="258">
        <v>16250</v>
      </c>
      <c r="U70" s="4"/>
      <c r="V70" s="1"/>
      <c r="W70" s="248"/>
    </row>
    <row r="71" spans="1:23" x14ac:dyDescent="0.3">
      <c r="A71" s="233"/>
      <c r="B71" s="233"/>
      <c r="C71" s="237"/>
      <c r="D71" s="233"/>
      <c r="E71" s="233"/>
      <c r="F71" s="233"/>
      <c r="G71" s="233"/>
      <c r="H71" s="233"/>
      <c r="O71" s="252">
        <v>16.5</v>
      </c>
      <c r="P71" s="251">
        <v>59000</v>
      </c>
      <c r="Q71" s="249">
        <v>66000</v>
      </c>
      <c r="R71" s="249"/>
      <c r="S71" s="1"/>
      <c r="T71" s="258">
        <v>16500</v>
      </c>
      <c r="U71" s="4"/>
      <c r="V71" s="1"/>
      <c r="W71" s="248"/>
    </row>
    <row r="72" spans="1:23" x14ac:dyDescent="0.3">
      <c r="A72" s="233"/>
      <c r="B72" s="233"/>
      <c r="C72" s="237"/>
      <c r="D72" s="233"/>
      <c r="E72" s="233"/>
      <c r="F72" s="233"/>
      <c r="G72" s="233"/>
      <c r="H72" s="233"/>
      <c r="O72" s="252">
        <v>16.75</v>
      </c>
      <c r="P72" s="251">
        <v>60000</v>
      </c>
      <c r="Q72" s="249">
        <v>67000</v>
      </c>
      <c r="R72" s="249"/>
      <c r="S72" s="1"/>
      <c r="T72" s="258">
        <v>16750</v>
      </c>
      <c r="U72" s="4"/>
      <c r="V72" s="1"/>
      <c r="W72" s="248"/>
    </row>
    <row r="73" spans="1:23" x14ac:dyDescent="0.3">
      <c r="A73" s="233"/>
      <c r="B73" s="233"/>
      <c r="C73" s="237"/>
      <c r="D73" s="233"/>
      <c r="E73" s="233"/>
      <c r="F73" s="233"/>
      <c r="G73" s="233"/>
      <c r="H73" s="233"/>
      <c r="O73" s="252">
        <v>17</v>
      </c>
      <c r="P73" s="251">
        <v>60500</v>
      </c>
      <c r="Q73" s="249">
        <v>68000</v>
      </c>
      <c r="R73" s="249"/>
      <c r="S73" s="1"/>
      <c r="T73" s="258">
        <v>17000</v>
      </c>
      <c r="U73" s="4"/>
      <c r="V73" s="1"/>
      <c r="W73" s="248"/>
    </row>
    <row r="74" spans="1:23" x14ac:dyDescent="0.3">
      <c r="A74" s="233"/>
      <c r="B74" s="233"/>
      <c r="C74" s="237"/>
      <c r="D74" s="233"/>
      <c r="E74" s="233"/>
      <c r="F74" s="233"/>
      <c r="G74" s="233"/>
      <c r="H74" s="233"/>
      <c r="O74" s="252">
        <v>17.25</v>
      </c>
      <c r="P74" s="251">
        <v>61500</v>
      </c>
      <c r="Q74" s="249">
        <v>69000</v>
      </c>
      <c r="R74" s="249"/>
      <c r="S74" s="1"/>
      <c r="T74" s="258">
        <v>17250</v>
      </c>
      <c r="U74" s="4"/>
      <c r="V74" s="1"/>
      <c r="W74" s="248"/>
    </row>
    <row r="75" spans="1:23" x14ac:dyDescent="0.3">
      <c r="A75" s="233"/>
      <c r="B75" s="233"/>
      <c r="C75" s="237"/>
      <c r="D75" s="233"/>
      <c r="E75" s="233"/>
      <c r="F75" s="233"/>
      <c r="G75" s="233"/>
      <c r="H75" s="233"/>
      <c r="O75" s="252">
        <v>17.5</v>
      </c>
      <c r="P75" s="251">
        <v>62500</v>
      </c>
      <c r="Q75" s="249">
        <v>70000</v>
      </c>
      <c r="R75" s="249"/>
      <c r="S75" s="1"/>
      <c r="T75" s="258">
        <v>17500</v>
      </c>
      <c r="U75" s="4"/>
      <c r="V75" s="1"/>
      <c r="W75" s="248"/>
    </row>
    <row r="76" spans="1:23" x14ac:dyDescent="0.3">
      <c r="A76" s="233"/>
      <c r="B76" s="233"/>
      <c r="C76" s="237"/>
      <c r="D76" s="233"/>
      <c r="E76" s="233"/>
      <c r="F76" s="233"/>
      <c r="G76" s="233"/>
      <c r="H76" s="233"/>
      <c r="O76" s="252">
        <v>17.75</v>
      </c>
      <c r="P76" s="251">
        <v>63500</v>
      </c>
      <c r="Q76" s="249">
        <v>71000</v>
      </c>
      <c r="R76" s="249"/>
      <c r="S76" s="1"/>
      <c r="T76" s="258">
        <v>17750</v>
      </c>
      <c r="U76" s="4"/>
      <c r="V76" s="1"/>
      <c r="W76" s="248"/>
    </row>
    <row r="77" spans="1:23" x14ac:dyDescent="0.3">
      <c r="A77" s="233"/>
      <c r="B77" s="233"/>
      <c r="C77" s="237"/>
      <c r="D77" s="233"/>
      <c r="E77" s="233"/>
      <c r="F77" s="233"/>
      <c r="G77" s="233"/>
      <c r="H77" s="233"/>
      <c r="O77" s="252">
        <v>18</v>
      </c>
      <c r="P77" s="251">
        <v>64000</v>
      </c>
      <c r="Q77" s="249">
        <v>72000</v>
      </c>
      <c r="R77" s="249"/>
      <c r="S77" s="1"/>
      <c r="T77" s="258">
        <v>18000</v>
      </c>
      <c r="U77" s="4"/>
      <c r="V77" s="1"/>
      <c r="W77" s="248"/>
    </row>
    <row r="78" spans="1:23" x14ac:dyDescent="0.3">
      <c r="A78" s="233"/>
      <c r="B78" s="233"/>
      <c r="C78" s="237"/>
      <c r="D78" s="233"/>
      <c r="E78" s="233"/>
      <c r="F78" s="233"/>
      <c r="G78" s="233"/>
      <c r="H78" s="233"/>
      <c r="O78" s="252">
        <v>18.25</v>
      </c>
      <c r="P78" s="251">
        <v>65000</v>
      </c>
      <c r="Q78" s="249">
        <v>73000</v>
      </c>
      <c r="R78" s="249"/>
      <c r="S78" s="1"/>
      <c r="T78" s="258">
        <v>18250</v>
      </c>
      <c r="U78" s="4"/>
      <c r="V78" s="1"/>
      <c r="W78" s="248"/>
    </row>
    <row r="79" spans="1:23" x14ac:dyDescent="0.3">
      <c r="A79" s="233"/>
      <c r="B79" s="233"/>
      <c r="C79" s="237"/>
      <c r="D79" s="233"/>
      <c r="E79" s="233"/>
      <c r="F79" s="233"/>
      <c r="G79" s="233"/>
      <c r="H79" s="233"/>
      <c r="O79" s="252">
        <v>18.5</v>
      </c>
      <c r="P79" s="251">
        <v>66000</v>
      </c>
      <c r="Q79" s="249">
        <v>74000</v>
      </c>
      <c r="R79" s="249"/>
      <c r="S79" s="1"/>
      <c r="T79" s="258">
        <v>18500</v>
      </c>
      <c r="U79" s="4"/>
      <c r="V79" s="1"/>
      <c r="W79" s="248"/>
    </row>
    <row r="80" spans="1:23" x14ac:dyDescent="0.3">
      <c r="A80" s="233"/>
      <c r="B80" s="233"/>
      <c r="C80" s="237"/>
      <c r="D80" s="233"/>
      <c r="E80" s="233"/>
      <c r="F80" s="233"/>
      <c r="G80" s="233"/>
      <c r="H80" s="233"/>
      <c r="O80" s="252">
        <v>18.75</v>
      </c>
      <c r="P80" s="251">
        <v>67000</v>
      </c>
      <c r="Q80" s="249">
        <v>75000</v>
      </c>
      <c r="R80" s="249"/>
      <c r="S80" s="1"/>
      <c r="T80" s="258">
        <v>18750</v>
      </c>
      <c r="U80" s="4"/>
      <c r="V80" s="1"/>
      <c r="W80" s="248"/>
    </row>
    <row r="81" spans="1:23" x14ac:dyDescent="0.3">
      <c r="A81" s="233"/>
      <c r="B81" s="233"/>
      <c r="C81" s="237"/>
      <c r="D81" s="233"/>
      <c r="E81" s="233"/>
      <c r="F81" s="233"/>
      <c r="G81" s="233"/>
      <c r="H81" s="233"/>
      <c r="O81" s="252">
        <v>19</v>
      </c>
      <c r="P81" s="251">
        <v>70500</v>
      </c>
      <c r="Q81" s="249">
        <v>76000</v>
      </c>
      <c r="R81" s="249"/>
      <c r="S81" s="1"/>
      <c r="T81" s="258">
        <v>19000</v>
      </c>
      <c r="U81" s="4"/>
      <c r="V81" s="1"/>
      <c r="W81" s="248"/>
    </row>
    <row r="82" spans="1:23" x14ac:dyDescent="0.3">
      <c r="A82" s="233"/>
      <c r="B82" s="233"/>
      <c r="C82" s="237"/>
      <c r="D82" s="233"/>
      <c r="E82" s="233"/>
      <c r="F82" s="233"/>
      <c r="G82" s="233"/>
      <c r="H82" s="233"/>
      <c r="O82" s="252">
        <v>19.25</v>
      </c>
      <c r="P82" s="251">
        <v>71500</v>
      </c>
      <c r="Q82" s="249">
        <v>77000</v>
      </c>
      <c r="R82" s="249"/>
      <c r="S82" s="1"/>
      <c r="T82" s="258">
        <v>19250</v>
      </c>
      <c r="U82" s="4"/>
      <c r="V82" s="1"/>
      <c r="W82" s="248"/>
    </row>
    <row r="83" spans="1:23" x14ac:dyDescent="0.3">
      <c r="A83" s="233"/>
      <c r="B83" s="233"/>
      <c r="C83" s="237"/>
      <c r="D83" s="233"/>
      <c r="E83" s="233"/>
      <c r="F83" s="233"/>
      <c r="G83" s="233"/>
      <c r="H83" s="233"/>
      <c r="O83" s="252">
        <v>19.5</v>
      </c>
      <c r="P83" s="251">
        <v>72500</v>
      </c>
      <c r="Q83" s="249">
        <v>78000</v>
      </c>
      <c r="R83" s="249"/>
      <c r="S83" s="1"/>
      <c r="T83" s="258">
        <v>19500</v>
      </c>
      <c r="U83" s="4"/>
      <c r="V83" s="1"/>
      <c r="W83" s="248"/>
    </row>
    <row r="84" spans="1:23" x14ac:dyDescent="0.3">
      <c r="A84" s="233"/>
      <c r="B84" s="233"/>
      <c r="C84" s="237"/>
      <c r="D84" s="233"/>
      <c r="E84" s="233"/>
      <c r="F84" s="233"/>
      <c r="G84" s="233"/>
      <c r="H84" s="233"/>
      <c r="O84" s="252">
        <v>19.75</v>
      </c>
      <c r="P84" s="251">
        <v>73500</v>
      </c>
      <c r="Q84" s="249">
        <v>79000</v>
      </c>
      <c r="R84" s="249"/>
      <c r="S84" s="1"/>
      <c r="T84" s="258">
        <v>19750</v>
      </c>
      <c r="U84" s="4"/>
      <c r="V84" s="1"/>
      <c r="W84" s="248"/>
    </row>
    <row r="85" spans="1:23" x14ac:dyDescent="0.3">
      <c r="A85" s="233"/>
      <c r="B85" s="233"/>
      <c r="C85" s="237"/>
      <c r="D85" s="233"/>
      <c r="E85" s="233"/>
      <c r="F85" s="233"/>
      <c r="G85" s="233"/>
      <c r="H85" s="233"/>
      <c r="O85" s="252">
        <v>20</v>
      </c>
      <c r="P85" s="251">
        <v>74000</v>
      </c>
      <c r="Q85" s="249">
        <v>80000</v>
      </c>
      <c r="R85" s="249"/>
      <c r="S85" s="1"/>
      <c r="T85" s="258">
        <v>20000</v>
      </c>
      <c r="U85" s="4"/>
      <c r="V85" s="1"/>
      <c r="W85" s="248"/>
    </row>
    <row r="86" spans="1:23" x14ac:dyDescent="0.3">
      <c r="A86" s="233"/>
      <c r="B86" s="233"/>
      <c r="C86" s="237"/>
      <c r="D86" s="233"/>
      <c r="E86" s="233"/>
      <c r="F86" s="233"/>
      <c r="G86" s="233"/>
      <c r="H86" s="233"/>
      <c r="O86" s="252">
        <v>20.25</v>
      </c>
      <c r="P86" s="251">
        <v>75000</v>
      </c>
      <c r="Q86" s="249">
        <v>81000</v>
      </c>
      <c r="R86" s="249"/>
      <c r="S86" s="1"/>
      <c r="T86" s="258">
        <v>20250</v>
      </c>
      <c r="U86" s="4"/>
      <c r="V86" s="1"/>
      <c r="W86" s="248"/>
    </row>
    <row r="87" spans="1:23" x14ac:dyDescent="0.3">
      <c r="A87" s="233"/>
      <c r="B87" s="233"/>
      <c r="C87" s="237"/>
      <c r="D87" s="233"/>
      <c r="E87" s="233"/>
      <c r="F87" s="233"/>
      <c r="G87" s="233"/>
      <c r="H87" s="233"/>
      <c r="O87" s="252">
        <v>20.5</v>
      </c>
      <c r="P87" s="251">
        <v>76000</v>
      </c>
      <c r="Q87" s="249">
        <v>82000</v>
      </c>
      <c r="R87" s="249"/>
      <c r="S87" s="1"/>
      <c r="T87" s="258">
        <v>20500</v>
      </c>
      <c r="U87" s="4"/>
      <c r="V87" s="1"/>
      <c r="W87" s="248"/>
    </row>
    <row r="88" spans="1:23" x14ac:dyDescent="0.3">
      <c r="A88" s="233"/>
      <c r="B88" s="233"/>
      <c r="C88" s="237"/>
      <c r="D88" s="233"/>
      <c r="E88" s="233"/>
      <c r="F88" s="233"/>
      <c r="G88" s="233"/>
      <c r="H88" s="233"/>
      <c r="O88" s="252">
        <v>20.75</v>
      </c>
      <c r="P88" s="251">
        <v>77000</v>
      </c>
      <c r="Q88" s="249">
        <v>83000</v>
      </c>
      <c r="R88" s="249"/>
      <c r="S88" s="1"/>
      <c r="T88" s="258">
        <v>20750</v>
      </c>
      <c r="U88" s="4"/>
      <c r="V88" s="1"/>
      <c r="W88" s="248"/>
    </row>
    <row r="89" spans="1:23" x14ac:dyDescent="0.3">
      <c r="A89" s="233"/>
      <c r="B89" s="233"/>
      <c r="C89" s="237"/>
      <c r="D89" s="233"/>
      <c r="E89" s="233"/>
      <c r="F89" s="233"/>
      <c r="G89" s="233"/>
      <c r="H89" s="233"/>
      <c r="O89" s="252">
        <v>21</v>
      </c>
      <c r="P89" s="251">
        <v>77500</v>
      </c>
      <c r="Q89" s="249">
        <v>84000</v>
      </c>
      <c r="R89" s="249"/>
      <c r="S89" s="1"/>
      <c r="T89" s="258">
        <v>21000</v>
      </c>
      <c r="U89" s="4"/>
      <c r="V89" s="1"/>
      <c r="W89" s="248"/>
    </row>
    <row r="90" spans="1:23" x14ac:dyDescent="0.3">
      <c r="A90" s="233"/>
      <c r="B90" s="233"/>
      <c r="C90" s="237"/>
      <c r="D90" s="233"/>
      <c r="E90" s="233"/>
      <c r="F90" s="233"/>
      <c r="G90" s="233"/>
      <c r="H90" s="233"/>
      <c r="O90" s="252">
        <v>21.25</v>
      </c>
      <c r="P90" s="251">
        <v>78500</v>
      </c>
      <c r="Q90" s="249">
        <v>85000</v>
      </c>
      <c r="R90" s="249"/>
      <c r="S90" s="1"/>
      <c r="T90" s="258">
        <v>21250</v>
      </c>
      <c r="U90" s="4"/>
      <c r="V90" s="1"/>
      <c r="W90" s="248"/>
    </row>
    <row r="91" spans="1:23" x14ac:dyDescent="0.3">
      <c r="A91" s="233"/>
      <c r="B91" s="233"/>
      <c r="C91" s="237"/>
      <c r="D91" s="233"/>
      <c r="E91" s="233"/>
      <c r="F91" s="233"/>
      <c r="G91" s="233"/>
      <c r="H91" s="233"/>
      <c r="O91" s="252">
        <v>21.5</v>
      </c>
      <c r="P91" s="251">
        <v>79500</v>
      </c>
      <c r="Q91" s="249">
        <v>86000</v>
      </c>
      <c r="R91" s="249"/>
      <c r="S91" s="1"/>
      <c r="T91" s="258">
        <v>21500</v>
      </c>
      <c r="U91" s="4"/>
      <c r="V91" s="1"/>
      <c r="W91" s="248"/>
    </row>
    <row r="92" spans="1:23" x14ac:dyDescent="0.3">
      <c r="A92" s="233"/>
      <c r="B92" s="233"/>
      <c r="C92" s="237"/>
      <c r="D92" s="233"/>
      <c r="E92" s="233"/>
      <c r="F92" s="233"/>
      <c r="G92" s="233"/>
      <c r="H92" s="233"/>
      <c r="O92" s="252">
        <v>21.75</v>
      </c>
      <c r="P92" s="251">
        <v>80500</v>
      </c>
      <c r="Q92" s="249">
        <v>87000</v>
      </c>
      <c r="R92" s="249"/>
      <c r="S92" s="1"/>
      <c r="T92" s="258">
        <v>21750</v>
      </c>
      <c r="U92" s="4"/>
      <c r="V92" s="1"/>
      <c r="W92" s="248"/>
    </row>
    <row r="93" spans="1:23" x14ac:dyDescent="0.3">
      <c r="A93" s="233"/>
      <c r="B93" s="233"/>
      <c r="C93" s="237"/>
      <c r="D93" s="233"/>
      <c r="E93" s="233"/>
      <c r="F93" s="233"/>
      <c r="G93" s="233"/>
      <c r="H93" s="233"/>
      <c r="O93" s="252">
        <v>22</v>
      </c>
      <c r="P93" s="251">
        <v>81000</v>
      </c>
      <c r="Q93" s="249">
        <v>88000</v>
      </c>
      <c r="R93" s="249"/>
      <c r="S93" s="1"/>
      <c r="T93" s="258">
        <v>22000</v>
      </c>
      <c r="U93" s="4"/>
      <c r="V93" s="1"/>
      <c r="W93" s="248"/>
    </row>
    <row r="94" spans="1:23" x14ac:dyDescent="0.3">
      <c r="A94" s="233"/>
      <c r="B94" s="233"/>
      <c r="C94" s="233"/>
      <c r="D94" s="233"/>
      <c r="E94" s="234"/>
      <c r="F94" s="234"/>
      <c r="G94" s="233"/>
      <c r="H94" s="234"/>
      <c r="O94" s="252">
        <v>22.25</v>
      </c>
      <c r="P94" s="251">
        <v>82000</v>
      </c>
      <c r="Q94" s="249">
        <v>89000</v>
      </c>
      <c r="R94" s="249"/>
      <c r="S94" s="1"/>
      <c r="T94" s="258">
        <v>22250</v>
      </c>
      <c r="U94" s="4"/>
      <c r="V94" s="1"/>
      <c r="W94" s="248"/>
    </row>
    <row r="95" spans="1:23" x14ac:dyDescent="0.3">
      <c r="A95" s="235"/>
      <c r="B95" s="233"/>
      <c r="C95" s="233"/>
      <c r="D95" s="233"/>
      <c r="E95" s="233"/>
      <c r="F95" s="233"/>
      <c r="G95" s="233"/>
      <c r="H95" s="233"/>
      <c r="O95" s="252">
        <v>22.5</v>
      </c>
      <c r="P95" s="251">
        <v>83000</v>
      </c>
      <c r="Q95" s="249">
        <v>90000</v>
      </c>
      <c r="R95" s="249"/>
      <c r="S95" s="1"/>
      <c r="T95" s="258">
        <v>22500</v>
      </c>
      <c r="U95" s="4"/>
      <c r="V95" s="1"/>
      <c r="W95" s="248"/>
    </row>
    <row r="96" spans="1:23" x14ac:dyDescent="0.3">
      <c r="A96" s="233"/>
      <c r="B96" s="233"/>
      <c r="C96" s="233"/>
      <c r="D96" s="233"/>
      <c r="E96" s="233"/>
      <c r="F96" s="233"/>
      <c r="G96" s="233"/>
      <c r="H96" s="233"/>
      <c r="O96" s="252">
        <v>22.75</v>
      </c>
      <c r="P96" s="251">
        <v>84000</v>
      </c>
      <c r="Q96" s="249">
        <v>91000</v>
      </c>
      <c r="R96" s="249"/>
      <c r="S96" s="1"/>
      <c r="T96" s="258">
        <v>22750</v>
      </c>
      <c r="U96" s="4"/>
      <c r="V96" s="1"/>
      <c r="W96" s="248"/>
    </row>
    <row r="97" spans="1:23" x14ac:dyDescent="0.3">
      <c r="A97" s="233"/>
      <c r="B97" s="233"/>
      <c r="C97" s="233"/>
      <c r="D97" s="233"/>
      <c r="E97" s="233"/>
      <c r="F97" s="233"/>
      <c r="G97" s="233"/>
      <c r="H97" s="233"/>
      <c r="O97" s="252">
        <v>23</v>
      </c>
      <c r="P97" s="251">
        <v>84500</v>
      </c>
      <c r="Q97" s="249">
        <v>92000</v>
      </c>
      <c r="R97" s="249"/>
      <c r="S97" s="1"/>
      <c r="T97" s="258">
        <v>23000</v>
      </c>
      <c r="U97" s="4"/>
      <c r="V97" s="1"/>
      <c r="W97" s="248"/>
    </row>
    <row r="98" spans="1:23" x14ac:dyDescent="0.3">
      <c r="A98" s="233"/>
      <c r="B98" s="233"/>
      <c r="C98" s="233"/>
      <c r="D98" s="233"/>
      <c r="E98" s="233"/>
      <c r="F98" s="233"/>
      <c r="G98" s="233"/>
      <c r="H98" s="233"/>
      <c r="O98" s="252">
        <v>23.25</v>
      </c>
      <c r="P98" s="251">
        <v>85500</v>
      </c>
      <c r="Q98" s="249">
        <v>93000</v>
      </c>
      <c r="R98" s="249"/>
      <c r="S98" s="1"/>
      <c r="T98" s="258">
        <v>23250</v>
      </c>
      <c r="U98" s="4"/>
      <c r="V98" s="1"/>
      <c r="W98" s="248"/>
    </row>
    <row r="99" spans="1:23" x14ac:dyDescent="0.3">
      <c r="A99" s="233"/>
      <c r="B99" s="233"/>
      <c r="C99" s="233"/>
      <c r="D99" s="233"/>
      <c r="E99" s="233"/>
      <c r="F99" s="233"/>
      <c r="G99" s="233"/>
      <c r="H99" s="233"/>
      <c r="O99" s="252">
        <v>23.5</v>
      </c>
      <c r="P99" s="251">
        <v>86500</v>
      </c>
      <c r="Q99" s="249">
        <v>94000</v>
      </c>
      <c r="R99" s="249"/>
      <c r="S99" s="1"/>
      <c r="T99" s="258">
        <v>23500</v>
      </c>
      <c r="U99" s="4"/>
      <c r="V99" s="1"/>
      <c r="W99" s="248"/>
    </row>
    <row r="100" spans="1:23" x14ac:dyDescent="0.3">
      <c r="A100" s="233"/>
      <c r="B100" s="233"/>
      <c r="C100" s="233"/>
      <c r="D100" s="233"/>
      <c r="E100" s="233"/>
      <c r="F100" s="233"/>
      <c r="G100" s="233"/>
      <c r="H100" s="233"/>
      <c r="O100" s="252">
        <v>23.75</v>
      </c>
      <c r="P100" s="251">
        <v>87500</v>
      </c>
      <c r="Q100" s="249">
        <v>95000</v>
      </c>
      <c r="R100" s="249"/>
      <c r="S100" s="1"/>
      <c r="T100" s="258">
        <v>23750</v>
      </c>
      <c r="U100" s="4"/>
      <c r="V100" s="1"/>
      <c r="W100" s="248"/>
    </row>
    <row r="101" spans="1:23" x14ac:dyDescent="0.3">
      <c r="A101" s="233"/>
      <c r="B101" s="233"/>
      <c r="C101" s="233"/>
      <c r="D101" s="233"/>
      <c r="E101" s="233"/>
      <c r="F101" s="233"/>
      <c r="G101" s="233"/>
      <c r="H101" s="233"/>
      <c r="O101" s="252">
        <v>24</v>
      </c>
      <c r="P101" s="251">
        <v>88000</v>
      </c>
      <c r="Q101" s="249">
        <v>96000</v>
      </c>
      <c r="R101" s="249"/>
      <c r="S101" s="1"/>
      <c r="T101" s="258">
        <v>24000</v>
      </c>
      <c r="U101" s="4"/>
      <c r="V101" s="1"/>
      <c r="W101" s="248"/>
    </row>
    <row r="102" spans="1:23" x14ac:dyDescent="0.3">
      <c r="A102" s="233"/>
      <c r="B102" s="233"/>
      <c r="C102" s="233"/>
      <c r="D102" s="233"/>
      <c r="E102" s="233"/>
      <c r="F102" s="233"/>
      <c r="G102" s="233"/>
      <c r="H102" s="233"/>
      <c r="O102" s="252">
        <v>24.25</v>
      </c>
      <c r="P102" s="251">
        <v>89000</v>
      </c>
      <c r="Q102" s="249">
        <v>97000</v>
      </c>
      <c r="R102" s="249"/>
      <c r="S102" s="1"/>
      <c r="T102" s="258">
        <v>24250</v>
      </c>
      <c r="U102" s="4"/>
      <c r="V102" s="1"/>
      <c r="W102" s="248"/>
    </row>
    <row r="103" spans="1:23" x14ac:dyDescent="0.3">
      <c r="A103" s="233"/>
      <c r="B103" s="233"/>
      <c r="C103" s="233"/>
      <c r="D103" s="233"/>
      <c r="E103" s="233"/>
      <c r="F103" s="233"/>
      <c r="G103" s="233"/>
      <c r="H103" s="233"/>
      <c r="O103" s="252">
        <v>24.5</v>
      </c>
      <c r="P103" s="251">
        <v>90000</v>
      </c>
      <c r="Q103" s="249">
        <v>98000</v>
      </c>
      <c r="R103" s="249"/>
      <c r="S103" s="1"/>
      <c r="T103" s="258">
        <v>24500</v>
      </c>
      <c r="U103" s="4"/>
      <c r="V103" s="1"/>
      <c r="W103" s="248"/>
    </row>
    <row r="104" spans="1:23" x14ac:dyDescent="0.3">
      <c r="A104" s="233"/>
      <c r="B104" s="233"/>
      <c r="C104" s="233"/>
      <c r="D104" s="233"/>
      <c r="E104" s="233"/>
      <c r="F104" s="233"/>
      <c r="G104" s="233"/>
      <c r="H104" s="233"/>
      <c r="O104" s="252">
        <v>24.75</v>
      </c>
      <c r="P104" s="251">
        <v>91000</v>
      </c>
      <c r="Q104" s="249">
        <v>99000</v>
      </c>
      <c r="R104" s="249"/>
      <c r="S104" s="1"/>
      <c r="T104" s="258">
        <v>24750</v>
      </c>
      <c r="U104" s="4"/>
      <c r="V104" s="1"/>
      <c r="W104" s="248"/>
    </row>
    <row r="105" spans="1:23" ht="15" thickBot="1" x14ac:dyDescent="0.35">
      <c r="A105" s="233"/>
      <c r="B105" s="233"/>
      <c r="C105" s="233"/>
      <c r="D105" s="233"/>
      <c r="E105" s="233"/>
      <c r="F105" s="233"/>
      <c r="G105" s="233"/>
      <c r="H105" s="233"/>
      <c r="O105" s="253">
        <v>25</v>
      </c>
      <c r="P105" s="254">
        <v>91500</v>
      </c>
      <c r="Q105" s="255">
        <v>100000</v>
      </c>
      <c r="R105" s="255"/>
      <c r="S105" s="92"/>
      <c r="T105" s="259">
        <v>25000</v>
      </c>
      <c r="U105" s="257"/>
      <c r="V105" s="92"/>
      <c r="W105" s="256"/>
    </row>
    <row r="106" spans="1:23" x14ac:dyDescent="0.3">
      <c r="A106" s="233"/>
      <c r="B106" s="233"/>
      <c r="C106" s="233"/>
      <c r="D106" s="233"/>
      <c r="E106" s="233"/>
      <c r="F106" s="233"/>
      <c r="G106" s="233"/>
      <c r="H106" s="233"/>
    </row>
    <row r="107" spans="1:23" x14ac:dyDescent="0.3">
      <c r="A107" s="233"/>
      <c r="B107" s="233"/>
      <c r="C107" s="233"/>
      <c r="D107" s="233"/>
      <c r="E107" s="233"/>
      <c r="F107" s="233"/>
      <c r="G107" s="233"/>
      <c r="H107" s="233"/>
    </row>
    <row r="108" spans="1:23" x14ac:dyDescent="0.3">
      <c r="A108" s="233"/>
      <c r="B108" s="233"/>
      <c r="C108" s="233"/>
      <c r="D108" s="233"/>
      <c r="E108" s="233"/>
      <c r="F108" s="233"/>
      <c r="G108" s="233"/>
      <c r="H108" s="233"/>
    </row>
    <row r="111" spans="1:23" x14ac:dyDescent="0.3">
      <c r="I111">
        <v>1</v>
      </c>
      <c r="J111">
        <v>0.1</v>
      </c>
    </row>
    <row r="112" spans="1:23" x14ac:dyDescent="0.3">
      <c r="I112">
        <v>2</v>
      </c>
      <c r="J112">
        <v>762</v>
      </c>
    </row>
    <row r="113" spans="9:10" x14ac:dyDescent="0.3">
      <c r="I113">
        <v>3</v>
      </c>
      <c r="J113">
        <v>1524</v>
      </c>
    </row>
    <row r="114" spans="9:10" x14ac:dyDescent="0.3">
      <c r="I114">
        <v>4</v>
      </c>
      <c r="J114">
        <v>2286</v>
      </c>
    </row>
    <row r="115" spans="9:10" x14ac:dyDescent="0.3">
      <c r="I115">
        <v>5</v>
      </c>
      <c r="J115">
        <v>3048</v>
      </c>
    </row>
    <row r="116" spans="9:10" x14ac:dyDescent="0.3">
      <c r="I116">
        <v>6</v>
      </c>
      <c r="J116">
        <v>3809</v>
      </c>
    </row>
    <row r="117" spans="9:10" x14ac:dyDescent="0.3">
      <c r="I117">
        <v>7</v>
      </c>
      <c r="J117">
        <v>4571</v>
      </c>
    </row>
    <row r="118" spans="9:10" x14ac:dyDescent="0.3">
      <c r="I118">
        <v>8</v>
      </c>
      <c r="J118">
        <v>5333</v>
      </c>
    </row>
    <row r="119" spans="9:10" x14ac:dyDescent="0.3">
      <c r="I119">
        <v>9</v>
      </c>
      <c r="J119">
        <v>6095</v>
      </c>
    </row>
    <row r="120" spans="9:10" x14ac:dyDescent="0.3">
      <c r="I120">
        <v>10</v>
      </c>
      <c r="J120">
        <v>6857</v>
      </c>
    </row>
    <row r="121" spans="9:10" x14ac:dyDescent="0.3">
      <c r="I121">
        <v>11</v>
      </c>
      <c r="J121">
        <v>7619</v>
      </c>
    </row>
    <row r="122" spans="9:10" x14ac:dyDescent="0.3">
      <c r="I122">
        <v>12</v>
      </c>
      <c r="J122">
        <v>8381</v>
      </c>
    </row>
    <row r="123" spans="9:10" x14ac:dyDescent="0.3">
      <c r="I123">
        <v>13</v>
      </c>
      <c r="J123">
        <v>9143</v>
      </c>
    </row>
    <row r="124" spans="9:10" x14ac:dyDescent="0.3">
      <c r="I124">
        <v>14</v>
      </c>
      <c r="J124">
        <v>9905</v>
      </c>
    </row>
    <row r="125" spans="9:10" x14ac:dyDescent="0.3">
      <c r="I125">
        <v>15</v>
      </c>
      <c r="J125">
        <v>10667</v>
      </c>
    </row>
    <row r="126" spans="9:10" x14ac:dyDescent="0.3">
      <c r="I126">
        <v>16</v>
      </c>
      <c r="J126">
        <v>11429</v>
      </c>
    </row>
    <row r="127" spans="9:10" x14ac:dyDescent="0.3">
      <c r="I127">
        <v>17</v>
      </c>
      <c r="J127">
        <v>12190</v>
      </c>
    </row>
    <row r="128" spans="9:10" x14ac:dyDescent="0.3">
      <c r="I128">
        <v>18</v>
      </c>
      <c r="J128">
        <v>12952</v>
      </c>
    </row>
    <row r="129" spans="9:10" x14ac:dyDescent="0.3">
      <c r="I129">
        <v>19</v>
      </c>
      <c r="J129">
        <v>13714</v>
      </c>
    </row>
    <row r="130" spans="9:10" x14ac:dyDescent="0.3">
      <c r="I130">
        <v>20</v>
      </c>
      <c r="J130">
        <v>14476</v>
      </c>
    </row>
    <row r="131" spans="9:10" x14ac:dyDescent="0.3">
      <c r="I131">
        <v>21</v>
      </c>
      <c r="J131">
        <v>15238</v>
      </c>
    </row>
    <row r="132" spans="9:10" x14ac:dyDescent="0.3">
      <c r="I132">
        <v>22</v>
      </c>
      <c r="J132">
        <v>16000</v>
      </c>
    </row>
    <row r="133" spans="9:10" x14ac:dyDescent="0.3">
      <c r="I133">
        <v>23</v>
      </c>
      <c r="J133">
        <v>16762</v>
      </c>
    </row>
    <row r="134" spans="9:10" x14ac:dyDescent="0.3">
      <c r="I134">
        <v>24</v>
      </c>
      <c r="J134">
        <v>17524</v>
      </c>
    </row>
    <row r="135" spans="9:10" x14ac:dyDescent="0.3">
      <c r="I135">
        <v>25</v>
      </c>
      <c r="J135">
        <v>18286</v>
      </c>
    </row>
    <row r="136" spans="9:10" x14ac:dyDescent="0.3">
      <c r="I136">
        <v>26</v>
      </c>
      <c r="J136">
        <v>19048</v>
      </c>
    </row>
    <row r="137" spans="9:10" x14ac:dyDescent="0.3">
      <c r="I137">
        <v>27</v>
      </c>
      <c r="J137">
        <v>19809.5</v>
      </c>
    </row>
    <row r="138" spans="9:10" x14ac:dyDescent="0.3">
      <c r="I138">
        <v>28</v>
      </c>
      <c r="J138">
        <v>20571</v>
      </c>
    </row>
    <row r="139" spans="9:10" x14ac:dyDescent="0.3">
      <c r="I139">
        <v>29</v>
      </c>
      <c r="J139">
        <v>21333</v>
      </c>
    </row>
    <row r="140" spans="9:10" x14ac:dyDescent="0.3">
      <c r="I140">
        <v>30</v>
      </c>
      <c r="J140">
        <v>22095</v>
      </c>
    </row>
    <row r="141" spans="9:10" x14ac:dyDescent="0.3">
      <c r="I141">
        <v>0</v>
      </c>
      <c r="J141">
        <v>22857</v>
      </c>
    </row>
    <row r="162" spans="4:12" ht="15.6" x14ac:dyDescent="0.3">
      <c r="L162" s="229"/>
    </row>
    <row r="163" spans="4:12" ht="15.6" x14ac:dyDescent="0.3">
      <c r="L163" s="229"/>
    </row>
    <row r="164" spans="4:12" ht="15.6" x14ac:dyDescent="0.3">
      <c r="L164" s="229"/>
    </row>
    <row r="165" spans="4:12" ht="15.6" x14ac:dyDescent="0.3">
      <c r="J165" s="382"/>
      <c r="K165" s="382"/>
      <c r="L165" s="229"/>
    </row>
    <row r="166" spans="4:12" x14ac:dyDescent="0.3">
      <c r="J166" s="48"/>
      <c r="K166" s="48"/>
    </row>
    <row r="167" spans="4:12" x14ac:dyDescent="0.3">
      <c r="J167" s="47"/>
      <c r="K167" s="47"/>
      <c r="L167" s="2"/>
    </row>
    <row r="173" spans="4:12" x14ac:dyDescent="0.3">
      <c r="D173" s="11"/>
    </row>
  </sheetData>
  <mergeCells count="34">
    <mergeCell ref="AC1:AC2"/>
    <mergeCell ref="AD1:AD2"/>
    <mergeCell ref="M4:M5"/>
    <mergeCell ref="X1:X2"/>
    <mergeCell ref="Y1:Y2"/>
    <mergeCell ref="Z1:Z2"/>
    <mergeCell ref="AA1:AA2"/>
    <mergeCell ref="AB1:AB2"/>
    <mergeCell ref="J165:K165"/>
    <mergeCell ref="F2:F3"/>
    <mergeCell ref="I1:N2"/>
    <mergeCell ref="I4:I5"/>
    <mergeCell ref="J4:J5"/>
    <mergeCell ref="H2:H3"/>
    <mergeCell ref="K4:K5"/>
    <mergeCell ref="L4:L5"/>
    <mergeCell ref="J3:K3"/>
    <mergeCell ref="A1:H1"/>
    <mergeCell ref="D2:D3"/>
    <mergeCell ref="E2:E3"/>
    <mergeCell ref="O1:W2"/>
    <mergeCell ref="T3:T4"/>
    <mergeCell ref="Q3:Q4"/>
    <mergeCell ref="V3:V4"/>
    <mergeCell ref="W3:W4"/>
    <mergeCell ref="R3:R4"/>
    <mergeCell ref="P3:P4"/>
    <mergeCell ref="O3:O4"/>
    <mergeCell ref="S3:S4"/>
    <mergeCell ref="U3:U4"/>
    <mergeCell ref="C2:C4"/>
    <mergeCell ref="A2:A4"/>
    <mergeCell ref="B2:B4"/>
    <mergeCell ref="G2:G3"/>
  </mergeCells>
  <dataValidations count="2">
    <dataValidation type="list" allowBlank="1" showInputMessage="1" showErrorMessage="1" sqref="B5:B108" xr:uid="{A257356D-6869-465D-AC75-7F64D81ECBB0}">
      <formula1>CAT</formula1>
    </dataValidation>
    <dataValidation type="list" allowBlank="1" showInputMessage="1" showErrorMessage="1" sqref="Y3:Y54" xr:uid="{84A706D4-DCFE-489C-855E-46CD02AF7B3F}">
      <formula1>$M$6:$M$22</formula1>
    </dataValidation>
  </dataValidations>
  <printOptions horizontalCentered="1" verticalCentered="1"/>
  <pageMargins left="0.23622047244094491" right="0.23622047244094491" top="0.35433070866141736" bottom="0.35433070866141736" header="0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11906-8DC0-478C-B79B-9BEC8322C78A}">
  <sheetPr codeName="Feuil16"/>
  <dimension ref="A1:DD107"/>
  <sheetViews>
    <sheetView tabSelected="1" view="pageBreakPreview" zoomScaleNormal="100" zoomScaleSheetLayoutView="100" zoomScalePageLayoutView="85" workbookViewId="0">
      <selection activeCell="T10" sqref="T6:T10"/>
    </sheetView>
  </sheetViews>
  <sheetFormatPr baseColWidth="10" defaultColWidth="0" defaultRowHeight="14.4" x14ac:dyDescent="0.3"/>
  <cols>
    <col min="1" max="1" width="8.5546875" customWidth="1"/>
    <col min="2" max="2" width="10.77734375" customWidth="1"/>
    <col min="3" max="3" width="20.109375" customWidth="1"/>
    <col min="4" max="4" width="10" customWidth="1"/>
    <col min="5" max="5" width="12.77734375" customWidth="1"/>
    <col min="6" max="6" width="7" customWidth="1"/>
    <col min="7" max="7" width="4.88671875" customWidth="1"/>
    <col min="8" max="13" width="3.5546875" customWidth="1"/>
    <col min="14" max="14" width="4.6640625" customWidth="1"/>
    <col min="15" max="17" width="13.77734375" customWidth="1"/>
    <col min="18" max="18" width="12.5546875" customWidth="1"/>
    <col min="19" max="19" width="4.88671875" customWidth="1"/>
    <col min="20" max="20" width="8" customWidth="1"/>
    <col min="21" max="21" width="11.77734375" customWidth="1"/>
    <col min="22" max="22" width="12" customWidth="1"/>
    <col min="23" max="23" width="15" customWidth="1"/>
    <col min="24" max="24" width="11.77734375" customWidth="1"/>
    <col min="25" max="25" width="10" customWidth="1"/>
    <col min="26" max="26" width="12" customWidth="1"/>
    <col min="27" max="27" width="13.5546875" customWidth="1"/>
    <col min="28" max="28" width="6.88671875" customWidth="1"/>
    <col min="29" max="33" width="12.77734375" customWidth="1"/>
    <col min="34" max="34" width="20" customWidth="1"/>
    <col min="35" max="48" width="6" customWidth="1"/>
    <col min="49" max="51" width="15" customWidth="1"/>
    <col min="55" max="56" width="10" customWidth="1"/>
    <col min="57" max="59" width="10.77734375" customWidth="1"/>
    <col min="60" max="71" width="5" customWidth="1"/>
    <col min="72" max="73" width="9.6640625" customWidth="1"/>
    <col min="74" max="74" width="20.77734375" customWidth="1"/>
    <col min="77" max="77" width="12.77734375" customWidth="1"/>
    <col min="78" max="80" width="5.77734375" customWidth="1"/>
    <col min="81" max="82" width="9.77734375" customWidth="1"/>
    <col min="83" max="83" width="12.5546875" customWidth="1"/>
    <col min="84" max="84" width="15" customWidth="1"/>
    <col min="85" max="85" width="10.77734375" customWidth="1"/>
    <col min="86" max="86" width="12.77734375" customWidth="1"/>
    <col min="87" max="87" width="10.77734375" customWidth="1"/>
    <col min="88" max="88" width="12.77734375" customWidth="1"/>
    <col min="89" max="90" width="12.33203125" customWidth="1"/>
    <col min="91" max="91" width="15" customWidth="1"/>
    <col min="109" max="109" width="4.88671875" customWidth="1"/>
    <col min="110" max="110" width="8.5546875" customWidth="1"/>
    <col min="111" max="111" width="10" customWidth="1"/>
    <col min="112" max="112" width="15" customWidth="1"/>
    <col min="113" max="114" width="10" customWidth="1"/>
    <col min="115" max="115" width="6" customWidth="1"/>
    <col min="116" max="116" width="4.88671875" customWidth="1"/>
    <col min="117" max="122" width="3.5546875" customWidth="1"/>
    <col min="123" max="123" width="4.6640625" customWidth="1"/>
    <col min="124" max="127" width="12.5546875" customWidth="1"/>
    <col min="128" max="128" width="4.88671875" customWidth="1"/>
    <col min="129" max="129" width="10" customWidth="1"/>
    <col min="130" max="131" width="20" customWidth="1"/>
    <col min="132" max="132" width="12.5546875" customWidth="1"/>
    <col min="133" max="133" width="10" customWidth="1"/>
    <col min="134" max="139" width="15" customWidth="1"/>
  </cols>
  <sheetData>
    <row r="1" spans="1:108" ht="14.1" customHeight="1" thickBot="1" x14ac:dyDescent="0.35">
      <c r="A1" s="400" t="s">
        <v>27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43" t="s">
        <v>22</v>
      </c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400" t="s">
        <v>21</v>
      </c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76"/>
      <c r="BA1" s="76"/>
      <c r="BB1" s="93"/>
      <c r="BC1" s="482" t="s">
        <v>55</v>
      </c>
      <c r="BD1" s="482"/>
      <c r="BE1" s="482"/>
      <c r="BF1" s="482"/>
      <c r="BG1" s="482"/>
      <c r="BH1" s="482"/>
      <c r="BI1" s="482"/>
      <c r="BJ1" s="482"/>
      <c r="BK1" s="482"/>
      <c r="BL1" s="482"/>
      <c r="BM1" s="482"/>
      <c r="BN1" s="482"/>
      <c r="BO1" s="482"/>
      <c r="BP1" s="482"/>
      <c r="BQ1" s="482"/>
      <c r="BR1" s="482"/>
      <c r="BS1" s="482"/>
      <c r="BT1" s="482"/>
      <c r="BU1" s="482"/>
      <c r="BV1" s="482"/>
      <c r="BW1" s="482"/>
      <c r="BX1" s="482"/>
      <c r="BY1" s="511" t="s">
        <v>24</v>
      </c>
      <c r="BZ1" s="511"/>
      <c r="CA1" s="511"/>
      <c r="CB1" s="511"/>
      <c r="CC1" s="511"/>
      <c r="CD1" s="511"/>
      <c r="CE1" s="511"/>
      <c r="CF1" s="511"/>
      <c r="CG1" s="511"/>
      <c r="CH1" s="511"/>
      <c r="CI1" s="511"/>
      <c r="CJ1" s="511"/>
      <c r="CK1" s="511"/>
      <c r="CL1" s="511"/>
      <c r="CM1" s="511"/>
      <c r="CN1" s="133"/>
      <c r="CO1" s="133"/>
      <c r="CP1" s="133"/>
      <c r="CQ1" s="133"/>
      <c r="CR1" s="133"/>
      <c r="CS1" s="133"/>
      <c r="CT1" s="133"/>
      <c r="CU1" s="133"/>
      <c r="CV1" s="133"/>
      <c r="CW1" s="133"/>
      <c r="CX1" s="133"/>
      <c r="CY1" s="133"/>
      <c r="CZ1" s="133"/>
      <c r="DA1" s="133"/>
      <c r="DB1" s="133"/>
      <c r="DC1" s="133"/>
      <c r="DD1" s="133"/>
    </row>
    <row r="2" spans="1:108" ht="14.1" customHeight="1" thickBot="1" x14ac:dyDescent="0.35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46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00"/>
      <c r="AI2" s="400"/>
      <c r="AJ2" s="400"/>
      <c r="AK2" s="400"/>
      <c r="AL2" s="400"/>
      <c r="AM2" s="400"/>
      <c r="AN2" s="400"/>
      <c r="AO2" s="400"/>
      <c r="AP2" s="400"/>
      <c r="AQ2" s="400"/>
      <c r="AR2" s="400"/>
      <c r="AS2" s="400"/>
      <c r="AT2" s="400"/>
      <c r="AU2" s="400"/>
      <c r="AV2" s="400"/>
      <c r="AW2" s="400"/>
      <c r="AX2" s="400"/>
      <c r="AY2" s="400"/>
      <c r="AZ2" s="77"/>
      <c r="BA2" s="77"/>
      <c r="BB2" s="77"/>
      <c r="BC2" s="482"/>
      <c r="BD2" s="482"/>
      <c r="BE2" s="482"/>
      <c r="BF2" s="482"/>
      <c r="BG2" s="482"/>
      <c r="BH2" s="482"/>
      <c r="BI2" s="482"/>
      <c r="BJ2" s="482"/>
      <c r="BK2" s="482"/>
      <c r="BL2" s="482"/>
      <c r="BM2" s="482"/>
      <c r="BN2" s="482"/>
      <c r="BO2" s="482"/>
      <c r="BP2" s="482"/>
      <c r="BQ2" s="482"/>
      <c r="BR2" s="482"/>
      <c r="BS2" s="482"/>
      <c r="BT2" s="482"/>
      <c r="BU2" s="482"/>
      <c r="BV2" s="482"/>
      <c r="BW2" s="482"/>
      <c r="BX2" s="482"/>
      <c r="BY2" s="511"/>
      <c r="BZ2" s="511"/>
      <c r="CA2" s="511"/>
      <c r="CB2" s="511"/>
      <c r="CC2" s="511"/>
      <c r="CD2" s="511"/>
      <c r="CE2" s="511"/>
      <c r="CF2" s="511"/>
      <c r="CG2" s="511"/>
      <c r="CH2" s="511"/>
      <c r="CI2" s="511"/>
      <c r="CJ2" s="511"/>
      <c r="CK2" s="511"/>
      <c r="CL2" s="511"/>
      <c r="CM2" s="511"/>
      <c r="CN2" s="133"/>
      <c r="CO2" s="133"/>
      <c r="CP2" s="133"/>
      <c r="CQ2" s="133"/>
      <c r="CR2" s="133"/>
      <c r="CS2" s="133"/>
      <c r="CT2" s="133"/>
      <c r="CU2" s="133"/>
      <c r="CV2" s="133"/>
      <c r="CW2" s="133"/>
      <c r="CX2" s="133"/>
      <c r="CY2" s="133"/>
      <c r="CZ2" s="133"/>
      <c r="DA2" s="133"/>
      <c r="DB2" s="133"/>
      <c r="DC2" s="133"/>
      <c r="DD2" s="133"/>
    </row>
    <row r="3" spans="1:108" ht="14.1" customHeight="1" thickBot="1" x14ac:dyDescent="0.35">
      <c r="A3" s="395" t="s">
        <v>0</v>
      </c>
      <c r="B3" s="395" t="s">
        <v>174</v>
      </c>
      <c r="C3" s="395" t="s">
        <v>1</v>
      </c>
      <c r="D3" s="395" t="s">
        <v>230</v>
      </c>
      <c r="E3" s="395" t="s">
        <v>185</v>
      </c>
      <c r="F3" s="439" t="s">
        <v>154</v>
      </c>
      <c r="G3" s="440" t="s">
        <v>26</v>
      </c>
      <c r="H3" s="395" t="s">
        <v>2</v>
      </c>
      <c r="I3" s="395"/>
      <c r="J3" s="395"/>
      <c r="K3" s="395"/>
      <c r="L3" s="395"/>
      <c r="M3" s="395"/>
      <c r="N3" s="441" t="s">
        <v>119</v>
      </c>
      <c r="O3" s="442" t="s">
        <v>92</v>
      </c>
      <c r="P3" s="441" t="s">
        <v>159</v>
      </c>
      <c r="Q3" s="395" t="s">
        <v>49</v>
      </c>
      <c r="R3" s="399" t="s">
        <v>106</v>
      </c>
      <c r="S3" s="399"/>
      <c r="T3" s="451" t="s">
        <v>89</v>
      </c>
      <c r="U3" s="409" t="s">
        <v>207</v>
      </c>
      <c r="V3" s="409" t="s">
        <v>2</v>
      </c>
      <c r="W3" s="396" t="s">
        <v>30</v>
      </c>
      <c r="X3" s="396" t="s">
        <v>185</v>
      </c>
      <c r="Y3" s="426" t="s">
        <v>33</v>
      </c>
      <c r="Z3" s="449" t="s">
        <v>91</v>
      </c>
      <c r="AA3" s="453" t="s">
        <v>92</v>
      </c>
      <c r="AB3" s="453" t="s">
        <v>31</v>
      </c>
      <c r="AC3" s="426" t="s">
        <v>90</v>
      </c>
      <c r="AD3" s="396" t="s">
        <v>18</v>
      </c>
      <c r="AE3" s="396" t="s">
        <v>32</v>
      </c>
      <c r="AF3" s="396" t="s">
        <v>19</v>
      </c>
      <c r="AG3" s="449" t="s">
        <v>34</v>
      </c>
      <c r="AH3" s="417" t="s">
        <v>3</v>
      </c>
      <c r="AI3" s="420" t="s">
        <v>123</v>
      </c>
      <c r="AJ3" s="421"/>
      <c r="AK3" s="421"/>
      <c r="AL3" s="421"/>
      <c r="AM3" s="421"/>
      <c r="AN3" s="421"/>
      <c r="AO3" s="422"/>
      <c r="AP3" s="420" t="s">
        <v>10</v>
      </c>
      <c r="AQ3" s="421"/>
      <c r="AR3" s="421"/>
      <c r="AS3" s="421"/>
      <c r="AT3" s="421"/>
      <c r="AU3" s="421"/>
      <c r="AV3" s="422"/>
      <c r="AW3" s="392" t="s">
        <v>92</v>
      </c>
      <c r="AX3" s="392"/>
      <c r="AY3" s="392" t="s">
        <v>49</v>
      </c>
      <c r="AZ3" s="43"/>
      <c r="BA3" s="43"/>
      <c r="BB3" s="43"/>
      <c r="BC3" s="483" t="s">
        <v>0</v>
      </c>
      <c r="BD3" s="486" t="s">
        <v>239</v>
      </c>
      <c r="BE3" s="486" t="s">
        <v>57</v>
      </c>
      <c r="BF3" s="428" t="s">
        <v>56</v>
      </c>
      <c r="BG3" s="428" t="s">
        <v>58</v>
      </c>
      <c r="BH3" s="486" t="s">
        <v>172</v>
      </c>
      <c r="BI3" s="489"/>
      <c r="BJ3" s="489"/>
      <c r="BK3" s="489"/>
      <c r="BL3" s="489"/>
      <c r="BM3" s="490"/>
      <c r="BN3" s="486" t="s">
        <v>173</v>
      </c>
      <c r="BO3" s="489"/>
      <c r="BP3" s="489"/>
      <c r="BQ3" s="609"/>
      <c r="BR3" s="609"/>
      <c r="BS3" s="609"/>
      <c r="BT3" s="428" t="s">
        <v>171</v>
      </c>
      <c r="BU3" s="428" t="s">
        <v>161</v>
      </c>
      <c r="BV3" s="483" t="s">
        <v>59</v>
      </c>
      <c r="BW3" s="60"/>
      <c r="BX3" s="12"/>
      <c r="BY3" s="376" t="s">
        <v>11</v>
      </c>
      <c r="BZ3" s="534" t="s">
        <v>4</v>
      </c>
      <c r="CA3" s="535"/>
      <c r="CB3" s="536"/>
      <c r="CC3" s="388" t="s">
        <v>236</v>
      </c>
      <c r="CD3" s="388" t="s">
        <v>235</v>
      </c>
      <c r="CE3" s="376" t="s">
        <v>187</v>
      </c>
      <c r="CF3" s="376" t="s">
        <v>188</v>
      </c>
      <c r="CG3" s="376"/>
      <c r="CH3" s="376" t="s">
        <v>11</v>
      </c>
      <c r="CI3" s="376" t="s">
        <v>189</v>
      </c>
      <c r="CJ3" s="376" t="s">
        <v>190</v>
      </c>
      <c r="CK3" s="376" t="s">
        <v>191</v>
      </c>
      <c r="CL3" s="376" t="s">
        <v>187</v>
      </c>
      <c r="CM3" s="376" t="s">
        <v>188</v>
      </c>
    </row>
    <row r="4" spans="1:108" ht="14.1" customHeight="1" thickBot="1" x14ac:dyDescent="0.35">
      <c r="A4" s="395"/>
      <c r="B4" s="395"/>
      <c r="C4" s="395"/>
      <c r="D4" s="395"/>
      <c r="E4" s="395"/>
      <c r="F4" s="439"/>
      <c r="G4" s="440"/>
      <c r="H4" s="395"/>
      <c r="I4" s="395"/>
      <c r="J4" s="395"/>
      <c r="K4" s="395"/>
      <c r="L4" s="395"/>
      <c r="M4" s="395"/>
      <c r="N4" s="441"/>
      <c r="O4" s="442"/>
      <c r="P4" s="441"/>
      <c r="Q4" s="395"/>
      <c r="R4" s="399"/>
      <c r="S4" s="399"/>
      <c r="T4" s="452"/>
      <c r="U4" s="410"/>
      <c r="V4" s="410"/>
      <c r="W4" s="397"/>
      <c r="X4" s="397"/>
      <c r="Y4" s="427"/>
      <c r="Z4" s="450"/>
      <c r="AA4" s="454"/>
      <c r="AB4" s="454"/>
      <c r="AC4" s="427"/>
      <c r="AD4" s="397"/>
      <c r="AE4" s="397"/>
      <c r="AF4" s="397"/>
      <c r="AG4" s="450"/>
      <c r="AH4" s="418"/>
      <c r="AI4" s="423"/>
      <c r="AJ4" s="424"/>
      <c r="AK4" s="424"/>
      <c r="AL4" s="424"/>
      <c r="AM4" s="424"/>
      <c r="AN4" s="424"/>
      <c r="AO4" s="425"/>
      <c r="AP4" s="423"/>
      <c r="AQ4" s="424"/>
      <c r="AR4" s="424"/>
      <c r="AS4" s="424"/>
      <c r="AT4" s="424"/>
      <c r="AU4" s="424"/>
      <c r="AV4" s="425"/>
      <c r="AW4" s="393"/>
      <c r="AX4" s="393"/>
      <c r="AY4" s="393"/>
      <c r="AZ4" s="12"/>
      <c r="BA4" s="12"/>
      <c r="BB4" s="12"/>
      <c r="BC4" s="484"/>
      <c r="BD4" s="487"/>
      <c r="BE4" s="487"/>
      <c r="BF4" s="429"/>
      <c r="BG4" s="429"/>
      <c r="BH4" s="488"/>
      <c r="BI4" s="491"/>
      <c r="BJ4" s="491"/>
      <c r="BK4" s="491"/>
      <c r="BL4" s="491"/>
      <c r="BM4" s="492"/>
      <c r="BN4" s="488"/>
      <c r="BO4" s="491"/>
      <c r="BP4" s="491"/>
      <c r="BQ4" s="611"/>
      <c r="BR4" s="611"/>
      <c r="BS4" s="611"/>
      <c r="BT4" s="429"/>
      <c r="BU4" s="429"/>
      <c r="BV4" s="484"/>
      <c r="BW4" s="60"/>
      <c r="BX4" s="12"/>
      <c r="BY4" s="376"/>
      <c r="BZ4" s="294"/>
      <c r="CA4" s="225"/>
      <c r="CB4" s="295"/>
      <c r="CC4" s="389"/>
      <c r="CD4" s="389"/>
      <c r="CE4" s="376"/>
      <c r="CF4" s="376"/>
      <c r="CG4" s="376"/>
      <c r="CH4" s="376"/>
      <c r="CI4" s="376"/>
      <c r="CJ4" s="376"/>
      <c r="CK4" s="376"/>
      <c r="CL4" s="376"/>
      <c r="CM4" s="376"/>
    </row>
    <row r="5" spans="1:108" ht="14.1" customHeight="1" thickBot="1" x14ac:dyDescent="0.35">
      <c r="A5" s="395"/>
      <c r="B5" s="395"/>
      <c r="C5" s="395"/>
      <c r="D5" s="395"/>
      <c r="E5" s="395"/>
      <c r="F5" s="439"/>
      <c r="G5" s="440"/>
      <c r="H5" s="279">
        <v>10</v>
      </c>
      <c r="I5" s="280">
        <v>25</v>
      </c>
      <c r="J5" s="280">
        <v>50</v>
      </c>
      <c r="K5" s="280">
        <v>75</v>
      </c>
      <c r="L5" s="281">
        <v>1</v>
      </c>
      <c r="M5" s="282">
        <v>5</v>
      </c>
      <c r="N5" s="441"/>
      <c r="O5" s="442"/>
      <c r="P5" s="441"/>
      <c r="Q5" s="395"/>
      <c r="R5" s="399"/>
      <c r="S5" s="399"/>
      <c r="T5" s="452"/>
      <c r="U5" s="411"/>
      <c r="V5" s="410"/>
      <c r="W5" s="397"/>
      <c r="X5" s="398"/>
      <c r="Y5" s="427"/>
      <c r="Z5" s="450"/>
      <c r="AA5" s="454"/>
      <c r="AB5" s="454"/>
      <c r="AC5" s="427"/>
      <c r="AD5" s="397"/>
      <c r="AE5" s="397"/>
      <c r="AF5" s="397"/>
      <c r="AG5" s="450"/>
      <c r="AH5" s="419"/>
      <c r="AI5" s="212"/>
      <c r="AJ5" s="212">
        <v>10</v>
      </c>
      <c r="AK5" s="212">
        <v>25</v>
      </c>
      <c r="AL5" s="212">
        <v>50</v>
      </c>
      <c r="AM5" s="212">
        <v>75</v>
      </c>
      <c r="AN5" s="212">
        <v>1</v>
      </c>
      <c r="AO5" s="212">
        <v>5</v>
      </c>
      <c r="AP5" s="212"/>
      <c r="AQ5" s="212">
        <v>10</v>
      </c>
      <c r="AR5" s="212">
        <v>25</v>
      </c>
      <c r="AS5" s="212">
        <v>50</v>
      </c>
      <c r="AT5" s="212">
        <v>75</v>
      </c>
      <c r="AU5" s="212">
        <v>1</v>
      </c>
      <c r="AV5" s="212">
        <v>5</v>
      </c>
      <c r="AW5" s="394"/>
      <c r="AX5" s="394"/>
      <c r="AY5" s="394"/>
      <c r="AZ5" s="12"/>
      <c r="BA5" s="12"/>
      <c r="BB5" s="12"/>
      <c r="BC5" s="485"/>
      <c r="BD5" s="488"/>
      <c r="BE5" s="488"/>
      <c r="BF5" s="430"/>
      <c r="BG5" s="430"/>
      <c r="BH5" s="45">
        <v>10</v>
      </c>
      <c r="BI5" s="45">
        <v>25</v>
      </c>
      <c r="BJ5" s="45">
        <v>50</v>
      </c>
      <c r="BK5" s="45">
        <v>75</v>
      </c>
      <c r="BL5" s="45">
        <v>1</v>
      </c>
      <c r="BM5" s="61">
        <v>5</v>
      </c>
      <c r="BN5" s="75">
        <v>25</v>
      </c>
      <c r="BO5" s="75">
        <v>50</v>
      </c>
      <c r="BP5" s="75">
        <v>1</v>
      </c>
      <c r="BQ5" s="610"/>
      <c r="BR5" s="610"/>
      <c r="BS5" s="610"/>
      <c r="BT5" s="430"/>
      <c r="BU5" s="430"/>
      <c r="BV5" s="485"/>
      <c r="BW5" s="60"/>
      <c r="BX5" s="12"/>
      <c r="BY5" s="476" t="s">
        <v>120</v>
      </c>
      <c r="BZ5" s="468"/>
      <c r="CA5" s="468"/>
      <c r="CB5" s="468"/>
      <c r="CC5" s="468">
        <f>CI5</f>
        <v>1</v>
      </c>
      <c r="CD5" s="468">
        <f>CB5-CC5</f>
        <v>-1</v>
      </c>
      <c r="CE5" s="475">
        <v>184</v>
      </c>
      <c r="CF5" s="474">
        <f t="shared" ref="CF5" si="0">CE5*CB5</f>
        <v>0</v>
      </c>
      <c r="CG5" s="499" t="s">
        <v>157</v>
      </c>
      <c r="CH5" s="502">
        <v>10</v>
      </c>
      <c r="CI5" s="503">
        <f>BH65</f>
        <v>1</v>
      </c>
      <c r="CJ5" s="501">
        <f ca="1">H70</f>
        <v>0</v>
      </c>
      <c r="CK5" s="504"/>
      <c r="CL5" s="525">
        <v>800</v>
      </c>
      <c r="CM5" s="524">
        <f>CI5*CL5</f>
        <v>800</v>
      </c>
    </row>
    <row r="6" spans="1:108" ht="15" customHeight="1" x14ac:dyDescent="0.3">
      <c r="A6" s="173"/>
      <c r="B6" s="154"/>
      <c r="C6" s="174"/>
      <c r="D6" s="62"/>
      <c r="E6" s="62"/>
      <c r="F6" s="175"/>
      <c r="G6" s="176"/>
      <c r="H6" s="9"/>
      <c r="I6" s="9"/>
      <c r="J6" s="9"/>
      <c r="K6" s="9"/>
      <c r="L6" s="9"/>
      <c r="M6" s="46"/>
      <c r="N6" s="32">
        <f t="shared" ref="N6" si="1">((($H$5*H6)/100)+($I$5*I6)/100)+((J6*$J$5)/100)+(($K$5*K6)/100)+($L$5*L6)+($M$5*M6)</f>
        <v>0</v>
      </c>
      <c r="O6" s="177">
        <f>IF(D6="CLIENT O","OFFERT",IF(Q6&gt;=0,(Q6*(1-5%)),0))</f>
        <v>0</v>
      </c>
      <c r="P6" s="177">
        <f>IF(D6="CLIENT O","OFFERT",IF(Q6&gt;=0,(Q6-O6),0))</f>
        <v>0</v>
      </c>
      <c r="Q6" s="178" t="b">
        <f t="shared" ref="Q6:Q37" si="2">IF(AND(D6=CLEX,F6="HUILE"),((VLOOKUP(H6,TARIFP,2,0)+(S6*THE))*(1-G6))+E6,IF(AND(D6=CLEX,F6="AUTRE"),(VLOOKUP(L6,TARIFP,3,0)*(1-G6))+E6,IF(AND(D6=CLEX,F6="LAIT"),((S6*TL)*(1-G6))+E6,IF(AND(D6=CLEX,F6="EAU"),((S6*TE)*(1-G6))+E6,IF(AND(D6=CLSL,F6="HUILE"),(((S6*THL)*(1-G6))+(VLOOKUP(H6,TARIFP,2,0))),IF(AND(D6=CLSL,F6="AUTRE"),(((VLOOKUP(L6,TARIFP,3,0))*(1-G6))),IF(AND(D6=CLSL,F6="LAIT"),((S6*TL)*(1-G6)),IF(AND(D6=CLSL,F6="EAU"),((S6*TE)*(1-G6)),IF(D6=CLO,"OFFERT",IF(AND(F6="HUILE",D6=CLL),(((VLOOKUP(H6,TARIFP,2,0))+(VLOOKUP(S6,TARIFL,2,0)))),IF(AND(F6="LAIT",D6=CLL),(VLOOKUP(S6,TARIFL,6,0)),IF(AND(F6="EAU",D6=CLL),(VLOOKUP(S6,TARIFL,5,0)),IF(AND(D6=CLL,F6=AUTRE),(VLOOKUP(L6,TARIFP,3,0)),IF(AND(F6="HUILE",D6=CLD),(VLOOKUP(S6,TARIFL,3,0)+(VLOOKUP(H6,TARIFP,2,0))),IF(AND(F6="LAIT",D6=CLD),(VLOOKUP(S6,TARIFL,6,0)),IF(AND(F6="EAU",D6=CLD),(VLOOKUP(S6,TARIFL,5,0)),IF(AND(D6=CLD,F6=AUTRE),(VLOOKUP(L6,TARIFP,3,0)),IF(AND(F6="HUILE",D6=CLSD),((VLOOKUP(H6,TARIFP,2,0))+((S6*THD)*(1-G6))),IF(AND(F6="LAIT",D6=CLSD),((VLOOKUP(S6,TARIFL,6,0))*(1-G6)),IF(AND(F6="EAU",D6=CLSD),((VLOOKUP(S6,TARIFL,5,0))*(1-G6)),IF(AND(D6=CLS,F6=AUTRE),((VLOOKUP(L6,TARIFP,3,0))*(1-G6)),IF(AND(D6=CLS,F6="LAIT"),((S6*TL)*(1-G6)),IF(AND(D6=CLS,F6="EAU"),((S6*TE)*(1-G6)),IF(AND(F6="HUILE",D6=CLS),((VLOOKUP(H6,TARIFP,2,0)+(S6*THL))*(1-G6))))))))))))))))))))))))))</f>
        <v>0</v>
      </c>
      <c r="R6" s="153"/>
      <c r="S6" s="277">
        <f>(($I$5*I6)/100)+((J6*$J$5)/100)+(($K$5*K6)/100)+($L$5*L6)+($M$5*M6)</f>
        <v>0</v>
      </c>
      <c r="T6" s="230"/>
      <c r="U6" s="161" t="e">
        <f t="shared" ref="U6:U37" si="3">VLOOKUP(V6,BASE1,2,0)</f>
        <v>#N/A</v>
      </c>
      <c r="V6" s="118"/>
      <c r="W6" s="119" t="e">
        <f t="shared" ref="W6:W37" si="4">VLOOKUP(V6,BASE1,3,0)</f>
        <v>#N/A</v>
      </c>
      <c r="X6" s="119"/>
      <c r="Y6" s="161"/>
      <c r="Z6" s="161"/>
      <c r="AA6" s="162"/>
      <c r="AB6" s="120" t="e">
        <f t="shared" ref="AB6:AB37" si="5">VLOOKUP(V6,BASE1,4,0)</f>
        <v>#N/A</v>
      </c>
      <c r="AC6" s="121" t="e">
        <f t="shared" ref="AC6" si="6">(AA6*AB6)/100</f>
        <v>#N/A</v>
      </c>
      <c r="AD6" s="122" t="e">
        <f t="shared" ref="AD6:AD37" si="7">VLOOKUP(V6,BASE1,6,0)*AA6/100</f>
        <v>#N/A</v>
      </c>
      <c r="AE6" s="122" t="e">
        <f t="shared" ref="AE6:AE37" si="8">VLOOKUP(V6,BASE1,7,0)*AA6/100</f>
        <v>#N/A</v>
      </c>
      <c r="AF6" s="122" t="e">
        <f t="shared" ref="AF6:AF37" si="9">VLOOKUP(V6,BASE1,8,0)*AA6/100</f>
        <v>#N/A</v>
      </c>
      <c r="AG6" s="123" t="e">
        <f>AC6+AD6+AE6+AF6</f>
        <v>#N/A</v>
      </c>
      <c r="AH6" s="433" t="s">
        <v>5</v>
      </c>
      <c r="AI6" s="129" t="s">
        <v>157</v>
      </c>
      <c r="AJ6" s="35">
        <f>SUMIFS($H$6:$H$69,$C$6:$C$69,AH6,$F$6:$F$69,AI6)</f>
        <v>0</v>
      </c>
      <c r="AK6" s="35">
        <f>SUMIFS($I$6:$I$69,$C$6:$C$69,AH6,$F$6:$F$69,AI6)</f>
        <v>0</v>
      </c>
      <c r="AL6" s="35">
        <f>SUMIFS($J$6:$J$69,$C$6:$C$69,AH6,$F$6:$F$69,AI6)</f>
        <v>0</v>
      </c>
      <c r="AM6" s="35">
        <f>SUMIFS($K$6:$K$69,$C$6:$C$69,AH6,$F$6:$F$69,AI6)</f>
        <v>0</v>
      </c>
      <c r="AN6" s="35">
        <f>SUMIFS($L$6:$L$69,$C$6:$C$69,AH6,$F$6:$F$69,AI6)</f>
        <v>0</v>
      </c>
      <c r="AO6" s="35">
        <f>SUMIFS($M$6:$M$69,$C$6:$C$69,AH6,$F$6:$F$69,AI6)</f>
        <v>0</v>
      </c>
      <c r="AP6" s="90" t="s">
        <v>157</v>
      </c>
      <c r="AQ6" s="81"/>
      <c r="AR6" s="62"/>
      <c r="AS6" s="62"/>
      <c r="AT6" s="62"/>
      <c r="AU6" s="78"/>
      <c r="AV6" s="78"/>
      <c r="AW6" s="54">
        <f>SUMIFS($O$6:$O$69,$C$6:$C$69,AH6,$F$6:$F$69,AI6)</f>
        <v>0</v>
      </c>
      <c r="AX6" s="274"/>
      <c r="AY6" s="82">
        <f>SUMIFS($Q$6:$Q$69,$C$6:$C$69,AH6,$F$6:$F$69,AI6)</f>
        <v>0</v>
      </c>
      <c r="AZ6" s="12"/>
      <c r="BA6" s="12"/>
      <c r="BB6" s="12" t="s">
        <v>229</v>
      </c>
      <c r="BC6" s="201" t="s">
        <v>253</v>
      </c>
      <c r="BD6" s="222" t="s">
        <v>254</v>
      </c>
      <c r="BE6" s="63" t="s">
        <v>256</v>
      </c>
      <c r="BF6" s="63" t="s">
        <v>255</v>
      </c>
      <c r="BG6" s="63" t="s">
        <v>258</v>
      </c>
      <c r="BH6" s="63">
        <v>1</v>
      </c>
      <c r="BI6" s="63">
        <v>2</v>
      </c>
      <c r="BJ6" s="63">
        <v>1</v>
      </c>
      <c r="BK6" s="63">
        <v>1</v>
      </c>
      <c r="BL6" s="63">
        <v>2</v>
      </c>
      <c r="BM6" s="63">
        <v>0</v>
      </c>
      <c r="BN6" s="63">
        <v>0</v>
      </c>
      <c r="BO6" s="63">
        <v>2</v>
      </c>
      <c r="BP6" s="63">
        <v>1</v>
      </c>
      <c r="BQ6" s="608">
        <v>4</v>
      </c>
      <c r="BR6" s="608">
        <v>0</v>
      </c>
      <c r="BS6" s="608">
        <v>6</v>
      </c>
      <c r="BT6" s="71">
        <f>(BH6*0.1)+(BI6*0.25)+(BJ6*0.5)+(BK6*0.75)+(BL6*1)+(BM6*5)</f>
        <v>3.85</v>
      </c>
      <c r="BU6" s="147">
        <f t="shared" ref="BU6:BU61" si="10">(BQ6*0.25)+(BR6*0.5)+(BS6*1)</f>
        <v>7</v>
      </c>
      <c r="BV6" s="72" t="s">
        <v>257</v>
      </c>
      <c r="BW6" s="59"/>
      <c r="BX6" s="12"/>
      <c r="BY6" s="476"/>
      <c r="BZ6" s="468"/>
      <c r="CA6" s="468"/>
      <c r="CB6" s="468"/>
      <c r="CC6" s="468"/>
      <c r="CD6" s="468"/>
      <c r="CE6" s="475"/>
      <c r="CF6" s="474"/>
      <c r="CG6" s="500"/>
      <c r="CH6" s="498"/>
      <c r="CI6" s="497"/>
      <c r="CJ6" s="497"/>
      <c r="CK6" s="481"/>
      <c r="CL6" s="475"/>
      <c r="CM6" s="495"/>
    </row>
    <row r="7" spans="1:108" ht="15" customHeight="1" x14ac:dyDescent="0.3">
      <c r="A7" s="64"/>
      <c r="B7" s="148"/>
      <c r="C7" s="109"/>
      <c r="D7" s="63"/>
      <c r="E7" s="63"/>
      <c r="F7" s="127"/>
      <c r="G7" s="50"/>
      <c r="H7" s="10"/>
      <c r="I7" s="10"/>
      <c r="J7" s="10"/>
      <c r="K7" s="10"/>
      <c r="L7" s="10"/>
      <c r="M7" s="39"/>
      <c r="N7" s="33">
        <f t="shared" ref="N7:N44" si="11">((($H$5*H7)/100)+($I$5*I7)/100)+((J7*$J$5)/100)+(($K$5*K7)/100)+($L$5*L7)+($M$5*M7)</f>
        <v>0</v>
      </c>
      <c r="O7" s="52">
        <f t="shared" ref="O7:O44" si="12">IF(D7="CLIENT O","OFFERT",IF(Q7&gt;=0,(Q7*(1-5%)),0))</f>
        <v>0</v>
      </c>
      <c r="P7" s="52">
        <f t="shared" ref="P7:P44" si="13">IF(D7="CLIENT O","OFFERT",IF(Q7&gt;=0,(Q7-O7),0))</f>
        <v>0</v>
      </c>
      <c r="Q7" s="53" t="b">
        <f t="shared" si="2"/>
        <v>0</v>
      </c>
      <c r="R7" s="152" t="s">
        <v>175</v>
      </c>
      <c r="S7" s="278">
        <f t="shared" ref="S7:S44" si="14">(($I$5*I7)/100)+((J7*$J$5)/100)+(($K$5*K7)/100)+($L$5*L7)+($M$5*M7)</f>
        <v>0</v>
      </c>
      <c r="T7" s="231"/>
      <c r="U7" s="159" t="e">
        <f t="shared" si="3"/>
        <v>#N/A</v>
      </c>
      <c r="V7" s="41"/>
      <c r="W7" s="70" t="e">
        <f t="shared" si="4"/>
        <v>#N/A</v>
      </c>
      <c r="X7" s="70"/>
      <c r="Y7" s="159"/>
      <c r="Z7" s="159"/>
      <c r="AA7" s="160"/>
      <c r="AB7" s="158" t="e">
        <f t="shared" si="5"/>
        <v>#N/A</v>
      </c>
      <c r="AC7" s="94" t="e">
        <f t="shared" ref="AC7:AC70" si="15">(AA7*AB7)/100</f>
        <v>#N/A</v>
      </c>
      <c r="AD7" s="95" t="e">
        <f t="shared" si="7"/>
        <v>#N/A</v>
      </c>
      <c r="AE7" s="95" t="e">
        <f t="shared" si="8"/>
        <v>#N/A</v>
      </c>
      <c r="AF7" s="95" t="e">
        <f t="shared" si="9"/>
        <v>#N/A</v>
      </c>
      <c r="AG7" s="96" t="e">
        <f t="shared" ref="AG7:AG70" si="16">AC7+AD7+AE7+AF7</f>
        <v>#N/A</v>
      </c>
      <c r="AH7" s="434"/>
      <c r="AI7" s="1" t="s">
        <v>155</v>
      </c>
      <c r="AJ7" s="36">
        <f>SUMIFS($H$6:$H$69,$C$6:$C$69,AH6,$F$6:$F$69,AI7)</f>
        <v>0</v>
      </c>
      <c r="AK7" s="36">
        <f>SUMIFS($I$6:$I$69,$C$6:$C$69,AH6,$F$6:$F$69,AI7)</f>
        <v>0</v>
      </c>
      <c r="AL7" s="36">
        <f>SUMIFS($J$6:$J$69,$C$6:$C$69,AH6,$F$6:$F$69,AI7)</f>
        <v>0</v>
      </c>
      <c r="AM7" s="36">
        <f>SUMIFS($K$6:$K$69,$C$6:$C$69,AH6,$F$6:$F$69,AI7)</f>
        <v>0</v>
      </c>
      <c r="AN7" s="36">
        <f>SUMIFS($L$6:$L$69,$C$6:$C$69,AH6,$F$6:$F$69,AI7)</f>
        <v>0</v>
      </c>
      <c r="AO7" s="36">
        <f>SUMIFS($M$6:$M$69,$C$6:$C$69,AH6,$F$6:$F$69,AI7)</f>
        <v>0</v>
      </c>
      <c r="AP7" s="1" t="s">
        <v>155</v>
      </c>
      <c r="AQ7" s="83"/>
      <c r="AR7" s="63"/>
      <c r="AS7" s="63"/>
      <c r="AT7" s="63"/>
      <c r="AU7" s="79"/>
      <c r="AV7" s="79"/>
      <c r="AW7" s="55">
        <f>SUMIFS($O$6:$O$69,$C$6:$C$69,AH7,$F$6:$F$69,AI7)</f>
        <v>0</v>
      </c>
      <c r="AX7" s="275"/>
      <c r="AY7" s="80">
        <f>SUMIFS($Q$6:$Q$69,$C$6:$C$69,AH7,$F$6:$F$69,AI7)</f>
        <v>0</v>
      </c>
      <c r="AZ7" s="12"/>
      <c r="BA7" s="12"/>
      <c r="BB7" s="12"/>
      <c r="BC7" s="201"/>
      <c r="BD7" s="222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71">
        <f t="shared" ref="BT7:BT23" si="17">(BH7*0.1)+(BI7*0.25)+(BJ7*0.5)+(BK7*0.75)+(BL7*1)+(BM7*5)</f>
        <v>0</v>
      </c>
      <c r="BU7" s="71">
        <f t="shared" si="10"/>
        <v>0</v>
      </c>
      <c r="BV7" s="72"/>
      <c r="BW7" s="59"/>
      <c r="BX7" s="12"/>
      <c r="BY7" s="476" t="s">
        <v>13</v>
      </c>
      <c r="BZ7" s="468"/>
      <c r="CA7" s="468"/>
      <c r="CB7" s="468"/>
      <c r="CC7" s="468">
        <f>CI7+CI17+CI23</f>
        <v>6</v>
      </c>
      <c r="CD7" s="468">
        <f t="shared" ref="CD7" si="18">CB7-CC7</f>
        <v>-6</v>
      </c>
      <c r="CE7" s="475">
        <v>34</v>
      </c>
      <c r="CF7" s="474">
        <f t="shared" ref="CF7" si="19">CE7*CB7</f>
        <v>0</v>
      </c>
      <c r="CG7" s="500"/>
      <c r="CH7" s="498">
        <v>25</v>
      </c>
      <c r="CI7" s="497">
        <f>BI66</f>
        <v>2</v>
      </c>
      <c r="CJ7" s="496">
        <f ca="1">I70</f>
        <v>0</v>
      </c>
      <c r="CK7" s="481"/>
      <c r="CL7" s="475">
        <v>1000</v>
      </c>
      <c r="CM7" s="495">
        <f t="shared" ref="CM7" si="20">CI7*CL7</f>
        <v>2000</v>
      </c>
    </row>
    <row r="8" spans="1:108" ht="15" customHeight="1" x14ac:dyDescent="0.3">
      <c r="A8" s="64"/>
      <c r="B8" s="148"/>
      <c r="C8" s="109"/>
      <c r="D8" s="63"/>
      <c r="E8" s="63"/>
      <c r="F8" s="127"/>
      <c r="G8" s="50"/>
      <c r="H8" s="10"/>
      <c r="I8" s="10"/>
      <c r="J8" s="10"/>
      <c r="K8" s="10"/>
      <c r="L8" s="10"/>
      <c r="M8" s="39"/>
      <c r="N8" s="33">
        <f t="shared" si="11"/>
        <v>0</v>
      </c>
      <c r="O8" s="52">
        <f t="shared" si="12"/>
        <v>0</v>
      </c>
      <c r="P8" s="52">
        <f t="shared" si="13"/>
        <v>0</v>
      </c>
      <c r="Q8" s="53" t="b">
        <f t="shared" si="2"/>
        <v>0</v>
      </c>
      <c r="R8" s="152" t="s">
        <v>175</v>
      </c>
      <c r="S8" s="278">
        <f t="shared" si="14"/>
        <v>0</v>
      </c>
      <c r="T8" s="231"/>
      <c r="U8" s="159" t="e">
        <f t="shared" si="3"/>
        <v>#N/A</v>
      </c>
      <c r="V8" s="41"/>
      <c r="W8" s="70" t="e">
        <f t="shared" si="4"/>
        <v>#N/A</v>
      </c>
      <c r="X8" s="70"/>
      <c r="Y8" s="159"/>
      <c r="Z8" s="159"/>
      <c r="AA8" s="160"/>
      <c r="AB8" s="158" t="e">
        <f t="shared" si="5"/>
        <v>#N/A</v>
      </c>
      <c r="AC8" s="94" t="e">
        <f t="shared" si="15"/>
        <v>#N/A</v>
      </c>
      <c r="AD8" s="95" t="e">
        <f t="shared" si="7"/>
        <v>#N/A</v>
      </c>
      <c r="AE8" s="95" t="e">
        <f t="shared" si="8"/>
        <v>#N/A</v>
      </c>
      <c r="AF8" s="95" t="e">
        <f t="shared" si="9"/>
        <v>#N/A</v>
      </c>
      <c r="AG8" s="96" t="e">
        <f t="shared" si="16"/>
        <v>#N/A</v>
      </c>
      <c r="AH8" s="435" t="s">
        <v>130</v>
      </c>
      <c r="AI8" s="91" t="s">
        <v>157</v>
      </c>
      <c r="AJ8" s="36">
        <f>SUMIFS($H$6:$H$69,$C$6:$C$69,AH8,$F$6:$F$69,AI8)</f>
        <v>0</v>
      </c>
      <c r="AK8" s="36">
        <f>SUMIFS($I$6:$I$69,$C$6:$C$69,AH8,$F$6:$F$69,AI8)</f>
        <v>0</v>
      </c>
      <c r="AL8" s="36">
        <f>SUMIFS($J$6:$J$69,$C$6:$C$69,AH8,$F$6:$F$69,AI8)</f>
        <v>0</v>
      </c>
      <c r="AM8" s="36">
        <f>SUMIFS($K$6:$K$69,$C$6:$C$69,AH8,$F$6:$F$69,AI8)</f>
        <v>0</v>
      </c>
      <c r="AN8" s="36">
        <f>SUMIFS($L$6:$L$69,$C$6:$C$69,AH8,$F$6:$F$69,AI8)</f>
        <v>0</v>
      </c>
      <c r="AO8" s="36">
        <f>SUMIFS($M$6:$M$69,$C$6:$C$69,AH8,$F$6:$F$69,AI8)</f>
        <v>0</v>
      </c>
      <c r="AP8" s="91" t="s">
        <v>157</v>
      </c>
      <c r="AQ8" s="83"/>
      <c r="AR8" s="63"/>
      <c r="AS8" s="63"/>
      <c r="AT8" s="63"/>
      <c r="AU8" s="79"/>
      <c r="AV8" s="79"/>
      <c r="AW8" s="55">
        <f>SUMIFS($O$6:$O$69,$C$6:$C$69,AH8,$F$6:$F$69,AI8)</f>
        <v>0</v>
      </c>
      <c r="AX8" s="275"/>
      <c r="AY8" s="80">
        <f>SUMIFS($Q$6:$Q$69,$C$6:$C$69,AH8,$F$6:$F$69,AI8)</f>
        <v>0</v>
      </c>
      <c r="AZ8" s="12"/>
      <c r="BA8" s="12"/>
      <c r="BB8" s="12"/>
      <c r="BC8" s="201"/>
      <c r="BD8" s="222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71">
        <f t="shared" si="17"/>
        <v>0</v>
      </c>
      <c r="BU8" s="71">
        <f t="shared" si="10"/>
        <v>0</v>
      </c>
      <c r="BV8" s="72"/>
      <c r="BW8" s="59"/>
      <c r="BX8" s="12"/>
      <c r="BY8" s="476"/>
      <c r="BZ8" s="468"/>
      <c r="CA8" s="468"/>
      <c r="CB8" s="468"/>
      <c r="CC8" s="468"/>
      <c r="CD8" s="468"/>
      <c r="CE8" s="475"/>
      <c r="CF8" s="474"/>
      <c r="CG8" s="500"/>
      <c r="CH8" s="498"/>
      <c r="CI8" s="497"/>
      <c r="CJ8" s="497"/>
      <c r="CK8" s="481"/>
      <c r="CL8" s="475"/>
      <c r="CM8" s="495"/>
    </row>
    <row r="9" spans="1:108" ht="15" customHeight="1" x14ac:dyDescent="0.3">
      <c r="A9" s="64"/>
      <c r="B9" s="148"/>
      <c r="C9" s="109"/>
      <c r="D9" s="63"/>
      <c r="E9" s="63"/>
      <c r="F9" s="127"/>
      <c r="G9" s="50"/>
      <c r="H9" s="10"/>
      <c r="I9" s="10"/>
      <c r="J9" s="10"/>
      <c r="K9" s="10"/>
      <c r="L9" s="10"/>
      <c r="M9" s="39"/>
      <c r="N9" s="33">
        <f t="shared" si="11"/>
        <v>0</v>
      </c>
      <c r="O9" s="52">
        <f t="shared" si="12"/>
        <v>0</v>
      </c>
      <c r="P9" s="52">
        <f t="shared" si="13"/>
        <v>0</v>
      </c>
      <c r="Q9" s="53" t="b">
        <f t="shared" si="2"/>
        <v>0</v>
      </c>
      <c r="R9" s="152" t="s">
        <v>175</v>
      </c>
      <c r="S9" s="278">
        <f t="shared" si="14"/>
        <v>0</v>
      </c>
      <c r="T9" s="231"/>
      <c r="U9" s="159" t="e">
        <f t="shared" si="3"/>
        <v>#N/A</v>
      </c>
      <c r="V9" s="41"/>
      <c r="W9" s="70" t="e">
        <f t="shared" si="4"/>
        <v>#N/A</v>
      </c>
      <c r="X9" s="70"/>
      <c r="Y9" s="159"/>
      <c r="Z9" s="159"/>
      <c r="AA9" s="160"/>
      <c r="AB9" s="158" t="e">
        <f t="shared" si="5"/>
        <v>#N/A</v>
      </c>
      <c r="AC9" s="94" t="e">
        <f t="shared" si="15"/>
        <v>#N/A</v>
      </c>
      <c r="AD9" s="95" t="e">
        <f t="shared" si="7"/>
        <v>#N/A</v>
      </c>
      <c r="AE9" s="95" t="e">
        <f t="shared" si="8"/>
        <v>#N/A</v>
      </c>
      <c r="AF9" s="95" t="e">
        <f t="shared" si="9"/>
        <v>#N/A</v>
      </c>
      <c r="AG9" s="96" t="e">
        <f t="shared" si="16"/>
        <v>#N/A</v>
      </c>
      <c r="AH9" s="435"/>
      <c r="AI9" s="1" t="s">
        <v>155</v>
      </c>
      <c r="AJ9" s="36">
        <f>SUMIFS($H$6:$H$69,$C$6:$C$69,AH8,$F$6:$F$69,AI9)</f>
        <v>0</v>
      </c>
      <c r="AK9" s="36">
        <f>SUMIFS($I$6:$I$69,$C$6:$C$69,AH8,$F$6:$F$69,AI9)</f>
        <v>0</v>
      </c>
      <c r="AL9" s="36">
        <f>SUMIFS($J$6:$J$69,$C$6:$C$69,AH8,$F$6:$F$69,AI9)</f>
        <v>0</v>
      </c>
      <c r="AM9" s="36">
        <f>SUMIFS($K$6:$K$69,$C$6:$C$69,AH8,$F$6:$F$69,AI9)</f>
        <v>0</v>
      </c>
      <c r="AN9" s="36">
        <f>SUMIFS($L$6:$L$69,$C$6:$C$69,AH8,$F$6:$F$69,AI9)</f>
        <v>0</v>
      </c>
      <c r="AO9" s="36">
        <f>SUMIFS($M$6:$M$69,$C$6:$C$69,AH8,$F$6:$F$69,AI9)</f>
        <v>0</v>
      </c>
      <c r="AP9" s="1" t="s">
        <v>155</v>
      </c>
      <c r="AQ9" s="83"/>
      <c r="AR9" s="63"/>
      <c r="AS9" s="63"/>
      <c r="AT9" s="63"/>
      <c r="AU9" s="79"/>
      <c r="AV9" s="79"/>
      <c r="AW9" s="55">
        <f>SUMIFS($O$6:$O$69,$C$6:$C$69,AH9,$F$6:$F$69,AI9)</f>
        <v>0</v>
      </c>
      <c r="AX9" s="275"/>
      <c r="AY9" s="80">
        <f>SUMIFS($Q$6:$Q$69,$C$6:$C$69,AH9,$F$6:$F$69,AI9)</f>
        <v>0</v>
      </c>
      <c r="AZ9" s="12"/>
      <c r="BA9" s="12"/>
      <c r="BB9" s="12"/>
      <c r="BC9" s="201"/>
      <c r="BD9" s="222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71">
        <f t="shared" si="17"/>
        <v>0</v>
      </c>
      <c r="BU9" s="71">
        <f t="shared" si="10"/>
        <v>0</v>
      </c>
      <c r="BV9" s="72"/>
      <c r="BW9" s="59"/>
      <c r="BX9" s="12"/>
      <c r="BY9" s="476" t="s">
        <v>14</v>
      </c>
      <c r="BZ9" s="468"/>
      <c r="CA9" s="468"/>
      <c r="CB9" s="468"/>
      <c r="CC9" s="468">
        <f>CI9+CI19+CI25</f>
        <v>1</v>
      </c>
      <c r="CD9" s="468">
        <f t="shared" ref="CD9" si="21">CB9-CC9</f>
        <v>-1</v>
      </c>
      <c r="CE9" s="475">
        <v>39</v>
      </c>
      <c r="CF9" s="474">
        <f t="shared" ref="CF9" si="22">CE9*CB9</f>
        <v>0</v>
      </c>
      <c r="CG9" s="500"/>
      <c r="CH9" s="498">
        <v>50</v>
      </c>
      <c r="CI9" s="497">
        <f>BJ67</f>
        <v>1</v>
      </c>
      <c r="CJ9" s="496">
        <f ca="1">J70</f>
        <v>0</v>
      </c>
      <c r="CK9" s="481"/>
      <c r="CL9" s="475"/>
      <c r="CM9" s="495">
        <f t="shared" ref="CM9" si="23">CI9*CL9</f>
        <v>0</v>
      </c>
    </row>
    <row r="10" spans="1:108" ht="15" customHeight="1" x14ac:dyDescent="0.3">
      <c r="A10" s="64"/>
      <c r="B10" s="148"/>
      <c r="C10" s="109"/>
      <c r="D10" s="63"/>
      <c r="E10" s="63"/>
      <c r="F10" s="127"/>
      <c r="G10" s="50"/>
      <c r="H10" s="10"/>
      <c r="I10" s="10"/>
      <c r="J10" s="10"/>
      <c r="K10" s="10"/>
      <c r="L10" s="10"/>
      <c r="M10" s="39"/>
      <c r="N10" s="33">
        <f t="shared" si="11"/>
        <v>0</v>
      </c>
      <c r="O10" s="52">
        <f t="shared" si="12"/>
        <v>0</v>
      </c>
      <c r="P10" s="52">
        <f t="shared" si="13"/>
        <v>0</v>
      </c>
      <c r="Q10" s="53" t="b">
        <f t="shared" si="2"/>
        <v>0</v>
      </c>
      <c r="R10" s="152" t="s">
        <v>175</v>
      </c>
      <c r="S10" s="278">
        <f t="shared" si="14"/>
        <v>0</v>
      </c>
      <c r="T10" s="231"/>
      <c r="U10" s="159" t="e">
        <f t="shared" si="3"/>
        <v>#N/A</v>
      </c>
      <c r="V10" s="41"/>
      <c r="W10" s="70" t="e">
        <f t="shared" si="4"/>
        <v>#N/A</v>
      </c>
      <c r="X10" s="70"/>
      <c r="Y10" s="159"/>
      <c r="Z10" s="159"/>
      <c r="AA10" s="160"/>
      <c r="AB10" s="158" t="e">
        <f t="shared" si="5"/>
        <v>#N/A</v>
      </c>
      <c r="AC10" s="94" t="e">
        <f t="shared" si="15"/>
        <v>#N/A</v>
      </c>
      <c r="AD10" s="95" t="e">
        <f t="shared" si="7"/>
        <v>#N/A</v>
      </c>
      <c r="AE10" s="95" t="e">
        <f t="shared" si="8"/>
        <v>#N/A</v>
      </c>
      <c r="AF10" s="95" t="e">
        <f t="shared" si="9"/>
        <v>#N/A</v>
      </c>
      <c r="AG10" s="96" t="e">
        <f t="shared" si="16"/>
        <v>#N/A</v>
      </c>
      <c r="AH10" s="435" t="s">
        <v>6</v>
      </c>
      <c r="AI10" s="91" t="s">
        <v>157</v>
      </c>
      <c r="AJ10" s="36">
        <f>SUMIFS($H$6:$H$69,$C$6:$C$69,AH10,$F$6:$F$69,AI10)</f>
        <v>0</v>
      </c>
      <c r="AK10" s="36">
        <f>SUMIFS($I$6:$I$69,$C$6:$C$69,AH10,$F$6:$F$69,AI10)</f>
        <v>0</v>
      </c>
      <c r="AL10" s="36">
        <f>SUMIFS($J$6:$J$69,$C$6:$C$69,AH10,$F$6:$F$69,AI10)</f>
        <v>0</v>
      </c>
      <c r="AM10" s="36">
        <f>SUMIFS($K$6:$K$69,$C$6:$C$69,AH10,$F$6:$F$69,AI10)</f>
        <v>0</v>
      </c>
      <c r="AN10" s="36">
        <f>SUMIFS($L$6:$L$69,$C$6:$C$69,AH10,$F$6:$F$69,AI10)</f>
        <v>0</v>
      </c>
      <c r="AO10" s="36">
        <f>SUMIFS($M$6:$M$69,$C$6:$C$69,AH10,$F$6:$F$69,AI10)</f>
        <v>0</v>
      </c>
      <c r="AP10" s="91" t="s">
        <v>157</v>
      </c>
      <c r="AQ10" s="83"/>
      <c r="AR10" s="63"/>
      <c r="AS10" s="63"/>
      <c r="AT10" s="63"/>
      <c r="AU10" s="79"/>
      <c r="AV10" s="79"/>
      <c r="AW10" s="55">
        <f>SUMIFS($O$6:$O$69,$C$6:$C$69,AH10,$F$6:$F$69,AI10)</f>
        <v>0</v>
      </c>
      <c r="AX10" s="275"/>
      <c r="AY10" s="80">
        <f>SUMIFS($Q$6:$Q$69,$C$6:$C$69,AH10,$F$6:$F$69,AI10)</f>
        <v>0</v>
      </c>
      <c r="AZ10" s="12"/>
      <c r="BA10" s="12"/>
      <c r="BB10" s="12"/>
      <c r="BC10" s="201"/>
      <c r="BD10" s="222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71">
        <f t="shared" si="17"/>
        <v>0</v>
      </c>
      <c r="BU10" s="71">
        <f t="shared" si="10"/>
        <v>0</v>
      </c>
      <c r="BV10" s="72"/>
      <c r="BW10" s="59"/>
      <c r="BX10" s="12"/>
      <c r="BY10" s="476"/>
      <c r="BZ10" s="468"/>
      <c r="CA10" s="468"/>
      <c r="CB10" s="468"/>
      <c r="CC10" s="468"/>
      <c r="CD10" s="468"/>
      <c r="CE10" s="475"/>
      <c r="CF10" s="474"/>
      <c r="CG10" s="500"/>
      <c r="CH10" s="498"/>
      <c r="CI10" s="497"/>
      <c r="CJ10" s="497"/>
      <c r="CK10" s="481"/>
      <c r="CL10" s="475"/>
      <c r="CM10" s="495"/>
    </row>
    <row r="11" spans="1:108" ht="15" customHeight="1" x14ac:dyDescent="0.3">
      <c r="A11" s="64"/>
      <c r="B11" s="148"/>
      <c r="C11" s="109"/>
      <c r="D11" s="63"/>
      <c r="E11" s="63"/>
      <c r="F11" s="127"/>
      <c r="G11" s="50"/>
      <c r="H11" s="10"/>
      <c r="I11" s="10"/>
      <c r="J11" s="10"/>
      <c r="K11" s="10"/>
      <c r="L11" s="10"/>
      <c r="M11" s="39"/>
      <c r="N11" s="33">
        <f t="shared" si="11"/>
        <v>0</v>
      </c>
      <c r="O11" s="52">
        <f t="shared" si="12"/>
        <v>0</v>
      </c>
      <c r="P11" s="52">
        <f t="shared" si="13"/>
        <v>0</v>
      </c>
      <c r="Q11" s="53" t="b">
        <f t="shared" si="2"/>
        <v>0</v>
      </c>
      <c r="R11" s="152" t="s">
        <v>175</v>
      </c>
      <c r="S11" s="278">
        <f t="shared" si="14"/>
        <v>0</v>
      </c>
      <c r="T11" s="231"/>
      <c r="U11" s="159" t="e">
        <f t="shared" si="3"/>
        <v>#N/A</v>
      </c>
      <c r="V11" s="41"/>
      <c r="W11" s="70" t="e">
        <f t="shared" si="4"/>
        <v>#N/A</v>
      </c>
      <c r="X11" s="70"/>
      <c r="Y11" s="159"/>
      <c r="Z11" s="159"/>
      <c r="AA11" s="160"/>
      <c r="AB11" s="158" t="e">
        <f t="shared" si="5"/>
        <v>#N/A</v>
      </c>
      <c r="AC11" s="94" t="e">
        <f t="shared" si="15"/>
        <v>#N/A</v>
      </c>
      <c r="AD11" s="95" t="e">
        <f t="shared" si="7"/>
        <v>#N/A</v>
      </c>
      <c r="AE11" s="95" t="e">
        <f t="shared" si="8"/>
        <v>#N/A</v>
      </c>
      <c r="AF11" s="95" t="e">
        <f t="shared" si="9"/>
        <v>#N/A</v>
      </c>
      <c r="AG11" s="96" t="e">
        <f t="shared" si="16"/>
        <v>#N/A</v>
      </c>
      <c r="AH11" s="435"/>
      <c r="AI11" s="1" t="s">
        <v>155</v>
      </c>
      <c r="AJ11" s="36">
        <f>SUMIFS($H$6:$H$69,$C$6:$C$69,AH10,$F$6:$F$69,AI11)</f>
        <v>0</v>
      </c>
      <c r="AK11" s="36">
        <f>SUMIFS($I$6:$I$69,$C$6:$C$69,AH10,$F$6:$F$69,AI11)</f>
        <v>0</v>
      </c>
      <c r="AL11" s="36">
        <f>SUMIFS($J$6:$J$69,$C$6:$C$69,AH10,$F$6:$F$69,AI11)</f>
        <v>0</v>
      </c>
      <c r="AM11" s="36">
        <f>SUMIFS($K$6:$K$69,$C$6:$C$69,AH10,$F$6:$F$69,AI11)</f>
        <v>0</v>
      </c>
      <c r="AN11" s="36">
        <f>SUMIFS($L$6:$L$69,$C$6:$C$69,AH10,$F$6:$F$69,AI11)</f>
        <v>0</v>
      </c>
      <c r="AO11" s="36">
        <f>SUMIFS($M$6:$M$69,$C$6:$C$69,AH10,$F$6:$F$69,AI11)</f>
        <v>0</v>
      </c>
      <c r="AP11" s="1" t="s">
        <v>155</v>
      </c>
      <c r="AQ11" s="83"/>
      <c r="AR11" s="63"/>
      <c r="AS11" s="63"/>
      <c r="AT11" s="63"/>
      <c r="AU11" s="79"/>
      <c r="AV11" s="79"/>
      <c r="AW11" s="55">
        <f>SUMIFS($O$6:$O$69,$C$6:$C$69,AH11,$F$6:$F$69,AI11)</f>
        <v>0</v>
      </c>
      <c r="AX11" s="275"/>
      <c r="AY11" s="80">
        <f>SUMIFS($Q$6:$Q$69,$C$6:$C$69,AH11,$F$6:$F$69,AI11)</f>
        <v>0</v>
      </c>
      <c r="AZ11" s="12"/>
      <c r="BA11" s="12"/>
      <c r="BB11" s="12"/>
      <c r="BC11" s="201"/>
      <c r="BD11" s="222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71">
        <f t="shared" si="17"/>
        <v>0</v>
      </c>
      <c r="BU11" s="71">
        <f t="shared" si="10"/>
        <v>0</v>
      </c>
      <c r="BV11" s="72"/>
      <c r="BW11" s="59"/>
      <c r="BX11" s="12"/>
      <c r="BY11" s="476" t="s">
        <v>121</v>
      </c>
      <c r="BZ11" s="468"/>
      <c r="CA11" s="468"/>
      <c r="CB11" s="468"/>
      <c r="CC11" s="468">
        <f>CI11</f>
        <v>1</v>
      </c>
      <c r="CD11" s="468">
        <f t="shared" ref="CD11" si="24">CB11-CC11</f>
        <v>-1</v>
      </c>
      <c r="CE11" s="477"/>
      <c r="CF11" s="474">
        <f t="shared" ref="CF11" si="25">CE11*CB11</f>
        <v>0</v>
      </c>
      <c r="CG11" s="500"/>
      <c r="CH11" s="498">
        <v>75</v>
      </c>
      <c r="CI11" s="497">
        <f>BK68</f>
        <v>1</v>
      </c>
      <c r="CJ11" s="496">
        <f ca="1">K70</f>
        <v>0</v>
      </c>
      <c r="CK11" s="481"/>
      <c r="CL11" s="475"/>
      <c r="CM11" s="495">
        <f t="shared" ref="CM11" si="26">CI11*CL11</f>
        <v>0</v>
      </c>
    </row>
    <row r="12" spans="1:108" ht="15" customHeight="1" x14ac:dyDescent="0.3">
      <c r="A12" s="64"/>
      <c r="B12" s="148"/>
      <c r="C12" s="109"/>
      <c r="D12" s="63"/>
      <c r="E12" s="63"/>
      <c r="F12" s="127"/>
      <c r="G12" s="50"/>
      <c r="H12" s="10"/>
      <c r="I12" s="10"/>
      <c r="J12" s="10"/>
      <c r="K12" s="10"/>
      <c r="L12" s="10"/>
      <c r="M12" s="39"/>
      <c r="N12" s="33">
        <f t="shared" si="11"/>
        <v>0</v>
      </c>
      <c r="O12" s="52">
        <f t="shared" si="12"/>
        <v>0</v>
      </c>
      <c r="P12" s="52">
        <f t="shared" si="13"/>
        <v>0</v>
      </c>
      <c r="Q12" s="53" t="b">
        <f t="shared" si="2"/>
        <v>0</v>
      </c>
      <c r="R12" s="152" t="s">
        <v>175</v>
      </c>
      <c r="S12" s="278">
        <f t="shared" si="14"/>
        <v>0</v>
      </c>
      <c r="T12" s="231"/>
      <c r="U12" s="159" t="e">
        <f t="shared" si="3"/>
        <v>#N/A</v>
      </c>
      <c r="V12" s="41"/>
      <c r="W12" s="70" t="e">
        <f t="shared" si="4"/>
        <v>#N/A</v>
      </c>
      <c r="X12" s="70"/>
      <c r="Y12" s="159"/>
      <c r="Z12" s="159"/>
      <c r="AA12" s="160"/>
      <c r="AB12" s="158" t="e">
        <f t="shared" si="5"/>
        <v>#N/A</v>
      </c>
      <c r="AC12" s="94" t="e">
        <f t="shared" si="15"/>
        <v>#N/A</v>
      </c>
      <c r="AD12" s="95" t="e">
        <f t="shared" si="7"/>
        <v>#N/A</v>
      </c>
      <c r="AE12" s="95" t="e">
        <f t="shared" si="8"/>
        <v>#N/A</v>
      </c>
      <c r="AF12" s="95" t="e">
        <f t="shared" si="9"/>
        <v>#N/A</v>
      </c>
      <c r="AG12" s="96" t="e">
        <f t="shared" si="16"/>
        <v>#N/A</v>
      </c>
      <c r="AH12" s="435" t="s">
        <v>7</v>
      </c>
      <c r="AI12" s="91" t="s">
        <v>157</v>
      </c>
      <c r="AJ12" s="36">
        <f>SUMIFS($H$6:$H$69,$C$6:$C$69,AH12,$F$6:$F$69,AI12)</f>
        <v>0</v>
      </c>
      <c r="AK12" s="36">
        <f>SUMIFS($I$6:$I$69,$C$6:$C$69,AH12,$F$6:$F$69,AI12)</f>
        <v>0</v>
      </c>
      <c r="AL12" s="36">
        <f>SUMIFS($J$6:$J$69,$C$6:$C$69,AH12,$F$6:$F$69,AI12)</f>
        <v>0</v>
      </c>
      <c r="AM12" s="36">
        <f>SUMIFS($K$6:$K$69,$C$6:$C$69,AH12,$F$6:$F$69,AI12)</f>
        <v>0</v>
      </c>
      <c r="AN12" s="36">
        <f>SUMIFS($L$6:$L$69,$C$6:$C$69,AH12,$F$6:$F$69,AI12)</f>
        <v>0</v>
      </c>
      <c r="AO12" s="36">
        <f>SUMIFS($M$6:$M$69,$C$6:$C$69,AH12,$F$6:$F$69,AI12)</f>
        <v>0</v>
      </c>
      <c r="AP12" s="91" t="s">
        <v>157</v>
      </c>
      <c r="AQ12" s="83"/>
      <c r="AR12" s="63"/>
      <c r="AS12" s="63"/>
      <c r="AT12" s="63"/>
      <c r="AU12" s="79"/>
      <c r="AV12" s="79"/>
      <c r="AW12" s="55">
        <f>SUMIFS($O$6:$O$69,$C$6:$C$69,AH12,$F$6:$F$69,AI12)</f>
        <v>0</v>
      </c>
      <c r="AX12" s="275"/>
      <c r="AY12" s="80">
        <f>SUMIFS($Q$6:$Q$69,$C$6:$C$69,AH12,$F$6:$F$69,AI12)</f>
        <v>0</v>
      </c>
      <c r="AZ12" s="12"/>
      <c r="BA12" s="12"/>
      <c r="BB12" s="12"/>
      <c r="BC12" s="201"/>
      <c r="BD12" s="222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71">
        <f>(BH12*0.1)+(BI12*0.25)+(BJ12*0.5)+(BK12*0.75)+(BL12*1)+(BM12*5)</f>
        <v>0</v>
      </c>
      <c r="BU12" s="71">
        <f t="shared" si="10"/>
        <v>0</v>
      </c>
      <c r="BV12" s="72"/>
      <c r="BW12" s="59"/>
      <c r="BX12" s="12"/>
      <c r="BY12" s="476"/>
      <c r="BZ12" s="468"/>
      <c r="CA12" s="468"/>
      <c r="CB12" s="468"/>
      <c r="CC12" s="468"/>
      <c r="CD12" s="468"/>
      <c r="CE12" s="477"/>
      <c r="CF12" s="474"/>
      <c r="CG12" s="500"/>
      <c r="CH12" s="498"/>
      <c r="CI12" s="497"/>
      <c r="CJ12" s="497"/>
      <c r="CK12" s="481"/>
      <c r="CL12" s="475"/>
      <c r="CM12" s="495"/>
    </row>
    <row r="13" spans="1:108" ht="15" customHeight="1" x14ac:dyDescent="0.3">
      <c r="A13" s="64"/>
      <c r="B13" s="148"/>
      <c r="C13" s="109"/>
      <c r="D13" s="63"/>
      <c r="E13" s="63"/>
      <c r="F13" s="127"/>
      <c r="G13" s="50"/>
      <c r="H13" s="10"/>
      <c r="I13" s="10"/>
      <c r="J13" s="10"/>
      <c r="K13" s="10"/>
      <c r="L13" s="10"/>
      <c r="M13" s="39"/>
      <c r="N13" s="33">
        <f t="shared" si="11"/>
        <v>0</v>
      </c>
      <c r="O13" s="52">
        <f t="shared" si="12"/>
        <v>0</v>
      </c>
      <c r="P13" s="52">
        <f t="shared" si="13"/>
        <v>0</v>
      </c>
      <c r="Q13" s="53" t="b">
        <f t="shared" si="2"/>
        <v>0</v>
      </c>
      <c r="R13" s="152" t="s">
        <v>175</v>
      </c>
      <c r="S13" s="278">
        <f t="shared" si="14"/>
        <v>0</v>
      </c>
      <c r="T13" s="231"/>
      <c r="U13" s="159" t="e">
        <f t="shared" si="3"/>
        <v>#N/A</v>
      </c>
      <c r="V13" s="41"/>
      <c r="W13" s="70" t="e">
        <f t="shared" si="4"/>
        <v>#N/A</v>
      </c>
      <c r="X13" s="70"/>
      <c r="Y13" s="159"/>
      <c r="Z13" s="159"/>
      <c r="AA13" s="160"/>
      <c r="AB13" s="158" t="e">
        <f t="shared" si="5"/>
        <v>#N/A</v>
      </c>
      <c r="AC13" s="94" t="e">
        <f t="shared" si="15"/>
        <v>#N/A</v>
      </c>
      <c r="AD13" s="95" t="e">
        <f t="shared" si="7"/>
        <v>#N/A</v>
      </c>
      <c r="AE13" s="95" t="e">
        <f t="shared" si="8"/>
        <v>#N/A</v>
      </c>
      <c r="AF13" s="95" t="e">
        <f t="shared" si="9"/>
        <v>#N/A</v>
      </c>
      <c r="AG13" s="96" t="e">
        <f t="shared" si="16"/>
        <v>#N/A</v>
      </c>
      <c r="AH13" s="435"/>
      <c r="AI13" s="1" t="s">
        <v>155</v>
      </c>
      <c r="AJ13" s="36">
        <f>SUMIFS($H$6:$H$69,$C$6:$C$69,AH12,$F$6:$F$69,AI13)</f>
        <v>0</v>
      </c>
      <c r="AK13" s="36">
        <f>SUMIFS($I$6:$I$69,$C$6:$C$69,AH12,$F$6:$F$69,AI13)</f>
        <v>0</v>
      </c>
      <c r="AL13" s="36">
        <f>SUMIFS($J$6:$J$69,$C$6:$C$69,AH12,$F$6:$F$69,AI13)</f>
        <v>0</v>
      </c>
      <c r="AM13" s="36">
        <f>SUMIFS($K$6:$K$69,$C$6:$C$69,AH12,$F$6:$F$69,AI13)</f>
        <v>0</v>
      </c>
      <c r="AN13" s="36">
        <f>SUMIFS($L$6:$L$69,$C$6:$C$69,AH12,$F$6:$F$69,AI13)</f>
        <v>0</v>
      </c>
      <c r="AO13" s="36">
        <f>SUMIFS($M$6:$M$69,$C$6:$C$69,AH12,$F$6:$F$69,AI13)</f>
        <v>0</v>
      </c>
      <c r="AP13" s="1" t="s">
        <v>155</v>
      </c>
      <c r="AQ13" s="83"/>
      <c r="AR13" s="63"/>
      <c r="AS13" s="63"/>
      <c r="AT13" s="63"/>
      <c r="AU13" s="79"/>
      <c r="AV13" s="79"/>
      <c r="AW13" s="55">
        <f>SUMIFS($O$6:$O$69,$C$6:$C$69,AH13,$F$6:$F$69,AI13)</f>
        <v>0</v>
      </c>
      <c r="AX13" s="275"/>
      <c r="AY13" s="80">
        <f>SUMIFS($Q$6:$Q$69,$C$6:$C$69,AH13,$F$6:$F$69,AI13)</f>
        <v>0</v>
      </c>
      <c r="AZ13" s="12"/>
      <c r="BA13" s="12"/>
      <c r="BB13" s="12"/>
      <c r="BC13" s="201"/>
      <c r="BD13" s="222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71">
        <f t="shared" si="17"/>
        <v>0</v>
      </c>
      <c r="BU13" s="71">
        <f t="shared" si="10"/>
        <v>0</v>
      </c>
      <c r="BV13" s="72"/>
      <c r="BW13" s="59"/>
      <c r="BX13" s="12"/>
      <c r="BY13" s="431" t="s">
        <v>176</v>
      </c>
      <c r="BZ13" s="468"/>
      <c r="CA13" s="468"/>
      <c r="CB13" s="468"/>
      <c r="CC13" s="468">
        <f>CI13+CI21+CI27</f>
        <v>8</v>
      </c>
      <c r="CD13" s="468">
        <f t="shared" ref="CD13" si="27">CB13-CC13</f>
        <v>-8</v>
      </c>
      <c r="CE13" s="477"/>
      <c r="CF13" s="474">
        <f t="shared" ref="CF13" si="28">CE13*CB13</f>
        <v>0</v>
      </c>
      <c r="CG13" s="500"/>
      <c r="CH13" s="498">
        <v>1</v>
      </c>
      <c r="CI13" s="497">
        <f>BL69</f>
        <v>2</v>
      </c>
      <c r="CJ13" s="496">
        <f ca="1">L70</f>
        <v>0</v>
      </c>
      <c r="CK13" s="481"/>
      <c r="CL13" s="477"/>
      <c r="CM13" s="495">
        <f t="shared" ref="CM13" si="29">CI13*CL13</f>
        <v>0</v>
      </c>
    </row>
    <row r="14" spans="1:108" ht="15" customHeight="1" x14ac:dyDescent="0.3">
      <c r="A14" s="64"/>
      <c r="B14" s="148"/>
      <c r="C14" s="109"/>
      <c r="D14" s="63"/>
      <c r="E14" s="63"/>
      <c r="F14" s="127"/>
      <c r="G14" s="50"/>
      <c r="H14" s="10"/>
      <c r="I14" s="10"/>
      <c r="J14" s="10"/>
      <c r="K14" s="10"/>
      <c r="L14" s="10"/>
      <c r="M14" s="39"/>
      <c r="N14" s="33">
        <f t="shared" si="11"/>
        <v>0</v>
      </c>
      <c r="O14" s="52">
        <f t="shared" si="12"/>
        <v>0</v>
      </c>
      <c r="P14" s="52">
        <f t="shared" si="13"/>
        <v>0</v>
      </c>
      <c r="Q14" s="53" t="b">
        <f t="shared" si="2"/>
        <v>0</v>
      </c>
      <c r="R14" s="152" t="s">
        <v>175</v>
      </c>
      <c r="S14" s="278">
        <f t="shared" si="14"/>
        <v>0</v>
      </c>
      <c r="T14" s="231"/>
      <c r="U14" s="159" t="e">
        <f t="shared" si="3"/>
        <v>#N/A</v>
      </c>
      <c r="V14" s="41"/>
      <c r="W14" s="70" t="e">
        <f t="shared" si="4"/>
        <v>#N/A</v>
      </c>
      <c r="X14" s="70"/>
      <c r="Y14" s="159"/>
      <c r="Z14" s="159"/>
      <c r="AA14" s="160"/>
      <c r="AB14" s="158" t="e">
        <f t="shared" si="5"/>
        <v>#N/A</v>
      </c>
      <c r="AC14" s="94" t="e">
        <f t="shared" si="15"/>
        <v>#N/A</v>
      </c>
      <c r="AD14" s="95" t="e">
        <f t="shared" si="7"/>
        <v>#N/A</v>
      </c>
      <c r="AE14" s="95" t="e">
        <f t="shared" si="8"/>
        <v>#N/A</v>
      </c>
      <c r="AF14" s="95" t="e">
        <f t="shared" si="9"/>
        <v>#N/A</v>
      </c>
      <c r="AG14" s="96" t="e">
        <f t="shared" si="16"/>
        <v>#N/A</v>
      </c>
      <c r="AH14" s="435" t="s">
        <v>8</v>
      </c>
      <c r="AI14" s="91" t="s">
        <v>157</v>
      </c>
      <c r="AJ14" s="36">
        <f>SUMIFS($H$6:$H$69,$C$6:$C$69,AH14,$F$6:$F$69,AI14)</f>
        <v>0</v>
      </c>
      <c r="AK14" s="36">
        <f>SUMIFS($I$6:$I$69,$C$6:$C$69,AH14,$F$6:$F$69,AI14)</f>
        <v>0</v>
      </c>
      <c r="AL14" s="36">
        <f>SUMIFS($J$6:$J$69,$C$6:$C$69,AH14,$F$6:$F$69,AI14)</f>
        <v>0</v>
      </c>
      <c r="AM14" s="36">
        <f>SUMIFS($K$6:$K$69,$C$6:$C$69,AH14,$F$6:$F$69,AI14)</f>
        <v>0</v>
      </c>
      <c r="AN14" s="36">
        <f>SUMIFS($L$6:$L$69,$C$6:$C$69,AH14,$F$6:$F$69,AI14)</f>
        <v>0</v>
      </c>
      <c r="AO14" s="36">
        <f>SUMIFS($M$6:$M$69,$C$6:$C$69,AH14,$F$6:$F$69,AI14)</f>
        <v>0</v>
      </c>
      <c r="AP14" s="91" t="s">
        <v>157</v>
      </c>
      <c r="AQ14" s="83"/>
      <c r="AR14" s="63"/>
      <c r="AS14" s="63"/>
      <c r="AT14" s="63"/>
      <c r="AU14" s="79"/>
      <c r="AV14" s="79"/>
      <c r="AW14" s="55">
        <f>SUMIFS($O$6:$O$69,$C$6:$C$69,AH14,$F$6:$F$69,AI14)</f>
        <v>0</v>
      </c>
      <c r="AX14" s="275"/>
      <c r="AY14" s="80">
        <f>SUMIFS($Q$6:$Q$69,$C$6:$C$69,AH14,$F$6:$F$69,AI14)</f>
        <v>0</v>
      </c>
      <c r="AZ14" s="12"/>
      <c r="BA14" s="12"/>
      <c r="BB14" s="12"/>
      <c r="BC14" s="201"/>
      <c r="BD14" s="222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71">
        <f t="shared" si="17"/>
        <v>0</v>
      </c>
      <c r="BU14" s="71">
        <f t="shared" si="10"/>
        <v>0</v>
      </c>
      <c r="BV14" s="72"/>
      <c r="BW14" s="59"/>
      <c r="BX14" s="12"/>
      <c r="BY14" s="431"/>
      <c r="BZ14" s="468"/>
      <c r="CA14" s="468"/>
      <c r="CB14" s="468"/>
      <c r="CC14" s="468"/>
      <c r="CD14" s="468"/>
      <c r="CE14" s="477"/>
      <c r="CF14" s="474"/>
      <c r="CG14" s="500"/>
      <c r="CH14" s="498"/>
      <c r="CI14" s="497"/>
      <c r="CJ14" s="497"/>
      <c r="CK14" s="481"/>
      <c r="CL14" s="477"/>
      <c r="CM14" s="495"/>
    </row>
    <row r="15" spans="1:108" ht="15" customHeight="1" x14ac:dyDescent="0.3">
      <c r="A15" s="64"/>
      <c r="B15" s="148"/>
      <c r="C15" s="109"/>
      <c r="D15" s="63"/>
      <c r="E15" s="63"/>
      <c r="F15" s="127"/>
      <c r="G15" s="50"/>
      <c r="H15" s="10"/>
      <c r="I15" s="10"/>
      <c r="J15" s="10"/>
      <c r="K15" s="10"/>
      <c r="L15" s="10"/>
      <c r="M15" s="39"/>
      <c r="N15" s="33">
        <f t="shared" si="11"/>
        <v>0</v>
      </c>
      <c r="O15" s="52">
        <f t="shared" si="12"/>
        <v>0</v>
      </c>
      <c r="P15" s="52">
        <f t="shared" si="13"/>
        <v>0</v>
      </c>
      <c r="Q15" s="53" t="b">
        <f t="shared" si="2"/>
        <v>0</v>
      </c>
      <c r="R15" s="152" t="s">
        <v>175</v>
      </c>
      <c r="S15" s="278">
        <f t="shared" si="14"/>
        <v>0</v>
      </c>
      <c r="T15" s="231"/>
      <c r="U15" s="159" t="e">
        <f t="shared" si="3"/>
        <v>#N/A</v>
      </c>
      <c r="V15" s="41"/>
      <c r="W15" s="70" t="e">
        <f t="shared" si="4"/>
        <v>#N/A</v>
      </c>
      <c r="X15" s="70"/>
      <c r="Y15" s="159"/>
      <c r="Z15" s="159"/>
      <c r="AA15" s="160"/>
      <c r="AB15" s="158" t="e">
        <f t="shared" si="5"/>
        <v>#N/A</v>
      </c>
      <c r="AC15" s="94" t="e">
        <f t="shared" si="15"/>
        <v>#N/A</v>
      </c>
      <c r="AD15" s="95" t="e">
        <f t="shared" si="7"/>
        <v>#N/A</v>
      </c>
      <c r="AE15" s="95" t="e">
        <f t="shared" si="8"/>
        <v>#N/A</v>
      </c>
      <c r="AF15" s="95" t="e">
        <f t="shared" si="9"/>
        <v>#N/A</v>
      </c>
      <c r="AG15" s="96" t="e">
        <f t="shared" si="16"/>
        <v>#N/A</v>
      </c>
      <c r="AH15" s="435"/>
      <c r="AI15" s="1" t="s">
        <v>155</v>
      </c>
      <c r="AJ15" s="36">
        <f>SUMIFS($H$6:$H$69,$C$6:$C$69,AH14,$F$6:$F$69,AI15)</f>
        <v>0</v>
      </c>
      <c r="AK15" s="36">
        <f>SUMIFS($I$6:$I$69,$C$6:$C$69,AH14,$F$6:$F$69,AI15)</f>
        <v>0</v>
      </c>
      <c r="AL15" s="36">
        <f>SUMIFS($J$6:$J$69,$C$6:$C$69,AH14,$F$6:$F$69,AI15)</f>
        <v>0</v>
      </c>
      <c r="AM15" s="36">
        <f>SUMIFS($K$6:$K$69,$C$6:$C$69,AH14,$F$6:$F$69,AI15)</f>
        <v>0</v>
      </c>
      <c r="AN15" s="36">
        <f>SUMIFS($L$6:$L$69,$C$6:$C$69,AH14,$F$6:$F$69,AI15)</f>
        <v>0</v>
      </c>
      <c r="AO15" s="36">
        <f>SUMIFS($M$6:$M$69,$C$6:$C$69,AH14,$F$6:$F$69,AI15)</f>
        <v>0</v>
      </c>
      <c r="AP15" s="1" t="s">
        <v>155</v>
      </c>
      <c r="AQ15" s="83"/>
      <c r="AR15" s="63"/>
      <c r="AS15" s="63"/>
      <c r="AT15" s="63"/>
      <c r="AU15" s="79"/>
      <c r="AV15" s="79"/>
      <c r="AW15" s="55">
        <f>SUMIFS($O$6:$O$69,$C$6:$C$69,AH15,$F$6:$F$69,AI15)</f>
        <v>0</v>
      </c>
      <c r="AX15" s="275"/>
      <c r="AY15" s="80">
        <f>SUMIFS($Q$6:$Q$69,$C$6:$C$69,AH15,$F$6:$F$69,AI15)</f>
        <v>0</v>
      </c>
      <c r="AZ15" s="12"/>
      <c r="BA15" s="12"/>
      <c r="BB15" s="12"/>
      <c r="BC15" s="201"/>
      <c r="BD15" s="222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71">
        <f t="shared" si="17"/>
        <v>0</v>
      </c>
      <c r="BU15" s="71">
        <f t="shared" si="10"/>
        <v>0</v>
      </c>
      <c r="BV15" s="72"/>
      <c r="BW15" s="59"/>
      <c r="BX15" s="12"/>
      <c r="BY15" s="476" t="s">
        <v>122</v>
      </c>
      <c r="BZ15" s="468"/>
      <c r="CA15" s="468"/>
      <c r="CB15" s="468"/>
      <c r="CC15" s="468">
        <f>CI15</f>
        <v>0</v>
      </c>
      <c r="CD15" s="468">
        <f t="shared" ref="CD15" si="30">CB15-CC15</f>
        <v>0</v>
      </c>
      <c r="CE15" s="477"/>
      <c r="CF15" s="474">
        <f t="shared" ref="CF15" si="31">CE15*CB15</f>
        <v>0</v>
      </c>
      <c r="CG15" s="500"/>
      <c r="CH15" s="378">
        <v>5</v>
      </c>
      <c r="CI15" s="497">
        <f>BM70</f>
        <v>0</v>
      </c>
      <c r="CJ15" s="496">
        <f ca="1">M70</f>
        <v>0</v>
      </c>
      <c r="CK15" s="481"/>
      <c r="CL15" s="477"/>
      <c r="CM15" s="495">
        <f t="shared" ref="CM15" si="32">CI15*CL15</f>
        <v>0</v>
      </c>
    </row>
    <row r="16" spans="1:108" ht="15" customHeight="1" x14ac:dyDescent="0.3">
      <c r="A16" s="64"/>
      <c r="B16" s="148"/>
      <c r="C16" s="109"/>
      <c r="D16" s="63"/>
      <c r="E16" s="63"/>
      <c r="F16" s="127"/>
      <c r="G16" s="50"/>
      <c r="H16" s="10"/>
      <c r="I16" s="10"/>
      <c r="J16" s="10"/>
      <c r="K16" s="10"/>
      <c r="L16" s="10"/>
      <c r="M16" s="39"/>
      <c r="N16" s="33">
        <f t="shared" si="11"/>
        <v>0</v>
      </c>
      <c r="O16" s="52">
        <f t="shared" si="12"/>
        <v>0</v>
      </c>
      <c r="P16" s="52">
        <f t="shared" si="13"/>
        <v>0</v>
      </c>
      <c r="Q16" s="53" t="b">
        <f t="shared" si="2"/>
        <v>0</v>
      </c>
      <c r="R16" s="152" t="s">
        <v>175</v>
      </c>
      <c r="S16" s="278">
        <f t="shared" si="14"/>
        <v>0</v>
      </c>
      <c r="T16" s="231"/>
      <c r="U16" s="159" t="e">
        <f t="shared" si="3"/>
        <v>#N/A</v>
      </c>
      <c r="V16" s="41"/>
      <c r="W16" s="70" t="e">
        <f t="shared" si="4"/>
        <v>#N/A</v>
      </c>
      <c r="X16" s="70"/>
      <c r="Y16" s="159"/>
      <c r="Z16" s="159"/>
      <c r="AA16" s="160"/>
      <c r="AB16" s="158" t="e">
        <f t="shared" si="5"/>
        <v>#N/A</v>
      </c>
      <c r="AC16" s="94" t="e">
        <f t="shared" si="15"/>
        <v>#N/A</v>
      </c>
      <c r="AD16" s="95" t="e">
        <f t="shared" si="7"/>
        <v>#N/A</v>
      </c>
      <c r="AE16" s="95" t="e">
        <f t="shared" si="8"/>
        <v>#N/A</v>
      </c>
      <c r="AF16" s="95" t="e">
        <f t="shared" si="9"/>
        <v>#N/A</v>
      </c>
      <c r="AG16" s="96" t="e">
        <f t="shared" si="16"/>
        <v>#N/A</v>
      </c>
      <c r="AH16" s="435" t="s">
        <v>131</v>
      </c>
      <c r="AI16" s="91" t="s">
        <v>157</v>
      </c>
      <c r="AJ16" s="36">
        <f>SUMIFS($H$6:$H$69,$C$6:$C$69,AH16,$F$6:$F$69,AI16)</f>
        <v>0</v>
      </c>
      <c r="AK16" s="36">
        <f>SUMIFS($I$6:$I$69,$C$6:$C$69,AH16,$F$6:$F$69,AI16)</f>
        <v>0</v>
      </c>
      <c r="AL16" s="36">
        <f>SUMIFS($J$6:$J$69,$C$6:$C$69,AH16,$F$6:$F$69,AI16)</f>
        <v>0</v>
      </c>
      <c r="AM16" s="36">
        <f>SUMIFS($K$6:$K$69,$C$6:$C$69,AH16,$F$6:$F$69,AI16)</f>
        <v>0</v>
      </c>
      <c r="AN16" s="36">
        <f>SUMIFS($L$6:$L$69,$C$6:$C$69,AH16,$F$6:$F$69,AI16)</f>
        <v>0</v>
      </c>
      <c r="AO16" s="36">
        <f>SUMIFS($M$6:$M$69,$C$6:$C$69,AH16,$F$6:$F$69,AI16)</f>
        <v>0</v>
      </c>
      <c r="AP16" s="91" t="s">
        <v>157</v>
      </c>
      <c r="AQ16" s="83"/>
      <c r="AR16" s="63"/>
      <c r="AS16" s="63"/>
      <c r="AT16" s="63"/>
      <c r="AU16" s="79"/>
      <c r="AV16" s="79"/>
      <c r="AW16" s="55">
        <f>SUMIFS($O$6:$O$69,$C$6:$C$69,AH16,$F$6:$F$69,AI16)</f>
        <v>0</v>
      </c>
      <c r="AX16" s="275"/>
      <c r="AY16" s="80">
        <f>SUMIFS($Q$6:$Q$69,$C$6:$C$69,AH16,$F$6:$F$69,AI16)</f>
        <v>0</v>
      </c>
      <c r="AZ16" s="12"/>
      <c r="BA16" s="12"/>
      <c r="BB16" s="12"/>
      <c r="BC16" s="201"/>
      <c r="BD16" s="222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71">
        <f t="shared" si="17"/>
        <v>0</v>
      </c>
      <c r="BU16" s="71">
        <f t="shared" si="10"/>
        <v>0</v>
      </c>
      <c r="BV16" s="72"/>
      <c r="BW16" s="59"/>
      <c r="BX16" s="12"/>
      <c r="BY16" s="476"/>
      <c r="BZ16" s="468"/>
      <c r="CA16" s="468"/>
      <c r="CB16" s="468"/>
      <c r="CC16" s="468"/>
      <c r="CD16" s="468"/>
      <c r="CE16" s="477"/>
      <c r="CF16" s="474"/>
      <c r="CG16" s="500"/>
      <c r="CH16" s="378"/>
      <c r="CI16" s="497"/>
      <c r="CJ16" s="497"/>
      <c r="CK16" s="481"/>
      <c r="CL16" s="477"/>
      <c r="CM16" s="495"/>
    </row>
    <row r="17" spans="1:91" ht="15" customHeight="1" x14ac:dyDescent="0.3">
      <c r="A17" s="64"/>
      <c r="B17" s="148"/>
      <c r="C17" s="109"/>
      <c r="D17" s="63"/>
      <c r="E17" s="63"/>
      <c r="F17" s="127"/>
      <c r="G17" s="50"/>
      <c r="H17" s="10"/>
      <c r="I17" s="10"/>
      <c r="J17" s="10"/>
      <c r="K17" s="10"/>
      <c r="L17" s="10"/>
      <c r="M17" s="39"/>
      <c r="N17" s="33">
        <f t="shared" si="11"/>
        <v>0</v>
      </c>
      <c r="O17" s="52">
        <f t="shared" si="12"/>
        <v>0</v>
      </c>
      <c r="P17" s="52">
        <f t="shared" si="13"/>
        <v>0</v>
      </c>
      <c r="Q17" s="53" t="b">
        <f t="shared" si="2"/>
        <v>0</v>
      </c>
      <c r="R17" s="152" t="s">
        <v>175</v>
      </c>
      <c r="S17" s="278">
        <f t="shared" si="14"/>
        <v>0</v>
      </c>
      <c r="T17" s="231"/>
      <c r="U17" s="159" t="e">
        <f t="shared" si="3"/>
        <v>#N/A</v>
      </c>
      <c r="V17" s="41"/>
      <c r="W17" s="70" t="e">
        <f t="shared" si="4"/>
        <v>#N/A</v>
      </c>
      <c r="X17" s="70"/>
      <c r="Y17" s="159"/>
      <c r="Z17" s="159"/>
      <c r="AA17" s="160"/>
      <c r="AB17" s="158" t="e">
        <f t="shared" si="5"/>
        <v>#N/A</v>
      </c>
      <c r="AC17" s="94" t="e">
        <f t="shared" si="15"/>
        <v>#N/A</v>
      </c>
      <c r="AD17" s="95" t="e">
        <f t="shared" si="7"/>
        <v>#N/A</v>
      </c>
      <c r="AE17" s="95" t="e">
        <f t="shared" si="8"/>
        <v>#N/A</v>
      </c>
      <c r="AF17" s="95" t="e">
        <f t="shared" si="9"/>
        <v>#N/A</v>
      </c>
      <c r="AG17" s="96" t="e">
        <f t="shared" si="16"/>
        <v>#N/A</v>
      </c>
      <c r="AH17" s="435"/>
      <c r="AI17" s="1" t="s">
        <v>155</v>
      </c>
      <c r="AJ17" s="36">
        <f>SUMIFS($H$6:$H$69,$C$6:$C$69,AH16,$F$6:$F$69,AI17)</f>
        <v>0</v>
      </c>
      <c r="AK17" s="36">
        <f>SUMIFS($I$6:$I$69,$C$6:$C$69,AH16,$F$6:$F$69,AI17)</f>
        <v>0</v>
      </c>
      <c r="AL17" s="36">
        <f>SUMIFS($J$6:$J$69,$C$6:$C$69,AH16,$F$6:$F$69,AI17)</f>
        <v>0</v>
      </c>
      <c r="AM17" s="36">
        <f>SUMIFS($K$6:$K$69,$C$6:$C$69,AH16,$F$6:$F$69,AI17)</f>
        <v>0</v>
      </c>
      <c r="AN17" s="36">
        <f>SUMIFS($L$6:$L$69,$C$6:$C$69,AH16,$F$6:$F$69,AI17)</f>
        <v>0</v>
      </c>
      <c r="AO17" s="36">
        <f>SUMIFS($M$6:$M$69,$C$6:$C$69,AH16,$F$6:$F$69,AI17)</f>
        <v>0</v>
      </c>
      <c r="AP17" s="1" t="s">
        <v>155</v>
      </c>
      <c r="AQ17" s="83"/>
      <c r="AR17" s="63"/>
      <c r="AS17" s="63"/>
      <c r="AT17" s="63"/>
      <c r="AU17" s="79"/>
      <c r="AV17" s="79"/>
      <c r="AW17" s="55">
        <f>SUMIFS($O$6:$O$69,$C$6:$C$69,AH17,$F$6:$F$69,AI17)</f>
        <v>0</v>
      </c>
      <c r="AX17" s="275"/>
      <c r="AY17" s="80">
        <f>SUMIFS($Q$6:$Q$69,$C$6:$C$69,AH17,$F$6:$F$69,AI17)</f>
        <v>0</v>
      </c>
      <c r="AZ17" s="12"/>
      <c r="BA17" s="12"/>
      <c r="BB17" s="12"/>
      <c r="BC17" s="201"/>
      <c r="BD17" s="222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71">
        <f t="shared" si="17"/>
        <v>0</v>
      </c>
      <c r="BU17" s="71">
        <f t="shared" si="10"/>
        <v>0</v>
      </c>
      <c r="BV17" s="72"/>
      <c r="BW17" s="59"/>
      <c r="BX17" s="12"/>
      <c r="BY17" s="476" t="s">
        <v>15</v>
      </c>
      <c r="BZ17" s="468"/>
      <c r="CA17" s="468"/>
      <c r="CB17" s="468"/>
      <c r="CC17" s="468"/>
      <c r="CD17" s="468">
        <f t="shared" ref="CD17" si="33">CB17-CC17</f>
        <v>0</v>
      </c>
      <c r="CE17" s="475">
        <v>4.016</v>
      </c>
      <c r="CF17" s="474">
        <f t="shared" ref="CF17" si="34">CE17*CB17</f>
        <v>0</v>
      </c>
      <c r="CG17" s="500" t="s">
        <v>155</v>
      </c>
      <c r="CH17" s="498">
        <v>25</v>
      </c>
      <c r="CI17" s="497">
        <f>BQ71</f>
        <v>4</v>
      </c>
      <c r="CJ17" s="496">
        <f ca="1">I72</f>
        <v>0</v>
      </c>
      <c r="CK17" s="481"/>
      <c r="CL17" s="477">
        <v>250</v>
      </c>
      <c r="CM17" s="495">
        <f t="shared" ref="CM17" si="35">CI17*CL17</f>
        <v>1000</v>
      </c>
    </row>
    <row r="18" spans="1:91" ht="15" customHeight="1" x14ac:dyDescent="0.3">
      <c r="A18" s="64"/>
      <c r="B18" s="148"/>
      <c r="C18" s="109"/>
      <c r="D18" s="63"/>
      <c r="E18" s="63"/>
      <c r="F18" s="127"/>
      <c r="G18" s="50"/>
      <c r="H18" s="10"/>
      <c r="I18" s="10"/>
      <c r="J18" s="10"/>
      <c r="K18" s="10"/>
      <c r="L18" s="10"/>
      <c r="M18" s="39"/>
      <c r="N18" s="33">
        <f t="shared" si="11"/>
        <v>0</v>
      </c>
      <c r="O18" s="52">
        <f t="shared" si="12"/>
        <v>0</v>
      </c>
      <c r="P18" s="52">
        <f t="shared" si="13"/>
        <v>0</v>
      </c>
      <c r="Q18" s="53" t="b">
        <f t="shared" si="2"/>
        <v>0</v>
      </c>
      <c r="R18" s="152" t="s">
        <v>175</v>
      </c>
      <c r="S18" s="278">
        <f t="shared" si="14"/>
        <v>0</v>
      </c>
      <c r="T18" s="231"/>
      <c r="U18" s="159" t="e">
        <f t="shared" si="3"/>
        <v>#N/A</v>
      </c>
      <c r="V18" s="41"/>
      <c r="W18" s="70" t="e">
        <f t="shared" si="4"/>
        <v>#N/A</v>
      </c>
      <c r="X18" s="70"/>
      <c r="Y18" s="159"/>
      <c r="Z18" s="159"/>
      <c r="AA18" s="160"/>
      <c r="AB18" s="158" t="e">
        <f t="shared" si="5"/>
        <v>#N/A</v>
      </c>
      <c r="AC18" s="94" t="e">
        <f t="shared" si="15"/>
        <v>#N/A</v>
      </c>
      <c r="AD18" s="95" t="e">
        <f t="shared" si="7"/>
        <v>#N/A</v>
      </c>
      <c r="AE18" s="95" t="e">
        <f t="shared" si="8"/>
        <v>#N/A</v>
      </c>
      <c r="AF18" s="95" t="e">
        <f t="shared" si="9"/>
        <v>#N/A</v>
      </c>
      <c r="AG18" s="96" t="e">
        <f t="shared" si="16"/>
        <v>#N/A</v>
      </c>
      <c r="AH18" s="435" t="s">
        <v>20</v>
      </c>
      <c r="AI18" s="91" t="s">
        <v>157</v>
      </c>
      <c r="AJ18" s="36">
        <f>SUMIFS($H$6:$H$69,$C$6:$C$69,AH18,$F$6:$F$69,AI18)</f>
        <v>0</v>
      </c>
      <c r="AK18" s="36">
        <f>SUMIFS($I$6:$I$69,$C$6:$C$69,AH18,$F$6:$F$69,AI18)</f>
        <v>0</v>
      </c>
      <c r="AL18" s="36">
        <f>SUMIFS($J$6:$J$69,$C$6:$C$69,AH18,$F$6:$F$69,AI18)</f>
        <v>0</v>
      </c>
      <c r="AM18" s="36">
        <f>SUMIFS($K$6:$K$69,$C$6:$C$69,AH18,$F$6:$F$69,AI18)</f>
        <v>0</v>
      </c>
      <c r="AN18" s="36">
        <f>SUMIFS($L$6:$L$69,$C$6:$C$69,AH18,$F$6:$F$69,AI18)</f>
        <v>0</v>
      </c>
      <c r="AO18" s="36">
        <f>SUMIFS($M$6:$M$69,$C$6:$C$69,AH18,$F$6:$F$69,AI18)</f>
        <v>0</v>
      </c>
      <c r="AP18" s="91" t="s">
        <v>157</v>
      </c>
      <c r="AQ18" s="83"/>
      <c r="AR18" s="63"/>
      <c r="AS18" s="63"/>
      <c r="AT18" s="63"/>
      <c r="AU18" s="79"/>
      <c r="AV18" s="79"/>
      <c r="AW18" s="55">
        <f>SUMIFS($O$6:$O$69,$C$6:$C$69,AH18,$F$6:$F$69,AI18)</f>
        <v>0</v>
      </c>
      <c r="AX18" s="275"/>
      <c r="AY18" s="80">
        <f>SUMIFS($Q$6:$Q$69,$C$6:$C$69,AH18,$F$6:$F$69,AI18)</f>
        <v>0</v>
      </c>
      <c r="AZ18" s="12"/>
      <c r="BA18" s="12"/>
      <c r="BB18" s="12"/>
      <c r="BC18" s="201"/>
      <c r="BD18" s="222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71">
        <f t="shared" si="17"/>
        <v>0</v>
      </c>
      <c r="BU18" s="71">
        <f t="shared" si="10"/>
        <v>0</v>
      </c>
      <c r="BV18" s="72"/>
      <c r="BW18" s="59"/>
      <c r="BX18" s="12"/>
      <c r="BY18" s="476"/>
      <c r="BZ18" s="468"/>
      <c r="CA18" s="468"/>
      <c r="CB18" s="468"/>
      <c r="CC18" s="468"/>
      <c r="CD18" s="468"/>
      <c r="CE18" s="475"/>
      <c r="CF18" s="474"/>
      <c r="CG18" s="500"/>
      <c r="CH18" s="498"/>
      <c r="CI18" s="497"/>
      <c r="CJ18" s="497"/>
      <c r="CK18" s="481"/>
      <c r="CL18" s="477"/>
      <c r="CM18" s="495"/>
    </row>
    <row r="19" spans="1:91" ht="15" customHeight="1" x14ac:dyDescent="0.3">
      <c r="A19" s="64"/>
      <c r="B19" s="148"/>
      <c r="C19" s="109"/>
      <c r="D19" s="63"/>
      <c r="E19" s="63"/>
      <c r="F19" s="127"/>
      <c r="G19" s="50"/>
      <c r="H19" s="10"/>
      <c r="I19" s="10"/>
      <c r="J19" s="10"/>
      <c r="K19" s="10"/>
      <c r="L19" s="10"/>
      <c r="M19" s="39"/>
      <c r="N19" s="33">
        <f t="shared" si="11"/>
        <v>0</v>
      </c>
      <c r="O19" s="52">
        <f t="shared" si="12"/>
        <v>0</v>
      </c>
      <c r="P19" s="52">
        <f t="shared" si="13"/>
        <v>0</v>
      </c>
      <c r="Q19" s="53" t="b">
        <f t="shared" si="2"/>
        <v>0</v>
      </c>
      <c r="R19" s="152" t="s">
        <v>175</v>
      </c>
      <c r="S19" s="278">
        <f t="shared" si="14"/>
        <v>0</v>
      </c>
      <c r="T19" s="231"/>
      <c r="U19" s="159" t="e">
        <f t="shared" si="3"/>
        <v>#N/A</v>
      </c>
      <c r="V19" s="41"/>
      <c r="W19" s="70" t="e">
        <f t="shared" si="4"/>
        <v>#N/A</v>
      </c>
      <c r="X19" s="70"/>
      <c r="Y19" s="159"/>
      <c r="Z19" s="159"/>
      <c r="AA19" s="160"/>
      <c r="AB19" s="158" t="e">
        <f t="shared" si="5"/>
        <v>#N/A</v>
      </c>
      <c r="AC19" s="94" t="e">
        <f t="shared" si="15"/>
        <v>#N/A</v>
      </c>
      <c r="AD19" s="95" t="e">
        <f t="shared" si="7"/>
        <v>#N/A</v>
      </c>
      <c r="AE19" s="95" t="e">
        <f t="shared" si="8"/>
        <v>#N/A</v>
      </c>
      <c r="AF19" s="95" t="e">
        <f t="shared" si="9"/>
        <v>#N/A</v>
      </c>
      <c r="AG19" s="96" t="e">
        <f t="shared" si="16"/>
        <v>#N/A</v>
      </c>
      <c r="AH19" s="435"/>
      <c r="AI19" s="1" t="s">
        <v>155</v>
      </c>
      <c r="AJ19" s="36">
        <f>SUMIFS($H$6:$H$69,$C$6:$C$69,AH18,$F$6:$F$69,AI19)</f>
        <v>0</v>
      </c>
      <c r="AK19" s="36">
        <f>SUMIFS($I$6:$I$69,$C$6:$C$69,AH18,$F$6:$F$69,AI19)</f>
        <v>0</v>
      </c>
      <c r="AL19" s="36">
        <f>SUMIFS($J$6:$J$69,$C$6:$C$69,AH18,$F$6:$F$69,AI19)</f>
        <v>0</v>
      </c>
      <c r="AM19" s="36">
        <f>SUMIFS($K$6:$K$69,$C$6:$C$69,AH18,$F$6:$F$69,AI19)</f>
        <v>0</v>
      </c>
      <c r="AN19" s="36">
        <f>SUMIFS($L$6:$L$69,$C$6:$C$69,AH18,$F$6:$F$69,AI19)</f>
        <v>0</v>
      </c>
      <c r="AO19" s="36">
        <f>SUMIFS($M$6:$M$69,$C$6:$C$69,AH18,$F$6:$F$69,AI19)</f>
        <v>0</v>
      </c>
      <c r="AP19" s="1" t="s">
        <v>155</v>
      </c>
      <c r="AQ19" s="83"/>
      <c r="AR19" s="63"/>
      <c r="AS19" s="63"/>
      <c r="AT19" s="63"/>
      <c r="AU19" s="79"/>
      <c r="AV19" s="79"/>
      <c r="AW19" s="55">
        <f>SUMIFS($O$6:$O$69,$C$6:$C$69,AH19,$F$6:$F$69,AI19)</f>
        <v>0</v>
      </c>
      <c r="AX19" s="275"/>
      <c r="AY19" s="80">
        <f>SUMIFS($Q$6:$Q$69,$C$6:$C$69,AH19,$F$6:$F$69,AI19)</f>
        <v>0</v>
      </c>
      <c r="AZ19" s="12"/>
      <c r="BA19" s="12"/>
      <c r="BB19" s="12"/>
      <c r="BC19" s="201"/>
      <c r="BD19" s="222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71">
        <f t="shared" si="17"/>
        <v>0</v>
      </c>
      <c r="BU19" s="71">
        <f t="shared" si="10"/>
        <v>0</v>
      </c>
      <c r="BV19" s="72"/>
      <c r="BW19" s="59"/>
      <c r="BX19" s="12"/>
      <c r="BY19" s="476" t="s">
        <v>16</v>
      </c>
      <c r="BZ19" s="468"/>
      <c r="CA19" s="468"/>
      <c r="CB19" s="468"/>
      <c r="CC19" s="468"/>
      <c r="CD19" s="468">
        <f t="shared" ref="CD19" si="36">CB19-CC19</f>
        <v>0</v>
      </c>
      <c r="CE19" s="475">
        <v>215</v>
      </c>
      <c r="CF19" s="474">
        <f t="shared" ref="CF19" si="37">CE19*CB19</f>
        <v>0</v>
      </c>
      <c r="CG19" s="500"/>
      <c r="CH19" s="498">
        <v>50</v>
      </c>
      <c r="CI19" s="497">
        <f>BR72</f>
        <v>0</v>
      </c>
      <c r="CJ19" s="496">
        <f ca="1">J72</f>
        <v>0</v>
      </c>
      <c r="CK19" s="481"/>
      <c r="CL19" s="475">
        <v>500</v>
      </c>
      <c r="CM19" s="495">
        <f t="shared" ref="CM19" si="38">CI19*CL19</f>
        <v>0</v>
      </c>
    </row>
    <row r="20" spans="1:91" ht="15" customHeight="1" x14ac:dyDescent="0.3">
      <c r="A20" s="64"/>
      <c r="B20" s="148"/>
      <c r="C20" s="109"/>
      <c r="D20" s="63"/>
      <c r="E20" s="63"/>
      <c r="F20" s="127"/>
      <c r="G20" s="50"/>
      <c r="H20" s="10"/>
      <c r="I20" s="10"/>
      <c r="J20" s="10"/>
      <c r="K20" s="10"/>
      <c r="L20" s="10"/>
      <c r="M20" s="39"/>
      <c r="N20" s="33">
        <f t="shared" si="11"/>
        <v>0</v>
      </c>
      <c r="O20" s="52">
        <f t="shared" si="12"/>
        <v>0</v>
      </c>
      <c r="P20" s="52">
        <f t="shared" si="13"/>
        <v>0</v>
      </c>
      <c r="Q20" s="53" t="b">
        <f t="shared" si="2"/>
        <v>0</v>
      </c>
      <c r="R20" s="152" t="s">
        <v>175</v>
      </c>
      <c r="S20" s="278">
        <f t="shared" si="14"/>
        <v>0</v>
      </c>
      <c r="T20" s="231"/>
      <c r="U20" s="159" t="e">
        <f t="shared" si="3"/>
        <v>#N/A</v>
      </c>
      <c r="V20" s="41"/>
      <c r="W20" s="70" t="e">
        <f t="shared" si="4"/>
        <v>#N/A</v>
      </c>
      <c r="X20" s="70"/>
      <c r="Y20" s="159"/>
      <c r="Z20" s="159"/>
      <c r="AA20" s="160"/>
      <c r="AB20" s="158" t="e">
        <f t="shared" si="5"/>
        <v>#N/A</v>
      </c>
      <c r="AC20" s="94" t="e">
        <f t="shared" si="15"/>
        <v>#N/A</v>
      </c>
      <c r="AD20" s="95" t="e">
        <f t="shared" si="7"/>
        <v>#N/A</v>
      </c>
      <c r="AE20" s="95" t="e">
        <f t="shared" si="8"/>
        <v>#N/A</v>
      </c>
      <c r="AF20" s="95" t="e">
        <f t="shared" si="9"/>
        <v>#N/A</v>
      </c>
      <c r="AG20" s="96" t="e">
        <f t="shared" si="16"/>
        <v>#N/A</v>
      </c>
      <c r="AH20" s="436" t="s">
        <v>206</v>
      </c>
      <c r="AI20" s="91" t="s">
        <v>157</v>
      </c>
      <c r="AJ20" s="36">
        <f>SUMIFS($H$6:$H$69,$C$6:$C$69,AH20,$F$6:$F$69,AI20)</f>
        <v>0</v>
      </c>
      <c r="AK20" s="36">
        <f>SUMIFS($I$6:$I$69,$C$6:$C$69,AH20,$F$6:$F$69,AI20)</f>
        <v>0</v>
      </c>
      <c r="AL20" s="36">
        <f>SUMIFS($J$6:$J$69,$C$6:$C$69,AH20,$F$6:$F$69,AI20)</f>
        <v>0</v>
      </c>
      <c r="AM20" s="36">
        <f>SUMIFS($K$6:$K$69,$C$6:$C$69,AH20,$F$6:$F$69,AI20)</f>
        <v>0</v>
      </c>
      <c r="AN20" s="36">
        <f>SUMIFS($L$6:$L$69,$C$6:$C$69,AH20,$F$6:$F$69,AI20)</f>
        <v>0</v>
      </c>
      <c r="AO20" s="36">
        <f>SUMIFS($M$6:$M$69,$C$6:$C$69,AH20,$F$6:$F$69,AI20)</f>
        <v>0</v>
      </c>
      <c r="AP20" s="91" t="s">
        <v>157</v>
      </c>
      <c r="AQ20" s="83"/>
      <c r="AR20" s="63"/>
      <c r="AS20" s="63"/>
      <c r="AT20" s="63"/>
      <c r="AU20" s="79"/>
      <c r="AV20" s="79"/>
      <c r="AW20" s="55">
        <f>SUMIFS($O$6:$O$69,$C$6:$C$69,AH20,$F$6:$F$69,AI20)</f>
        <v>0</v>
      </c>
      <c r="AX20" s="275"/>
      <c r="AY20" s="80">
        <f>SUMIFS($Q$6:$Q$69,$C$6:$C$69,AH20,$F$6:$F$69,AI20)</f>
        <v>0</v>
      </c>
      <c r="AZ20" s="12"/>
      <c r="BA20" s="12"/>
      <c r="BB20" s="12"/>
      <c r="BC20" s="201"/>
      <c r="BD20" s="222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71">
        <f t="shared" si="17"/>
        <v>0</v>
      </c>
      <c r="BU20" s="71">
        <f t="shared" si="10"/>
        <v>0</v>
      </c>
      <c r="BV20" s="72"/>
      <c r="BW20" s="59"/>
      <c r="BX20" s="12"/>
      <c r="BY20" s="476"/>
      <c r="BZ20" s="468"/>
      <c r="CA20" s="468"/>
      <c r="CB20" s="468"/>
      <c r="CC20" s="468"/>
      <c r="CD20" s="468"/>
      <c r="CE20" s="475"/>
      <c r="CF20" s="474"/>
      <c r="CG20" s="500"/>
      <c r="CH20" s="498"/>
      <c r="CI20" s="497"/>
      <c r="CJ20" s="497"/>
      <c r="CK20" s="481"/>
      <c r="CL20" s="475"/>
      <c r="CM20" s="495"/>
    </row>
    <row r="21" spans="1:91" ht="15" customHeight="1" x14ac:dyDescent="0.3">
      <c r="A21" s="64"/>
      <c r="B21" s="148"/>
      <c r="C21" s="109"/>
      <c r="D21" s="63"/>
      <c r="E21" s="63"/>
      <c r="F21" s="127"/>
      <c r="G21" s="50"/>
      <c r="H21" s="10"/>
      <c r="I21" s="10"/>
      <c r="J21" s="10"/>
      <c r="K21" s="10"/>
      <c r="L21" s="10"/>
      <c r="M21" s="39"/>
      <c r="N21" s="33">
        <f t="shared" si="11"/>
        <v>0</v>
      </c>
      <c r="O21" s="52">
        <f t="shared" si="12"/>
        <v>0</v>
      </c>
      <c r="P21" s="52">
        <f t="shared" si="13"/>
        <v>0</v>
      </c>
      <c r="Q21" s="53" t="b">
        <f t="shared" si="2"/>
        <v>0</v>
      </c>
      <c r="R21" s="152" t="s">
        <v>175</v>
      </c>
      <c r="S21" s="278">
        <f t="shared" si="14"/>
        <v>0</v>
      </c>
      <c r="T21" s="231"/>
      <c r="U21" s="159" t="e">
        <f t="shared" si="3"/>
        <v>#N/A</v>
      </c>
      <c r="V21" s="41"/>
      <c r="W21" s="70" t="e">
        <f t="shared" si="4"/>
        <v>#N/A</v>
      </c>
      <c r="X21" s="70"/>
      <c r="Y21" s="159"/>
      <c r="Z21" s="159"/>
      <c r="AA21" s="160"/>
      <c r="AB21" s="158" t="e">
        <f t="shared" si="5"/>
        <v>#N/A</v>
      </c>
      <c r="AC21" s="94" t="e">
        <f t="shared" si="15"/>
        <v>#N/A</v>
      </c>
      <c r="AD21" s="95" t="e">
        <f t="shared" si="7"/>
        <v>#N/A</v>
      </c>
      <c r="AE21" s="95" t="e">
        <f t="shared" si="8"/>
        <v>#N/A</v>
      </c>
      <c r="AF21" s="95" t="e">
        <f t="shared" si="9"/>
        <v>#N/A</v>
      </c>
      <c r="AG21" s="96" t="e">
        <f t="shared" si="16"/>
        <v>#N/A</v>
      </c>
      <c r="AH21" s="436"/>
      <c r="AI21" s="1" t="s">
        <v>155</v>
      </c>
      <c r="AJ21" s="36">
        <f>SUMIFS($H$6:$H$69,$C$6:$C$69,AH20,$F$6:$F$69,AI21)</f>
        <v>0</v>
      </c>
      <c r="AK21" s="36">
        <f>SUMIFS($I$6:$I$69,$C$6:$C$69,AH20,$F$6:$F$69,AI21)</f>
        <v>0</v>
      </c>
      <c r="AL21" s="36">
        <f>SUMIFS($J$6:$J$69,$C$6:$C$69,AH20,$F$6:$F$69,AI21)</f>
        <v>0</v>
      </c>
      <c r="AM21" s="36">
        <f>SUMIFS($K$6:$K$69,$C$6:$C$69,AH20,$F$6:$F$69,AI21)</f>
        <v>0</v>
      </c>
      <c r="AN21" s="36">
        <f>SUMIFS($L$6:$L$69,$C$6:$C$69,AH20,$F$6:$F$69,AI21)</f>
        <v>0</v>
      </c>
      <c r="AO21" s="36">
        <f>SUMIFS($M$6:$M$69,$C$6:$C$69,AH20,$F$6:$F$69,AI21)</f>
        <v>0</v>
      </c>
      <c r="AP21" s="1" t="s">
        <v>155</v>
      </c>
      <c r="AQ21" s="83"/>
      <c r="AR21" s="63"/>
      <c r="AS21" s="63"/>
      <c r="AT21" s="63"/>
      <c r="AU21" s="79"/>
      <c r="AV21" s="79"/>
      <c r="AW21" s="55">
        <f>SUMIFS($O$6:$O$69,$C$6:$C$69,AH21,$F$6:$F$69,AI21)</f>
        <v>0</v>
      </c>
      <c r="AX21" s="275"/>
      <c r="AY21" s="80">
        <f>SUMIFS($Q$6:$Q$69,$C$6:$C$69,AH21,$F$6:$F$69,AI21)</f>
        <v>0</v>
      </c>
      <c r="AZ21" s="12"/>
      <c r="BA21" s="12"/>
      <c r="BB21" s="12"/>
      <c r="BC21" s="201"/>
      <c r="BD21" s="222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71">
        <f t="shared" si="17"/>
        <v>0</v>
      </c>
      <c r="BU21" s="71">
        <f t="shared" si="10"/>
        <v>0</v>
      </c>
      <c r="BV21" s="72"/>
      <c r="BW21" s="59"/>
      <c r="BX21" s="12"/>
      <c r="BY21" s="476"/>
      <c r="BZ21" s="468"/>
      <c r="CA21" s="468"/>
      <c r="CB21" s="468"/>
      <c r="CC21" s="468"/>
      <c r="CD21" s="468"/>
      <c r="CE21" s="475"/>
      <c r="CF21" s="474"/>
      <c r="CG21" s="500"/>
      <c r="CH21" s="498">
        <v>1</v>
      </c>
      <c r="CI21" s="497">
        <f>BS73</f>
        <v>6</v>
      </c>
      <c r="CJ21" s="496">
        <f ca="1">L72</f>
        <v>0</v>
      </c>
      <c r="CK21" s="481"/>
      <c r="CL21" s="475">
        <v>1000</v>
      </c>
      <c r="CM21" s="495">
        <f t="shared" ref="CM21" si="39">CI21*CL21</f>
        <v>6000</v>
      </c>
    </row>
    <row r="22" spans="1:91" ht="15" customHeight="1" x14ac:dyDescent="0.3">
      <c r="A22" s="64"/>
      <c r="B22" s="148"/>
      <c r="C22" s="109"/>
      <c r="D22" s="63"/>
      <c r="E22" s="63"/>
      <c r="F22" s="127"/>
      <c r="G22" s="50"/>
      <c r="H22" s="10"/>
      <c r="I22" s="10"/>
      <c r="J22" s="10"/>
      <c r="K22" s="10"/>
      <c r="L22" s="10"/>
      <c r="M22" s="39"/>
      <c r="N22" s="33">
        <f t="shared" si="11"/>
        <v>0</v>
      </c>
      <c r="O22" s="52">
        <f t="shared" si="12"/>
        <v>0</v>
      </c>
      <c r="P22" s="52">
        <f t="shared" si="13"/>
        <v>0</v>
      </c>
      <c r="Q22" s="53" t="b">
        <f t="shared" si="2"/>
        <v>0</v>
      </c>
      <c r="R22" s="152" t="s">
        <v>175</v>
      </c>
      <c r="S22" s="278">
        <f t="shared" si="14"/>
        <v>0</v>
      </c>
      <c r="T22" s="231"/>
      <c r="U22" s="159" t="e">
        <f t="shared" si="3"/>
        <v>#N/A</v>
      </c>
      <c r="V22" s="41"/>
      <c r="W22" s="70" t="e">
        <f t="shared" si="4"/>
        <v>#N/A</v>
      </c>
      <c r="X22" s="70"/>
      <c r="Y22" s="159"/>
      <c r="Z22" s="159"/>
      <c r="AA22" s="160"/>
      <c r="AB22" s="158" t="e">
        <f t="shared" si="5"/>
        <v>#N/A</v>
      </c>
      <c r="AC22" s="94" t="e">
        <f t="shared" si="15"/>
        <v>#N/A</v>
      </c>
      <c r="AD22" s="95" t="e">
        <f t="shared" si="7"/>
        <v>#N/A</v>
      </c>
      <c r="AE22" s="95" t="e">
        <f t="shared" si="8"/>
        <v>#N/A</v>
      </c>
      <c r="AF22" s="95" t="e">
        <f t="shared" si="9"/>
        <v>#N/A</v>
      </c>
      <c r="AG22" s="96" t="e">
        <f t="shared" si="16"/>
        <v>#N/A</v>
      </c>
      <c r="AH22" s="435" t="s">
        <v>9</v>
      </c>
      <c r="AI22" s="91" t="s">
        <v>157</v>
      </c>
      <c r="AJ22" s="36">
        <f>SUMIFS($H$6:$H$69,$C$6:$C$69,AH22,$F$6:$F$69,AI22)</f>
        <v>0</v>
      </c>
      <c r="AK22" s="36">
        <f>SUMIFS($I$6:$I$69,$C$6:$C$69,AH22,$F$6:$F$69,AI22)</f>
        <v>0</v>
      </c>
      <c r="AL22" s="36">
        <f>SUMIFS($J$6:$J$69,$C$6:$C$69,AH22,$F$6:$F$69,AI22)</f>
        <v>0</v>
      </c>
      <c r="AM22" s="36">
        <f>SUMIFS($K$6:$K$69,$C$6:$C$69,AH22,$F$6:$F$69,AI22)</f>
        <v>0</v>
      </c>
      <c r="AN22" s="36">
        <f>SUMIFS($L$6:$L$69,$C$6:$C$69,AH22,$F$6:$F$69,AI22)</f>
        <v>0</v>
      </c>
      <c r="AO22" s="36">
        <f>SUMIFS($M$6:$M$69,$C$6:$C$69,AH22,$F$6:$F$69,AI22)</f>
        <v>0</v>
      </c>
      <c r="AP22" s="91" t="s">
        <v>157</v>
      </c>
      <c r="AQ22" s="83"/>
      <c r="AR22" s="63"/>
      <c r="AS22" s="63"/>
      <c r="AT22" s="63"/>
      <c r="AU22" s="79"/>
      <c r="AV22" s="79"/>
      <c r="AW22" s="55">
        <f>SUMIFS($O$6:$O$69,$C$6:$C$69,AH22,$F$6:$F$69,AI22)</f>
        <v>0</v>
      </c>
      <c r="AX22" s="275"/>
      <c r="AY22" s="80">
        <f>SUMIFS($Q$6:$Q$69,$C$6:$C$69,AH22,$F$6:$F$69,AI22)</f>
        <v>0</v>
      </c>
      <c r="AZ22" s="12"/>
      <c r="BA22" s="12"/>
      <c r="BB22" s="12"/>
      <c r="BC22" s="201"/>
      <c r="BD22" s="222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71">
        <f t="shared" si="17"/>
        <v>0</v>
      </c>
      <c r="BU22" s="71">
        <f t="shared" si="10"/>
        <v>0</v>
      </c>
      <c r="BV22" s="72"/>
      <c r="BW22" s="59"/>
      <c r="BX22" s="12"/>
      <c r="BY22" s="476"/>
      <c r="BZ22" s="468"/>
      <c r="CA22" s="468"/>
      <c r="CB22" s="468"/>
      <c r="CC22" s="468"/>
      <c r="CD22" s="468"/>
      <c r="CE22" s="475"/>
      <c r="CF22" s="474"/>
      <c r="CG22" s="500"/>
      <c r="CH22" s="498"/>
      <c r="CI22" s="497"/>
      <c r="CJ22" s="497"/>
      <c r="CK22" s="481"/>
      <c r="CL22" s="475"/>
      <c r="CM22" s="495"/>
    </row>
    <row r="23" spans="1:91" ht="15" customHeight="1" x14ac:dyDescent="0.3">
      <c r="A23" s="64"/>
      <c r="B23" s="148"/>
      <c r="C23" s="109"/>
      <c r="D23" s="63"/>
      <c r="E23" s="63"/>
      <c r="F23" s="127"/>
      <c r="G23" s="50"/>
      <c r="H23" s="10"/>
      <c r="I23" s="10"/>
      <c r="J23" s="10"/>
      <c r="K23" s="10"/>
      <c r="L23" s="10"/>
      <c r="M23" s="39"/>
      <c r="N23" s="33">
        <f t="shared" si="11"/>
        <v>0</v>
      </c>
      <c r="O23" s="52">
        <f t="shared" si="12"/>
        <v>0</v>
      </c>
      <c r="P23" s="52">
        <f t="shared" si="13"/>
        <v>0</v>
      </c>
      <c r="Q23" s="53" t="b">
        <f t="shared" si="2"/>
        <v>0</v>
      </c>
      <c r="R23" s="152" t="s">
        <v>175</v>
      </c>
      <c r="S23" s="278">
        <f t="shared" si="14"/>
        <v>0</v>
      </c>
      <c r="T23" s="231"/>
      <c r="U23" s="159" t="e">
        <f t="shared" si="3"/>
        <v>#N/A</v>
      </c>
      <c r="V23" s="41"/>
      <c r="W23" s="70" t="e">
        <f t="shared" si="4"/>
        <v>#N/A</v>
      </c>
      <c r="X23" s="70"/>
      <c r="Y23" s="159"/>
      <c r="Z23" s="159"/>
      <c r="AA23" s="160"/>
      <c r="AB23" s="158" t="e">
        <f t="shared" si="5"/>
        <v>#N/A</v>
      </c>
      <c r="AC23" s="94" t="e">
        <f t="shared" si="15"/>
        <v>#N/A</v>
      </c>
      <c r="AD23" s="95" t="e">
        <f t="shared" si="7"/>
        <v>#N/A</v>
      </c>
      <c r="AE23" s="95" t="e">
        <f t="shared" si="8"/>
        <v>#N/A</v>
      </c>
      <c r="AF23" s="95" t="e">
        <f t="shared" si="9"/>
        <v>#N/A</v>
      </c>
      <c r="AG23" s="96" t="e">
        <f t="shared" si="16"/>
        <v>#N/A</v>
      </c>
      <c r="AH23" s="435"/>
      <c r="AI23" s="1" t="s">
        <v>155</v>
      </c>
      <c r="AJ23" s="36">
        <f>SUMIFS($H$6:$H$69,$C$6:$C$69,AH22,$F$6:$F$69,AI23)</f>
        <v>0</v>
      </c>
      <c r="AK23" s="36">
        <f>SUMIFS($I$6:$I$69,$C$6:$C$69,AH22,$F$6:$F$69,AI23)</f>
        <v>0</v>
      </c>
      <c r="AL23" s="36">
        <f>SUMIFS($J$6:$J$69,$C$6:$C$69,AH22,$F$6:$F$69,AI23)</f>
        <v>0</v>
      </c>
      <c r="AM23" s="36">
        <f>SUMIFS($K$6:$K$69,$C$6:$C$69,AH22,$F$6:$F$69,AI23)</f>
        <v>0</v>
      </c>
      <c r="AN23" s="36">
        <f>SUMIFS($L$6:$L$69,$C$6:$C$69,AH22,$F$6:$F$69,AI23)</f>
        <v>0</v>
      </c>
      <c r="AO23" s="36">
        <f>SUMIFS($M$6:$M$69,$C$6:$C$69,AH22,$F$6:$F$69,AI23)</f>
        <v>0</v>
      </c>
      <c r="AP23" s="1" t="s">
        <v>155</v>
      </c>
      <c r="AQ23" s="83"/>
      <c r="AR23" s="63"/>
      <c r="AS23" s="63"/>
      <c r="AT23" s="63"/>
      <c r="AU23" s="79"/>
      <c r="AV23" s="79"/>
      <c r="AW23" s="55">
        <f>SUMIFS($O$6:$O$69,$C$6:$C$69,AH23,$F$6:$F$69,AI23)</f>
        <v>0</v>
      </c>
      <c r="AX23" s="275"/>
      <c r="AY23" s="80">
        <f>SUMIFS($Q$6:$Q$69,$C$6:$C$69,AH23,$F$6:$F$69,AI23)</f>
        <v>0</v>
      </c>
      <c r="AZ23" s="12"/>
      <c r="BA23" s="12"/>
      <c r="BB23" s="12"/>
      <c r="BC23" s="201"/>
      <c r="BD23" s="222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71">
        <f t="shared" si="17"/>
        <v>0</v>
      </c>
      <c r="BU23" s="71">
        <f t="shared" si="10"/>
        <v>0</v>
      </c>
      <c r="BV23" s="72"/>
      <c r="BW23" s="59"/>
      <c r="BX23" s="12"/>
      <c r="BY23" s="476"/>
      <c r="BZ23" s="468"/>
      <c r="CA23" s="468"/>
      <c r="CB23" s="468"/>
      <c r="CC23" s="468"/>
      <c r="CD23" s="468"/>
      <c r="CE23" s="475"/>
      <c r="CF23" s="474"/>
      <c r="CG23" s="531" t="s">
        <v>156</v>
      </c>
      <c r="CH23" s="498">
        <v>25</v>
      </c>
      <c r="CI23" s="497">
        <f t="shared" ref="CI23" si="40">BS75</f>
        <v>0</v>
      </c>
      <c r="CJ23" s="496">
        <f ca="1">L74</f>
        <v>0</v>
      </c>
      <c r="CK23" s="481"/>
      <c r="CL23" s="475"/>
      <c r="CM23" s="495">
        <f t="shared" ref="CM23" si="41">CI23*CL23</f>
        <v>0</v>
      </c>
    </row>
    <row r="24" spans="1:91" ht="15" customHeight="1" x14ac:dyDescent="0.3">
      <c r="A24" s="64"/>
      <c r="B24" s="148"/>
      <c r="C24" s="109"/>
      <c r="D24" s="63"/>
      <c r="E24" s="63"/>
      <c r="F24" s="127"/>
      <c r="G24" s="50"/>
      <c r="H24" s="10"/>
      <c r="I24" s="10"/>
      <c r="J24" s="10"/>
      <c r="K24" s="10"/>
      <c r="L24" s="10"/>
      <c r="M24" s="39"/>
      <c r="N24" s="33">
        <f t="shared" si="11"/>
        <v>0</v>
      </c>
      <c r="O24" s="52">
        <f t="shared" si="12"/>
        <v>0</v>
      </c>
      <c r="P24" s="52">
        <f t="shared" si="13"/>
        <v>0</v>
      </c>
      <c r="Q24" s="53" t="b">
        <f t="shared" si="2"/>
        <v>0</v>
      </c>
      <c r="R24" s="152" t="s">
        <v>175</v>
      </c>
      <c r="S24" s="278">
        <f t="shared" si="14"/>
        <v>0</v>
      </c>
      <c r="T24" s="231"/>
      <c r="U24" s="159" t="e">
        <f t="shared" si="3"/>
        <v>#N/A</v>
      </c>
      <c r="V24" s="41"/>
      <c r="W24" s="70" t="e">
        <f t="shared" si="4"/>
        <v>#N/A</v>
      </c>
      <c r="X24" s="70"/>
      <c r="Y24" s="159"/>
      <c r="Z24" s="159"/>
      <c r="AA24" s="160"/>
      <c r="AB24" s="158" t="e">
        <f t="shared" si="5"/>
        <v>#N/A</v>
      </c>
      <c r="AC24" s="94" t="e">
        <f t="shared" si="15"/>
        <v>#N/A</v>
      </c>
      <c r="AD24" s="95" t="e">
        <f t="shared" si="7"/>
        <v>#N/A</v>
      </c>
      <c r="AE24" s="95" t="e">
        <f t="shared" si="8"/>
        <v>#N/A</v>
      </c>
      <c r="AF24" s="95" t="e">
        <f t="shared" si="9"/>
        <v>#N/A</v>
      </c>
      <c r="AG24" s="96" t="e">
        <f t="shared" si="16"/>
        <v>#N/A</v>
      </c>
      <c r="AH24" s="431"/>
      <c r="AI24" s="91" t="s">
        <v>157</v>
      </c>
      <c r="AJ24" s="36">
        <f>SUMIFS($H$6:$H$69,$C$6:$C$69,AH24,$F$6:$F$69,AI24)</f>
        <v>0</v>
      </c>
      <c r="AK24" s="36">
        <f>SUMIFS($I$6:$I$69,$C$6:$C$69,AH24,$F$6:$F$69,AI24)</f>
        <v>0</v>
      </c>
      <c r="AL24" s="36">
        <f>SUMIFS($J$6:$J$69,$C$6:$C$69,AH24,$F$6:$F$69,AI24)</f>
        <v>0</v>
      </c>
      <c r="AM24" s="36">
        <f>SUMIFS($K$6:$K$69,$C$6:$C$69,AH24,$F$6:$F$69,AI24)</f>
        <v>0</v>
      </c>
      <c r="AN24" s="36">
        <f>SUMIFS($L$6:$L$69,$C$6:$C$69,AH24,$F$6:$F$69,AI24)</f>
        <v>0</v>
      </c>
      <c r="AO24" s="36">
        <f>SUMIFS($M$6:$M$69,$C$6:$C$69,AH24,$F$6:$F$69,AI24)</f>
        <v>0</v>
      </c>
      <c r="AP24" s="91" t="s">
        <v>157</v>
      </c>
      <c r="AQ24" s="83"/>
      <c r="AR24" s="63"/>
      <c r="AS24" s="63"/>
      <c r="AT24" s="63"/>
      <c r="AU24" s="79"/>
      <c r="AV24" s="79"/>
      <c r="AW24" s="55">
        <f>SUMIFS($O$6:$O$69,$C$6:$C$69,AH24,$F$6:$F$69,AI24)</f>
        <v>0</v>
      </c>
      <c r="AX24" s="275"/>
      <c r="AY24" s="80">
        <f>SUMIFS($Q$6:$Q$69,$C$6:$C$69,AH24,$F$6:$F$69,AI24)</f>
        <v>0</v>
      </c>
      <c r="AZ24" s="12"/>
      <c r="BA24" s="12"/>
      <c r="BB24" s="12"/>
      <c r="BC24" s="201"/>
      <c r="BD24" s="222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71">
        <f t="shared" ref="BT24:BT61" si="42">(BH24*0.1)+(BI24*0.25)+(BJ24*0.5)+(BK24*0.75)+(BL24*1)+(BM24*5)</f>
        <v>0</v>
      </c>
      <c r="BU24" s="71">
        <f t="shared" si="10"/>
        <v>0</v>
      </c>
      <c r="BV24" s="72"/>
      <c r="BW24" s="49"/>
      <c r="BX24" s="12"/>
      <c r="BY24" s="476"/>
      <c r="BZ24" s="468"/>
      <c r="CA24" s="468"/>
      <c r="CB24" s="468"/>
      <c r="CC24" s="468"/>
      <c r="CD24" s="468"/>
      <c r="CE24" s="475"/>
      <c r="CF24" s="474"/>
      <c r="CG24" s="531"/>
      <c r="CH24" s="498">
        <v>1.3333333333333299</v>
      </c>
      <c r="CI24" s="497"/>
      <c r="CJ24" s="497"/>
      <c r="CK24" s="481"/>
      <c r="CL24" s="475"/>
      <c r="CM24" s="495"/>
    </row>
    <row r="25" spans="1:91" ht="15" customHeight="1" x14ac:dyDescent="0.3">
      <c r="A25" s="64"/>
      <c r="B25" s="148"/>
      <c r="C25" s="109"/>
      <c r="D25" s="63"/>
      <c r="E25" s="63"/>
      <c r="F25" s="127"/>
      <c r="G25" s="50"/>
      <c r="H25" s="10"/>
      <c r="I25" s="10"/>
      <c r="J25" s="10"/>
      <c r="K25" s="10"/>
      <c r="L25" s="10"/>
      <c r="M25" s="39"/>
      <c r="N25" s="33">
        <f t="shared" si="11"/>
        <v>0</v>
      </c>
      <c r="O25" s="52">
        <f t="shared" si="12"/>
        <v>0</v>
      </c>
      <c r="P25" s="52">
        <f t="shared" si="13"/>
        <v>0</v>
      </c>
      <c r="Q25" s="53" t="b">
        <f t="shared" si="2"/>
        <v>0</v>
      </c>
      <c r="R25" s="152" t="s">
        <v>175</v>
      </c>
      <c r="S25" s="278">
        <f t="shared" si="14"/>
        <v>0</v>
      </c>
      <c r="T25" s="231"/>
      <c r="U25" s="159" t="e">
        <f t="shared" si="3"/>
        <v>#N/A</v>
      </c>
      <c r="V25" s="41"/>
      <c r="W25" s="70" t="e">
        <f t="shared" si="4"/>
        <v>#N/A</v>
      </c>
      <c r="X25" s="70"/>
      <c r="Y25" s="159"/>
      <c r="Z25" s="159"/>
      <c r="AA25" s="160"/>
      <c r="AB25" s="158" t="e">
        <f t="shared" si="5"/>
        <v>#N/A</v>
      </c>
      <c r="AC25" s="94" t="e">
        <f t="shared" si="15"/>
        <v>#N/A</v>
      </c>
      <c r="AD25" s="95" t="e">
        <f t="shared" si="7"/>
        <v>#N/A</v>
      </c>
      <c r="AE25" s="95" t="e">
        <f t="shared" si="8"/>
        <v>#N/A</v>
      </c>
      <c r="AF25" s="95" t="e">
        <f t="shared" si="9"/>
        <v>#N/A</v>
      </c>
      <c r="AG25" s="96" t="e">
        <f t="shared" si="16"/>
        <v>#N/A</v>
      </c>
      <c r="AH25" s="431"/>
      <c r="AI25" s="1" t="s">
        <v>155</v>
      </c>
      <c r="AJ25" s="36">
        <f>SUMIFS($H$6:$H$69,$C$6:$C$69,AH24,$F$6:$F$69,AI25)</f>
        <v>0</v>
      </c>
      <c r="AK25" s="36">
        <f>SUMIFS($I$6:$I$69,$C$6:$C$69,AH24,$F$6:$F$69,AI25)</f>
        <v>0</v>
      </c>
      <c r="AL25" s="36">
        <f>SUMIFS($J$6:$J$69,$C$6:$C$69,AH24,$F$6:$F$69,AI25)</f>
        <v>0</v>
      </c>
      <c r="AM25" s="36">
        <f>SUMIFS($K$6:$K$69,$C$6:$C$69,AH24,$F$6:$F$69,AI25)</f>
        <v>0</v>
      </c>
      <c r="AN25" s="36">
        <f>SUMIFS($L$6:$L$69,$C$6:$C$69,AH24,$F$6:$F$69,AI25)</f>
        <v>0</v>
      </c>
      <c r="AO25" s="36">
        <f>SUMIFS($M$6:$M$69,$C$6:$C$69,AH24,$F$6:$F$69,AI25)</f>
        <v>0</v>
      </c>
      <c r="AP25" s="1" t="s">
        <v>155</v>
      </c>
      <c r="AQ25" s="83"/>
      <c r="AR25" s="63"/>
      <c r="AS25" s="63"/>
      <c r="AT25" s="63"/>
      <c r="AU25" s="79"/>
      <c r="AV25" s="79"/>
      <c r="AW25" s="55">
        <f>SUMIFS($O$6:$O$69,$C$6:$C$69,AH25,$F$6:$F$69,AI25)</f>
        <v>0</v>
      </c>
      <c r="AX25" s="275"/>
      <c r="AY25" s="80">
        <f>SUMIFS($Q$6:$Q$69,$C$6:$C$69,AH25,$F$6:$F$69,AI25)</f>
        <v>0</v>
      </c>
      <c r="AZ25" s="12"/>
      <c r="BA25" s="12"/>
      <c r="BB25" s="12"/>
      <c r="BC25" s="201"/>
      <c r="BD25" s="222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71">
        <f t="shared" si="42"/>
        <v>0</v>
      </c>
      <c r="BU25" s="71">
        <f t="shared" si="10"/>
        <v>0</v>
      </c>
      <c r="BV25" s="72"/>
      <c r="BW25" s="49"/>
      <c r="BX25" s="12"/>
      <c r="BY25" s="476"/>
      <c r="BZ25" s="468"/>
      <c r="CA25" s="468"/>
      <c r="CB25" s="468"/>
      <c r="CC25" s="468"/>
      <c r="CD25" s="468"/>
      <c r="CE25" s="475"/>
      <c r="CF25" s="474"/>
      <c r="CG25" s="531"/>
      <c r="CH25" s="498">
        <v>50</v>
      </c>
      <c r="CI25" s="497">
        <f t="shared" ref="CI25" si="43">BS77</f>
        <v>0</v>
      </c>
      <c r="CJ25" s="496">
        <f ca="1">L76</f>
        <v>0</v>
      </c>
      <c r="CK25" s="481"/>
      <c r="CL25" s="475"/>
      <c r="CM25" s="495">
        <f t="shared" ref="CM25" si="44">CI25*CL25</f>
        <v>0</v>
      </c>
    </row>
    <row r="26" spans="1:91" ht="15" customHeight="1" thickBot="1" x14ac:dyDescent="0.35">
      <c r="A26" s="64"/>
      <c r="B26" s="148"/>
      <c r="C26" s="109"/>
      <c r="D26" s="63"/>
      <c r="E26" s="63"/>
      <c r="F26" s="127"/>
      <c r="G26" s="50"/>
      <c r="H26" s="10"/>
      <c r="I26" s="10"/>
      <c r="J26" s="10"/>
      <c r="K26" s="10"/>
      <c r="L26" s="10"/>
      <c r="M26" s="39"/>
      <c r="N26" s="33">
        <f t="shared" si="11"/>
        <v>0</v>
      </c>
      <c r="O26" s="52">
        <f t="shared" si="12"/>
        <v>0</v>
      </c>
      <c r="P26" s="52">
        <f t="shared" si="13"/>
        <v>0</v>
      </c>
      <c r="Q26" s="53" t="b">
        <f t="shared" si="2"/>
        <v>0</v>
      </c>
      <c r="R26" s="152" t="s">
        <v>175</v>
      </c>
      <c r="S26" s="278">
        <f t="shared" si="14"/>
        <v>0</v>
      </c>
      <c r="T26" s="231"/>
      <c r="U26" s="159" t="e">
        <f t="shared" si="3"/>
        <v>#N/A</v>
      </c>
      <c r="V26" s="41"/>
      <c r="W26" s="70" t="e">
        <f t="shared" si="4"/>
        <v>#N/A</v>
      </c>
      <c r="X26" s="70"/>
      <c r="Y26" s="159"/>
      <c r="Z26" s="159"/>
      <c r="AA26" s="160"/>
      <c r="AB26" s="158" t="e">
        <f t="shared" si="5"/>
        <v>#N/A</v>
      </c>
      <c r="AC26" s="94" t="e">
        <f t="shared" si="15"/>
        <v>#N/A</v>
      </c>
      <c r="AD26" s="95" t="e">
        <f t="shared" si="7"/>
        <v>#N/A</v>
      </c>
      <c r="AE26" s="95" t="e">
        <f t="shared" si="8"/>
        <v>#N/A</v>
      </c>
      <c r="AF26" s="95" t="e">
        <f t="shared" si="9"/>
        <v>#N/A</v>
      </c>
      <c r="AG26" s="96" t="e">
        <f t="shared" si="16"/>
        <v>#N/A</v>
      </c>
      <c r="AH26" s="431"/>
      <c r="AI26" s="91" t="s">
        <v>157</v>
      </c>
      <c r="AJ26" s="36">
        <f>SUMIFS($H$6:$H$69,$C$6:$C$69,AH26,$F$6:$F$69,AI26)</f>
        <v>0</v>
      </c>
      <c r="AK26" s="36">
        <f>SUMIFS($I$6:$I$69,$C$6:$C$69,AH26,$F$6:$F$69,AI26)</f>
        <v>0</v>
      </c>
      <c r="AL26" s="36">
        <f>SUMIFS($J$6:$J$69,$C$6:$C$69,AH26,$F$6:$F$69,AI26)</f>
        <v>0</v>
      </c>
      <c r="AM26" s="36">
        <f>SUMIFS($K$6:$K$69,$C$6:$C$69,AH26,$F$6:$F$69,AI26)</f>
        <v>0</v>
      </c>
      <c r="AN26" s="36">
        <f>SUMIFS($L$6:$L$69,$C$6:$C$69,AH26,$F$6:$F$69,AI26)</f>
        <v>0</v>
      </c>
      <c r="AO26" s="36">
        <f>SUMIFS($M$6:$M$69,$C$6:$C$69,AH26,$F$6:$F$69,AI26)</f>
        <v>0</v>
      </c>
      <c r="AP26" s="91" t="s">
        <v>157</v>
      </c>
      <c r="AQ26" s="83"/>
      <c r="AR26" s="63"/>
      <c r="AS26" s="63"/>
      <c r="AT26" s="63"/>
      <c r="AU26" s="79"/>
      <c r="AV26" s="79"/>
      <c r="AW26" s="55">
        <f>SUMIFS($O$6:$O$69,$C$6:$C$69,AH26,$F$6:$F$69,AI26)</f>
        <v>0</v>
      </c>
      <c r="AX26" s="275"/>
      <c r="AY26" s="80">
        <f>SUMIFS($Q$6:$Q$69,$C$6:$C$69,AH26,$F$6:$F$69,AI26)</f>
        <v>0</v>
      </c>
      <c r="AZ26" s="12"/>
      <c r="BA26" s="12"/>
      <c r="BB26" s="12"/>
      <c r="BC26" s="201"/>
      <c r="BD26" s="222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71">
        <f t="shared" si="42"/>
        <v>0</v>
      </c>
      <c r="BU26" s="71">
        <f t="shared" si="10"/>
        <v>0</v>
      </c>
      <c r="BV26" s="72"/>
      <c r="BW26" s="49"/>
      <c r="BX26" s="12"/>
      <c r="BY26" s="479"/>
      <c r="BZ26" s="480"/>
      <c r="CA26" s="480"/>
      <c r="CB26" s="480"/>
      <c r="CC26" s="480"/>
      <c r="CD26" s="480"/>
      <c r="CE26" s="528"/>
      <c r="CF26" s="533"/>
      <c r="CG26" s="531"/>
      <c r="CH26" s="498">
        <v>-10.6666666666667</v>
      </c>
      <c r="CI26" s="497"/>
      <c r="CJ26" s="497"/>
      <c r="CK26" s="481"/>
      <c r="CL26" s="475"/>
      <c r="CM26" s="495"/>
    </row>
    <row r="27" spans="1:91" ht="15" customHeight="1" x14ac:dyDescent="0.3">
      <c r="A27" s="64"/>
      <c r="B27" s="148"/>
      <c r="C27" s="109"/>
      <c r="D27" s="63"/>
      <c r="E27" s="63"/>
      <c r="F27" s="127"/>
      <c r="G27" s="50"/>
      <c r="H27" s="10"/>
      <c r="I27" s="10"/>
      <c r="J27" s="10"/>
      <c r="K27" s="10"/>
      <c r="L27" s="10"/>
      <c r="M27" s="39"/>
      <c r="N27" s="33">
        <f t="shared" si="11"/>
        <v>0</v>
      </c>
      <c r="O27" s="52">
        <f t="shared" si="12"/>
        <v>0</v>
      </c>
      <c r="P27" s="52">
        <f t="shared" si="13"/>
        <v>0</v>
      </c>
      <c r="Q27" s="53" t="b">
        <f t="shared" si="2"/>
        <v>0</v>
      </c>
      <c r="R27" s="152" t="s">
        <v>175</v>
      </c>
      <c r="S27" s="278">
        <f t="shared" si="14"/>
        <v>0</v>
      </c>
      <c r="T27" s="231"/>
      <c r="U27" s="159" t="e">
        <f t="shared" si="3"/>
        <v>#N/A</v>
      </c>
      <c r="V27" s="41"/>
      <c r="W27" s="70" t="e">
        <f t="shared" si="4"/>
        <v>#N/A</v>
      </c>
      <c r="X27" s="70"/>
      <c r="Y27" s="159"/>
      <c r="Z27" s="159"/>
      <c r="AA27" s="160"/>
      <c r="AB27" s="158" t="e">
        <f t="shared" si="5"/>
        <v>#N/A</v>
      </c>
      <c r="AC27" s="94" t="e">
        <f t="shared" si="15"/>
        <v>#N/A</v>
      </c>
      <c r="AD27" s="95" t="e">
        <f t="shared" si="7"/>
        <v>#N/A</v>
      </c>
      <c r="AE27" s="95" t="e">
        <f t="shared" si="8"/>
        <v>#N/A</v>
      </c>
      <c r="AF27" s="95" t="e">
        <f t="shared" si="9"/>
        <v>#N/A</v>
      </c>
      <c r="AG27" s="96" t="e">
        <f t="shared" si="16"/>
        <v>#N/A</v>
      </c>
      <c r="AH27" s="431"/>
      <c r="AI27" s="1" t="s">
        <v>155</v>
      </c>
      <c r="AJ27" s="36">
        <f>SUMIFS($H$6:$H$69,$C$6:$C$69,AH26,$F$6:$F$69,AI27)</f>
        <v>0</v>
      </c>
      <c r="AK27" s="36">
        <f>SUMIFS($I$6:$I$69,$C$6:$C$69,AH26,$F$6:$F$69,AI27)</f>
        <v>0</v>
      </c>
      <c r="AL27" s="36">
        <f>SUMIFS($J$6:$J$69,$C$6:$C$69,AH26,$F$6:$F$69,AI27)</f>
        <v>0</v>
      </c>
      <c r="AM27" s="36">
        <f>SUMIFS($K$6:$K$69,$C$6:$C$69,AH26,$F$6:$F$69,AI27)</f>
        <v>0</v>
      </c>
      <c r="AN27" s="36">
        <f>SUMIFS($L$6:$L$69,$C$6:$C$69,AH26,$F$6:$F$69,AI27)</f>
        <v>0</v>
      </c>
      <c r="AO27" s="36">
        <f>SUMIFS($M$6:$M$69,$C$6:$C$69,AH26,$F$6:$F$69,AI27)</f>
        <v>0</v>
      </c>
      <c r="AP27" s="1" t="s">
        <v>155</v>
      </c>
      <c r="AQ27" s="83"/>
      <c r="AR27" s="63"/>
      <c r="AS27" s="63"/>
      <c r="AT27" s="63"/>
      <c r="AU27" s="79"/>
      <c r="AV27" s="79"/>
      <c r="AW27" s="55">
        <f>SUMIFS($O$6:$O$69,$C$6:$C$69,AH27,$F$6:$F$69,AI27)</f>
        <v>0</v>
      </c>
      <c r="AX27" s="275"/>
      <c r="AY27" s="80">
        <f>SUMIFS($Q$6:$Q$69,$C$6:$C$69,AH27,$F$6:$F$69,AI27)</f>
        <v>0</v>
      </c>
      <c r="AZ27" s="12"/>
      <c r="BA27" s="12"/>
      <c r="BB27" s="12"/>
      <c r="BC27" s="201"/>
      <c r="BD27" s="222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71">
        <f t="shared" si="42"/>
        <v>0</v>
      </c>
      <c r="BU27" s="71">
        <f t="shared" si="10"/>
        <v>0</v>
      </c>
      <c r="BV27" s="72"/>
      <c r="BW27" s="49"/>
      <c r="BX27" s="12"/>
      <c r="BY27" s="514" t="s">
        <v>177</v>
      </c>
      <c r="BZ27" s="515"/>
      <c r="CA27" s="515"/>
      <c r="CB27" s="516"/>
      <c r="CC27" s="516"/>
      <c r="CD27" s="516"/>
      <c r="CE27" s="516"/>
      <c r="CF27" s="520">
        <f>SUM(CF5:CF20)</f>
        <v>0</v>
      </c>
      <c r="CG27" s="531"/>
      <c r="CH27" s="498">
        <v>1</v>
      </c>
      <c r="CI27" s="497">
        <f t="shared" ref="CI27" si="45">BS79</f>
        <v>0</v>
      </c>
      <c r="CJ27" s="496">
        <f>L78</f>
        <v>0</v>
      </c>
      <c r="CK27" s="481"/>
      <c r="CL27" s="475"/>
      <c r="CM27" s="495">
        <f t="shared" ref="CM27" si="46">CI27*CL27</f>
        <v>0</v>
      </c>
    </row>
    <row r="28" spans="1:91" ht="15" customHeight="1" thickBot="1" x14ac:dyDescent="0.35">
      <c r="A28" s="64"/>
      <c r="B28" s="148"/>
      <c r="C28" s="109"/>
      <c r="D28" s="63"/>
      <c r="E28" s="63"/>
      <c r="F28" s="127"/>
      <c r="G28" s="50"/>
      <c r="H28" s="10"/>
      <c r="I28" s="10"/>
      <c r="J28" s="10"/>
      <c r="K28" s="10"/>
      <c r="L28" s="10"/>
      <c r="M28" s="39"/>
      <c r="N28" s="33">
        <f t="shared" si="11"/>
        <v>0</v>
      </c>
      <c r="O28" s="52">
        <f t="shared" si="12"/>
        <v>0</v>
      </c>
      <c r="P28" s="52">
        <f t="shared" si="13"/>
        <v>0</v>
      </c>
      <c r="Q28" s="53" t="b">
        <f t="shared" si="2"/>
        <v>0</v>
      </c>
      <c r="R28" s="152" t="s">
        <v>175</v>
      </c>
      <c r="S28" s="278">
        <f t="shared" si="14"/>
        <v>0</v>
      </c>
      <c r="T28" s="231"/>
      <c r="U28" s="159" t="e">
        <f t="shared" si="3"/>
        <v>#N/A</v>
      </c>
      <c r="V28" s="41"/>
      <c r="W28" s="70" t="e">
        <f t="shared" si="4"/>
        <v>#N/A</v>
      </c>
      <c r="X28" s="70"/>
      <c r="Y28" s="159"/>
      <c r="Z28" s="159"/>
      <c r="AA28" s="160"/>
      <c r="AB28" s="158" t="e">
        <f t="shared" si="5"/>
        <v>#N/A</v>
      </c>
      <c r="AC28" s="94" t="e">
        <f t="shared" si="15"/>
        <v>#N/A</v>
      </c>
      <c r="AD28" s="95" t="e">
        <f t="shared" si="7"/>
        <v>#N/A</v>
      </c>
      <c r="AE28" s="95" t="e">
        <f t="shared" si="8"/>
        <v>#N/A</v>
      </c>
      <c r="AF28" s="95" t="e">
        <f t="shared" si="9"/>
        <v>#N/A</v>
      </c>
      <c r="AG28" s="96" t="e">
        <f t="shared" si="16"/>
        <v>#N/A</v>
      </c>
      <c r="AH28" s="431"/>
      <c r="AI28" s="91" t="s">
        <v>157</v>
      </c>
      <c r="AJ28" s="36">
        <f>SUMIFS($H$6:$H$69,$C$6:$C$69,AH28,$F$6:$F$69,AI28)</f>
        <v>0</v>
      </c>
      <c r="AK28" s="36">
        <f>SUMIFS($I$6:$I$69,$C$6:$C$69,AH28,$F$6:$F$69,AI28)</f>
        <v>0</v>
      </c>
      <c r="AL28" s="36">
        <f>SUMIFS($J$6:$J$69,$C$6:$C$69,AH28,$F$6:$F$69,AI28)</f>
        <v>0</v>
      </c>
      <c r="AM28" s="36">
        <f>SUMIFS($K$6:$K$69,$C$6:$C$69,AH28,$F$6:$F$69,AI28)</f>
        <v>0</v>
      </c>
      <c r="AN28" s="36">
        <f>SUMIFS($L$6:$L$69,$C$6:$C$69,AH28,$F$6:$F$69,AI28)</f>
        <v>0</v>
      </c>
      <c r="AO28" s="36">
        <f>SUMIFS($M$6:$M$69,$C$6:$C$69,AH28,$F$6:$F$69,AI28)</f>
        <v>0</v>
      </c>
      <c r="AP28" s="91" t="s">
        <v>157</v>
      </c>
      <c r="AQ28" s="83"/>
      <c r="AR28" s="63"/>
      <c r="AS28" s="63"/>
      <c r="AT28" s="63"/>
      <c r="AU28" s="79"/>
      <c r="AV28" s="79"/>
      <c r="AW28" s="55">
        <f>SUMIFS($O$6:$O$69,$C$6:$C$69,AH28,$F$6:$F$69,AI28)</f>
        <v>0</v>
      </c>
      <c r="AX28" s="275"/>
      <c r="AY28" s="80">
        <f>SUMIFS($Q$6:$Q$69,$C$6:$C$69,AH28,$F$6:$F$69,AI28)</f>
        <v>0</v>
      </c>
      <c r="AZ28" s="12"/>
      <c r="BA28" s="12"/>
      <c r="BB28" s="12"/>
      <c r="BC28" s="201"/>
      <c r="BD28" s="222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71">
        <f t="shared" si="42"/>
        <v>0</v>
      </c>
      <c r="BU28" s="71">
        <f t="shared" si="10"/>
        <v>0</v>
      </c>
      <c r="BV28" s="72"/>
      <c r="BW28" s="49"/>
      <c r="BX28" s="12"/>
      <c r="BY28" s="517"/>
      <c r="BZ28" s="518"/>
      <c r="CA28" s="518"/>
      <c r="CB28" s="519"/>
      <c r="CC28" s="519"/>
      <c r="CD28" s="519"/>
      <c r="CE28" s="519"/>
      <c r="CF28" s="521"/>
      <c r="CG28" s="532"/>
      <c r="CH28" s="530"/>
      <c r="CI28" s="526"/>
      <c r="CJ28" s="526"/>
      <c r="CK28" s="527"/>
      <c r="CL28" s="528"/>
      <c r="CM28" s="529"/>
    </row>
    <row r="29" spans="1:91" ht="15" customHeight="1" x14ac:dyDescent="0.3">
      <c r="A29" s="64"/>
      <c r="B29" s="148"/>
      <c r="C29" s="109"/>
      <c r="D29" s="63"/>
      <c r="E29" s="63"/>
      <c r="F29" s="127"/>
      <c r="G29" s="50"/>
      <c r="H29" s="10"/>
      <c r="I29" s="10"/>
      <c r="J29" s="10"/>
      <c r="K29" s="10"/>
      <c r="L29" s="10"/>
      <c r="M29" s="39"/>
      <c r="N29" s="33">
        <f t="shared" si="11"/>
        <v>0</v>
      </c>
      <c r="O29" s="52">
        <f t="shared" si="12"/>
        <v>0</v>
      </c>
      <c r="P29" s="52">
        <f t="shared" si="13"/>
        <v>0</v>
      </c>
      <c r="Q29" s="53" t="b">
        <f t="shared" si="2"/>
        <v>0</v>
      </c>
      <c r="R29" s="152" t="s">
        <v>175</v>
      </c>
      <c r="S29" s="278">
        <f t="shared" si="14"/>
        <v>0</v>
      </c>
      <c r="T29" s="231"/>
      <c r="U29" s="159" t="e">
        <f t="shared" si="3"/>
        <v>#N/A</v>
      </c>
      <c r="V29" s="41"/>
      <c r="W29" s="70" t="e">
        <f t="shared" si="4"/>
        <v>#N/A</v>
      </c>
      <c r="X29" s="70"/>
      <c r="Y29" s="159"/>
      <c r="Z29" s="159"/>
      <c r="AA29" s="160"/>
      <c r="AB29" s="158" t="e">
        <f t="shared" si="5"/>
        <v>#N/A</v>
      </c>
      <c r="AC29" s="94" t="e">
        <f t="shared" si="15"/>
        <v>#N/A</v>
      </c>
      <c r="AD29" s="95" t="e">
        <f t="shared" si="7"/>
        <v>#N/A</v>
      </c>
      <c r="AE29" s="95" t="e">
        <f t="shared" si="8"/>
        <v>#N/A</v>
      </c>
      <c r="AF29" s="95" t="e">
        <f t="shared" si="9"/>
        <v>#N/A</v>
      </c>
      <c r="AG29" s="96" t="e">
        <f t="shared" si="16"/>
        <v>#N/A</v>
      </c>
      <c r="AH29" s="431"/>
      <c r="AI29" s="1" t="s">
        <v>155</v>
      </c>
      <c r="AJ29" s="36">
        <f>SUMIFS($H$6:$H$69,$C$6:$C$69,AH28,$F$6:$F$69,AI29)</f>
        <v>0</v>
      </c>
      <c r="AK29" s="36">
        <f>SUMIFS($I$6:$I$69,$C$6:$C$69,AH28,$F$6:$F$69,AI29)</f>
        <v>0</v>
      </c>
      <c r="AL29" s="36">
        <f>SUMIFS($J$6:$J$69,$C$6:$C$69,AH28,$F$6:$F$69,AI29)</f>
        <v>0</v>
      </c>
      <c r="AM29" s="36">
        <f>SUMIFS($K$6:$K$69,$C$6:$C$69,AH28,$F$6:$F$69,AI29)</f>
        <v>0</v>
      </c>
      <c r="AN29" s="36">
        <f>SUMIFS($L$6:$L$69,$C$6:$C$69,AH28,$F$6:$F$69,AI29)</f>
        <v>0</v>
      </c>
      <c r="AO29" s="36">
        <f>SUMIFS($M$6:$M$69,$C$6:$C$69,AH28,$F$6:$F$69,AI29)</f>
        <v>0</v>
      </c>
      <c r="AP29" s="1" t="s">
        <v>155</v>
      </c>
      <c r="AQ29" s="83"/>
      <c r="AR29" s="63"/>
      <c r="AS29" s="63"/>
      <c r="AT29" s="63"/>
      <c r="AU29" s="79"/>
      <c r="AV29" s="79"/>
      <c r="AW29" s="55">
        <f>SUMIFS($O$6:$O$69,$C$6:$C$69,AH29,$F$6:$F$69,AI29)</f>
        <v>0</v>
      </c>
      <c r="AX29" s="275"/>
      <c r="AY29" s="80">
        <f>SUMIFS($Q$6:$Q$69,$C$6:$C$69,AH29,$F$6:$F$69,AI29)</f>
        <v>0</v>
      </c>
      <c r="AZ29" s="12"/>
      <c r="BA29" s="12"/>
      <c r="BB29" s="12"/>
      <c r="BC29" s="201"/>
      <c r="BD29" s="222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71">
        <f t="shared" si="42"/>
        <v>0</v>
      </c>
      <c r="BU29" s="71">
        <f t="shared" si="10"/>
        <v>0</v>
      </c>
      <c r="BV29" s="72"/>
      <c r="BW29" s="49"/>
      <c r="BX29" s="12"/>
      <c r="BY29" s="227" t="s">
        <v>178</v>
      </c>
      <c r="BZ29" s="223"/>
      <c r="CA29" s="223"/>
      <c r="CB29" s="223"/>
      <c r="CC29" s="223"/>
      <c r="CD29" s="223"/>
      <c r="CE29" s="223"/>
      <c r="CF29" s="223"/>
      <c r="CG29" s="134"/>
      <c r="CH29" s="522" t="s">
        <v>146</v>
      </c>
      <c r="CI29" s="522"/>
      <c r="CJ29" s="522"/>
      <c r="CK29" s="522"/>
      <c r="CL29" s="515"/>
      <c r="CM29" s="512">
        <f>SUM(CM5:CM22)</f>
        <v>9800</v>
      </c>
    </row>
    <row r="30" spans="1:91" ht="15" customHeight="1" thickBot="1" x14ac:dyDescent="0.35">
      <c r="A30" s="64"/>
      <c r="B30" s="148"/>
      <c r="C30" s="109"/>
      <c r="D30" s="63"/>
      <c r="E30" s="63"/>
      <c r="F30" s="127"/>
      <c r="G30" s="50"/>
      <c r="H30" s="10"/>
      <c r="I30" s="10"/>
      <c r="J30" s="10"/>
      <c r="K30" s="10"/>
      <c r="L30" s="10"/>
      <c r="M30" s="39"/>
      <c r="N30" s="33">
        <f t="shared" si="11"/>
        <v>0</v>
      </c>
      <c r="O30" s="52">
        <f t="shared" si="12"/>
        <v>0</v>
      </c>
      <c r="P30" s="52">
        <f t="shared" si="13"/>
        <v>0</v>
      </c>
      <c r="Q30" s="53" t="b">
        <f t="shared" si="2"/>
        <v>0</v>
      </c>
      <c r="R30" s="152" t="s">
        <v>175</v>
      </c>
      <c r="S30" s="278">
        <f t="shared" si="14"/>
        <v>0</v>
      </c>
      <c r="T30" s="231"/>
      <c r="U30" s="159" t="e">
        <f t="shared" si="3"/>
        <v>#N/A</v>
      </c>
      <c r="V30" s="41"/>
      <c r="W30" s="70" t="e">
        <f t="shared" si="4"/>
        <v>#N/A</v>
      </c>
      <c r="X30" s="70"/>
      <c r="Y30" s="159"/>
      <c r="Z30" s="159"/>
      <c r="AA30" s="160"/>
      <c r="AB30" s="158" t="e">
        <f t="shared" si="5"/>
        <v>#N/A</v>
      </c>
      <c r="AC30" s="94" t="e">
        <f t="shared" si="15"/>
        <v>#N/A</v>
      </c>
      <c r="AD30" s="95" t="e">
        <f t="shared" si="7"/>
        <v>#N/A</v>
      </c>
      <c r="AE30" s="95" t="e">
        <f t="shared" si="8"/>
        <v>#N/A</v>
      </c>
      <c r="AF30" s="95" t="e">
        <f t="shared" si="9"/>
        <v>#N/A</v>
      </c>
      <c r="AG30" s="96" t="e">
        <f t="shared" si="16"/>
        <v>#N/A</v>
      </c>
      <c r="AH30" s="431"/>
      <c r="AI30" s="91" t="s">
        <v>157</v>
      </c>
      <c r="AJ30" s="36">
        <f>SUMIFS($H$6:$H$69,$C$6:$C$69,AH30,$F$6:$F$69,AI30)</f>
        <v>0</v>
      </c>
      <c r="AK30" s="36">
        <f>SUMIFS($I$6:$I$69,$C$6:$C$69,AH30,$F$6:$F$69,AI30)</f>
        <v>0</v>
      </c>
      <c r="AL30" s="36">
        <f>SUMIFS($J$6:$J$69,$C$6:$C$69,AH30,$F$6:$F$69,AI30)</f>
        <v>0</v>
      </c>
      <c r="AM30" s="36">
        <f>SUMIFS($K$6:$K$69,$C$6:$C$69,AH30,$F$6:$F$69,AI30)</f>
        <v>0</v>
      </c>
      <c r="AN30" s="36">
        <f>SUMIFS($L$6:$L$69,$C$6:$C$69,AH30,$F$6:$F$69,AI30)</f>
        <v>0</v>
      </c>
      <c r="AO30" s="36">
        <f>SUMIFS($M$6:$M$69,$C$6:$C$69,AH30,$F$6:$F$69,AI30)</f>
        <v>0</v>
      </c>
      <c r="AP30" s="91" t="s">
        <v>157</v>
      </c>
      <c r="AQ30" s="83"/>
      <c r="AR30" s="63"/>
      <c r="AS30" s="63"/>
      <c r="AT30" s="63"/>
      <c r="AU30" s="79"/>
      <c r="AV30" s="79"/>
      <c r="AW30" s="55">
        <f>SUMIFS($O$6:$O$69,$C$6:$C$69,AH30,$F$6:$F$69,AI30)</f>
        <v>0</v>
      </c>
      <c r="AX30" s="275"/>
      <c r="AY30" s="80">
        <f>SUMIFS($Q$6:$Q$69,$C$6:$C$69,AH30,$F$6:$F$69,AI30)</f>
        <v>0</v>
      </c>
      <c r="AZ30" s="12"/>
      <c r="BA30" s="12"/>
      <c r="BB30" s="12"/>
      <c r="BC30" s="201"/>
      <c r="BD30" s="222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71">
        <f t="shared" si="42"/>
        <v>0</v>
      </c>
      <c r="BU30" s="71">
        <f t="shared" si="10"/>
        <v>0</v>
      </c>
      <c r="BV30" s="72"/>
      <c r="BW30" s="49"/>
      <c r="BX30" s="12"/>
      <c r="BY30" s="228"/>
      <c r="BZ30" s="224"/>
      <c r="CA30" s="224"/>
      <c r="CB30" s="224"/>
      <c r="CC30" s="224"/>
      <c r="CD30" s="224"/>
      <c r="CE30" s="224"/>
      <c r="CF30" s="224"/>
      <c r="CG30" s="135"/>
      <c r="CH30" s="523"/>
      <c r="CI30" s="523"/>
      <c r="CJ30" s="523"/>
      <c r="CK30" s="523"/>
      <c r="CL30" s="518"/>
      <c r="CM30" s="513"/>
    </row>
    <row r="31" spans="1:91" ht="15" customHeight="1" x14ac:dyDescent="0.3">
      <c r="A31" s="64"/>
      <c r="B31" s="148"/>
      <c r="C31" s="109"/>
      <c r="D31" s="63"/>
      <c r="E31" s="63"/>
      <c r="F31" s="127"/>
      <c r="G31" s="50"/>
      <c r="H31" s="10"/>
      <c r="I31" s="10"/>
      <c r="J31" s="10"/>
      <c r="K31" s="10"/>
      <c r="L31" s="10"/>
      <c r="M31" s="39"/>
      <c r="N31" s="33">
        <f t="shared" si="11"/>
        <v>0</v>
      </c>
      <c r="O31" s="52">
        <f t="shared" si="12"/>
        <v>0</v>
      </c>
      <c r="P31" s="52">
        <f t="shared" si="13"/>
        <v>0</v>
      </c>
      <c r="Q31" s="53" t="b">
        <f t="shared" si="2"/>
        <v>0</v>
      </c>
      <c r="R31" s="152" t="s">
        <v>175</v>
      </c>
      <c r="S31" s="278">
        <f t="shared" si="14"/>
        <v>0</v>
      </c>
      <c r="T31" s="231"/>
      <c r="U31" s="159" t="e">
        <f t="shared" si="3"/>
        <v>#N/A</v>
      </c>
      <c r="V31" s="41"/>
      <c r="W31" s="70" t="e">
        <f t="shared" si="4"/>
        <v>#N/A</v>
      </c>
      <c r="X31" s="70"/>
      <c r="Y31" s="159"/>
      <c r="Z31" s="159"/>
      <c r="AA31" s="160"/>
      <c r="AB31" s="158" t="e">
        <f t="shared" si="5"/>
        <v>#N/A</v>
      </c>
      <c r="AC31" s="94" t="e">
        <f t="shared" si="15"/>
        <v>#N/A</v>
      </c>
      <c r="AD31" s="95" t="e">
        <f t="shared" si="7"/>
        <v>#N/A</v>
      </c>
      <c r="AE31" s="95" t="e">
        <f t="shared" si="8"/>
        <v>#N/A</v>
      </c>
      <c r="AF31" s="95" t="e">
        <f t="shared" si="9"/>
        <v>#N/A</v>
      </c>
      <c r="AG31" s="96" t="e">
        <f t="shared" si="16"/>
        <v>#N/A</v>
      </c>
      <c r="AH31" s="431"/>
      <c r="AI31" s="1" t="s">
        <v>155</v>
      </c>
      <c r="AJ31" s="36">
        <f>SUMIFS($H$6:$H$69,$C$6:$C$69,AH30,$F$6:$F$69,AI31)</f>
        <v>0</v>
      </c>
      <c r="AK31" s="36">
        <f>SUMIFS($I$6:$I$69,$C$6:$C$69,AH30,$F$6:$F$69,AI31)</f>
        <v>0</v>
      </c>
      <c r="AL31" s="36">
        <f>SUMIFS($J$6:$J$69,$C$6:$C$69,AH30,$F$6:$F$69,AI31)</f>
        <v>0</v>
      </c>
      <c r="AM31" s="36">
        <f>SUMIFS($K$6:$K$69,$C$6:$C$69,AH30,$F$6:$F$69,AI31)</f>
        <v>0</v>
      </c>
      <c r="AN31" s="36">
        <f>SUMIFS($L$6:$L$69,$C$6:$C$69,AH30,$F$6:$F$69,AI31)</f>
        <v>0</v>
      </c>
      <c r="AO31" s="36">
        <f>SUMIFS($M$6:$M$69,$C$6:$C$69,AH30,$F$6:$F$69,AI31)</f>
        <v>0</v>
      </c>
      <c r="AP31" s="1" t="s">
        <v>155</v>
      </c>
      <c r="AQ31" s="83"/>
      <c r="AR31" s="63"/>
      <c r="AS31" s="63"/>
      <c r="AT31" s="63"/>
      <c r="AU31" s="79"/>
      <c r="AV31" s="79"/>
      <c r="AW31" s="55">
        <f>SUMIFS($O$6:$O$69,$C$6:$C$69,AH31,$F$6:$F$69,AI31)</f>
        <v>0</v>
      </c>
      <c r="AX31" s="275"/>
      <c r="AY31" s="80">
        <f>SUMIFS($Q$6:$Q$69,$C$6:$C$69,AH31,$F$6:$F$69,AI31)</f>
        <v>0</v>
      </c>
      <c r="BC31" s="201"/>
      <c r="BD31" s="222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71">
        <f t="shared" si="42"/>
        <v>0</v>
      </c>
      <c r="BU31" s="71">
        <f t="shared" si="10"/>
        <v>0</v>
      </c>
      <c r="BV31" s="72"/>
      <c r="BW31" s="49"/>
      <c r="BX31" s="12"/>
      <c r="CG31" s="223"/>
      <c r="CH31" s="223"/>
      <c r="CI31" s="223"/>
      <c r="CJ31" s="223"/>
      <c r="CK31" s="223"/>
      <c r="CL31" s="296"/>
      <c r="CM31" s="493">
        <f>CM29+CF27</f>
        <v>9800</v>
      </c>
    </row>
    <row r="32" spans="1:91" ht="15" customHeight="1" thickBot="1" x14ac:dyDescent="0.35">
      <c r="A32" s="64"/>
      <c r="B32" s="148"/>
      <c r="C32" s="109"/>
      <c r="D32" s="63"/>
      <c r="E32" s="63"/>
      <c r="F32" s="127"/>
      <c r="G32" s="50"/>
      <c r="H32" s="10"/>
      <c r="I32" s="10"/>
      <c r="J32" s="10"/>
      <c r="K32" s="10"/>
      <c r="L32" s="10"/>
      <c r="M32" s="39"/>
      <c r="N32" s="33">
        <f t="shared" si="11"/>
        <v>0</v>
      </c>
      <c r="O32" s="52">
        <f t="shared" si="12"/>
        <v>0</v>
      </c>
      <c r="P32" s="52">
        <f t="shared" si="13"/>
        <v>0</v>
      </c>
      <c r="Q32" s="53" t="b">
        <f t="shared" si="2"/>
        <v>0</v>
      </c>
      <c r="R32" s="152" t="s">
        <v>175</v>
      </c>
      <c r="S32" s="278">
        <f t="shared" si="14"/>
        <v>0</v>
      </c>
      <c r="T32" s="231"/>
      <c r="U32" s="159" t="e">
        <f t="shared" si="3"/>
        <v>#N/A</v>
      </c>
      <c r="V32" s="41"/>
      <c r="W32" s="70" t="e">
        <f t="shared" si="4"/>
        <v>#N/A</v>
      </c>
      <c r="X32" s="70"/>
      <c r="Y32" s="159"/>
      <c r="Z32" s="159"/>
      <c r="AA32" s="160"/>
      <c r="AB32" s="158" t="e">
        <f t="shared" si="5"/>
        <v>#N/A</v>
      </c>
      <c r="AC32" s="94" t="e">
        <f t="shared" si="15"/>
        <v>#N/A</v>
      </c>
      <c r="AD32" s="95" t="e">
        <f t="shared" si="7"/>
        <v>#N/A</v>
      </c>
      <c r="AE32" s="95" t="e">
        <f t="shared" si="8"/>
        <v>#N/A</v>
      </c>
      <c r="AF32" s="95" t="e">
        <f t="shared" si="9"/>
        <v>#N/A</v>
      </c>
      <c r="AG32" s="96" t="e">
        <f t="shared" si="16"/>
        <v>#N/A</v>
      </c>
      <c r="AH32" s="431"/>
      <c r="AI32" s="91" t="s">
        <v>157</v>
      </c>
      <c r="AJ32" s="36">
        <f>SUMIFS($H$6:$H$69,$C$6:$C$69,AH32,$F$6:$F$69,AI32)</f>
        <v>0</v>
      </c>
      <c r="AK32" s="36">
        <f>SUMIFS($I$6:$I$69,$C$6:$C$69,AH32,$F$6:$F$69,AI32)</f>
        <v>0</v>
      </c>
      <c r="AL32" s="36">
        <f>SUMIFS($J$6:$J$69,$C$6:$C$69,AH32,$F$6:$F$69,AI32)</f>
        <v>0</v>
      </c>
      <c r="AM32" s="36">
        <f>SUMIFS($K$6:$K$69,$C$6:$C$69,AH32,$F$6:$F$69,AI32)</f>
        <v>0</v>
      </c>
      <c r="AN32" s="36">
        <f>SUMIFS($L$6:$L$69,$C$6:$C$69,AH32,$F$6:$F$69,AI32)</f>
        <v>0</v>
      </c>
      <c r="AO32" s="36">
        <f>SUMIFS($M$6:$M$69,$C$6:$C$69,AH32,$F$6:$F$69,AI32)</f>
        <v>0</v>
      </c>
      <c r="AP32" s="91" t="s">
        <v>157</v>
      </c>
      <c r="AQ32" s="83"/>
      <c r="AR32" s="63"/>
      <c r="AS32" s="63"/>
      <c r="AT32" s="63"/>
      <c r="AU32" s="79"/>
      <c r="AV32" s="79"/>
      <c r="AW32" s="55">
        <f>SUMIFS($O$6:$O$69,$C$6:$C$69,AH32,$F$6:$F$69,AI32)</f>
        <v>0</v>
      </c>
      <c r="AX32" s="275"/>
      <c r="AY32" s="80">
        <f>SUMIFS($Q$6:$Q$69,$C$6:$C$69,AH32,$F$6:$F$69,AI32)</f>
        <v>0</v>
      </c>
      <c r="BC32" s="201"/>
      <c r="BD32" s="222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71">
        <f t="shared" si="42"/>
        <v>0</v>
      </c>
      <c r="BU32" s="71">
        <f t="shared" si="10"/>
        <v>0</v>
      </c>
      <c r="BV32" s="72"/>
      <c r="BW32" s="59"/>
      <c r="BX32" s="12"/>
      <c r="CG32" s="224"/>
      <c r="CH32" s="224"/>
      <c r="CI32" s="224"/>
      <c r="CJ32" s="224"/>
      <c r="CK32" s="224"/>
      <c r="CL32" s="297"/>
      <c r="CM32" s="494"/>
    </row>
    <row r="33" spans="1:86" x14ac:dyDescent="0.3">
      <c r="A33" s="64"/>
      <c r="B33" s="148"/>
      <c r="C33" s="109"/>
      <c r="D33" s="63"/>
      <c r="E33" s="63"/>
      <c r="F33" s="127"/>
      <c r="G33" s="50"/>
      <c r="H33" s="10"/>
      <c r="I33" s="10"/>
      <c r="J33" s="10"/>
      <c r="K33" s="10"/>
      <c r="L33" s="10"/>
      <c r="M33" s="39"/>
      <c r="N33" s="33">
        <f t="shared" si="11"/>
        <v>0</v>
      </c>
      <c r="O33" s="52">
        <f t="shared" si="12"/>
        <v>0</v>
      </c>
      <c r="P33" s="52">
        <f t="shared" si="13"/>
        <v>0</v>
      </c>
      <c r="Q33" s="53" t="b">
        <f t="shared" si="2"/>
        <v>0</v>
      </c>
      <c r="R33" s="152" t="s">
        <v>175</v>
      </c>
      <c r="S33" s="278">
        <f t="shared" si="14"/>
        <v>0</v>
      </c>
      <c r="T33" s="231"/>
      <c r="U33" s="159" t="e">
        <f t="shared" si="3"/>
        <v>#N/A</v>
      </c>
      <c r="V33" s="41"/>
      <c r="W33" s="70" t="e">
        <f t="shared" si="4"/>
        <v>#N/A</v>
      </c>
      <c r="X33" s="70"/>
      <c r="Y33" s="159"/>
      <c r="Z33" s="159"/>
      <c r="AA33" s="160"/>
      <c r="AB33" s="158" t="e">
        <f t="shared" si="5"/>
        <v>#N/A</v>
      </c>
      <c r="AC33" s="94" t="e">
        <f t="shared" si="15"/>
        <v>#N/A</v>
      </c>
      <c r="AD33" s="95" t="e">
        <f t="shared" si="7"/>
        <v>#N/A</v>
      </c>
      <c r="AE33" s="95" t="e">
        <f t="shared" si="8"/>
        <v>#N/A</v>
      </c>
      <c r="AF33" s="95" t="e">
        <f t="shared" si="9"/>
        <v>#N/A</v>
      </c>
      <c r="AG33" s="96" t="e">
        <f t="shared" si="16"/>
        <v>#N/A</v>
      </c>
      <c r="AH33" s="431"/>
      <c r="AI33" s="1" t="s">
        <v>155</v>
      </c>
      <c r="AJ33" s="36">
        <f>SUMIFS($H$6:$H$69,$C$6:$C$69,AH32,$F$6:$F$69,AI33)</f>
        <v>0</v>
      </c>
      <c r="AK33" s="36">
        <f>SUMIFS($I$6:$I$69,$C$6:$C$69,AH32,$F$6:$F$69,AI33)</f>
        <v>0</v>
      </c>
      <c r="AL33" s="36">
        <f>SUMIFS($J$6:$J$69,$C$6:$C$69,AH32,$F$6:$F$69,AI33)</f>
        <v>0</v>
      </c>
      <c r="AM33" s="36">
        <f>SUMIFS($K$6:$K$69,$C$6:$C$69,AH32,$F$6:$F$69,AI33)</f>
        <v>0</v>
      </c>
      <c r="AN33" s="36">
        <f>SUMIFS($L$6:$L$69,$C$6:$C$69,AH32,$F$6:$F$69,AI33)</f>
        <v>0</v>
      </c>
      <c r="AO33" s="36">
        <f>SUMIFS($M$6:$M$69,$C$6:$C$69,AH32,$F$6:$F$69,AI33)</f>
        <v>0</v>
      </c>
      <c r="AP33" s="1" t="s">
        <v>155</v>
      </c>
      <c r="AQ33" s="83"/>
      <c r="AR33" s="63"/>
      <c r="AS33" s="63"/>
      <c r="AT33" s="63"/>
      <c r="AU33" s="79"/>
      <c r="AV33" s="79"/>
      <c r="AW33" s="55">
        <f>SUMIFS($O$6:$O$69,$C$6:$C$69,AH33,$F$6:$F$69,AI33)</f>
        <v>0</v>
      </c>
      <c r="AX33" s="275"/>
      <c r="AY33" s="80">
        <f>SUMIFS($Q$6:$Q$69,$C$6:$C$69,AH33,$F$6:$F$69,AI33)</f>
        <v>0</v>
      </c>
      <c r="BC33" s="201"/>
      <c r="BD33" s="222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71">
        <f t="shared" si="42"/>
        <v>0</v>
      </c>
      <c r="BU33" s="71">
        <f t="shared" si="10"/>
        <v>0</v>
      </c>
      <c r="BV33" s="72"/>
      <c r="BW33" s="49"/>
      <c r="BX33" s="12"/>
      <c r="CG33" s="51"/>
      <c r="CH33" s="12"/>
    </row>
    <row r="34" spans="1:86" x14ac:dyDescent="0.3">
      <c r="A34" s="64"/>
      <c r="B34" s="148"/>
      <c r="C34" s="109"/>
      <c r="D34" s="63"/>
      <c r="E34" s="63"/>
      <c r="F34" s="127"/>
      <c r="G34" s="50"/>
      <c r="H34" s="10"/>
      <c r="I34" s="10"/>
      <c r="J34" s="10"/>
      <c r="K34" s="10"/>
      <c r="L34" s="10"/>
      <c r="M34" s="39"/>
      <c r="N34" s="33">
        <f t="shared" si="11"/>
        <v>0</v>
      </c>
      <c r="O34" s="52">
        <f t="shared" si="12"/>
        <v>0</v>
      </c>
      <c r="P34" s="52">
        <f t="shared" si="13"/>
        <v>0</v>
      </c>
      <c r="Q34" s="53" t="b">
        <f t="shared" si="2"/>
        <v>0</v>
      </c>
      <c r="R34" s="152" t="s">
        <v>175</v>
      </c>
      <c r="S34" s="278">
        <f t="shared" si="14"/>
        <v>0</v>
      </c>
      <c r="T34" s="231"/>
      <c r="U34" s="159" t="e">
        <f t="shared" si="3"/>
        <v>#N/A</v>
      </c>
      <c r="V34" s="41"/>
      <c r="W34" s="70" t="e">
        <f t="shared" si="4"/>
        <v>#N/A</v>
      </c>
      <c r="X34" s="70"/>
      <c r="Y34" s="159"/>
      <c r="Z34" s="159"/>
      <c r="AA34" s="160"/>
      <c r="AB34" s="158" t="e">
        <f t="shared" si="5"/>
        <v>#N/A</v>
      </c>
      <c r="AC34" s="94" t="e">
        <f t="shared" si="15"/>
        <v>#N/A</v>
      </c>
      <c r="AD34" s="95" t="e">
        <f t="shared" si="7"/>
        <v>#N/A</v>
      </c>
      <c r="AE34" s="95" t="e">
        <f t="shared" si="8"/>
        <v>#N/A</v>
      </c>
      <c r="AF34" s="95" t="e">
        <f t="shared" si="9"/>
        <v>#N/A</v>
      </c>
      <c r="AG34" s="96" t="e">
        <f t="shared" si="16"/>
        <v>#N/A</v>
      </c>
      <c r="AH34" s="431"/>
      <c r="AI34" s="91" t="s">
        <v>157</v>
      </c>
      <c r="AJ34" s="36">
        <f>SUMIFS($H$6:$H$69,$C$6:$C$69,AH34,$F$6:$F$69,AI34)</f>
        <v>0</v>
      </c>
      <c r="AK34" s="36">
        <f>SUMIFS($I$6:$I$69,$C$6:$C$69,AH34,$F$6:$F$69,AI34)</f>
        <v>0</v>
      </c>
      <c r="AL34" s="36">
        <f>SUMIFS($J$6:$J$69,$C$6:$C$69,AH34,$F$6:$F$69,AI34)</f>
        <v>0</v>
      </c>
      <c r="AM34" s="36">
        <f>SUMIFS($K$6:$K$69,$C$6:$C$69,AH34,$F$6:$F$69,AI34)</f>
        <v>0</v>
      </c>
      <c r="AN34" s="36">
        <f>SUMIFS($L$6:$L$69,$C$6:$C$69,AH34,$F$6:$F$69,AI34)</f>
        <v>0</v>
      </c>
      <c r="AO34" s="36">
        <f>SUMIFS($M$6:$M$69,$C$6:$C$69,AH34,$F$6:$F$69,AI34)</f>
        <v>0</v>
      </c>
      <c r="AP34" s="91" t="s">
        <v>157</v>
      </c>
      <c r="AQ34" s="83"/>
      <c r="AR34" s="63"/>
      <c r="AS34" s="63"/>
      <c r="AT34" s="63"/>
      <c r="AU34" s="79"/>
      <c r="AV34" s="79"/>
      <c r="AW34" s="55">
        <f>SUMIFS($O$6:$O$69,$C$6:$C$69,AH34,$F$6:$F$69,AI34)</f>
        <v>0</v>
      </c>
      <c r="AX34" s="275"/>
      <c r="AY34" s="80">
        <f>SUMIFS($Q$6:$Q$69,$C$6:$C$69,AH34,$F$6:$F$69,AI34)</f>
        <v>0</v>
      </c>
      <c r="BC34" s="201"/>
      <c r="BD34" s="222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71">
        <f t="shared" si="42"/>
        <v>0</v>
      </c>
      <c r="BU34" s="71">
        <f t="shared" si="10"/>
        <v>0</v>
      </c>
      <c r="BV34" s="72"/>
      <c r="CG34" s="51"/>
      <c r="CH34" s="12"/>
    </row>
    <row r="35" spans="1:86" x14ac:dyDescent="0.3">
      <c r="A35" s="64"/>
      <c r="B35" s="148"/>
      <c r="C35" s="109"/>
      <c r="D35" s="63"/>
      <c r="E35" s="63"/>
      <c r="F35" s="127"/>
      <c r="G35" s="50"/>
      <c r="H35" s="10"/>
      <c r="I35" s="10"/>
      <c r="J35" s="10"/>
      <c r="K35" s="10"/>
      <c r="L35" s="10"/>
      <c r="M35" s="39"/>
      <c r="N35" s="33">
        <f t="shared" si="11"/>
        <v>0</v>
      </c>
      <c r="O35" s="52">
        <f t="shared" si="12"/>
        <v>0</v>
      </c>
      <c r="P35" s="52">
        <f t="shared" si="13"/>
        <v>0</v>
      </c>
      <c r="Q35" s="53" t="b">
        <f t="shared" si="2"/>
        <v>0</v>
      </c>
      <c r="R35" s="152" t="s">
        <v>175</v>
      </c>
      <c r="S35" s="278">
        <f t="shared" si="14"/>
        <v>0</v>
      </c>
      <c r="T35" s="231"/>
      <c r="U35" s="159" t="e">
        <f t="shared" si="3"/>
        <v>#N/A</v>
      </c>
      <c r="V35" s="41"/>
      <c r="W35" s="70" t="e">
        <f t="shared" si="4"/>
        <v>#N/A</v>
      </c>
      <c r="X35" s="70"/>
      <c r="Y35" s="159"/>
      <c r="Z35" s="159"/>
      <c r="AA35" s="160"/>
      <c r="AB35" s="158" t="e">
        <f t="shared" si="5"/>
        <v>#N/A</v>
      </c>
      <c r="AC35" s="94" t="e">
        <f t="shared" si="15"/>
        <v>#N/A</v>
      </c>
      <c r="AD35" s="95" t="e">
        <f t="shared" si="7"/>
        <v>#N/A</v>
      </c>
      <c r="AE35" s="95" t="e">
        <f t="shared" si="8"/>
        <v>#N/A</v>
      </c>
      <c r="AF35" s="95" t="e">
        <f t="shared" si="9"/>
        <v>#N/A</v>
      </c>
      <c r="AG35" s="96" t="e">
        <f t="shared" si="16"/>
        <v>#N/A</v>
      </c>
      <c r="AH35" s="431"/>
      <c r="AI35" s="1" t="s">
        <v>155</v>
      </c>
      <c r="AJ35" s="36">
        <f>SUMIFS($H$6:$H$69,$C$6:$C$69,AH34,$F$6:$F$69,AI35)</f>
        <v>0</v>
      </c>
      <c r="AK35" s="36">
        <f>SUMIFS($I$6:$I$69,$C$6:$C$69,AH34,$F$6:$F$69,AI35)</f>
        <v>0</v>
      </c>
      <c r="AL35" s="36">
        <f>SUMIFS($J$6:$J$69,$C$6:$C$69,AH34,$F$6:$F$69,AI35)</f>
        <v>0</v>
      </c>
      <c r="AM35" s="36">
        <f>SUMIFS($K$6:$K$69,$C$6:$C$69,AH34,$F$6:$F$69,AI35)</f>
        <v>0</v>
      </c>
      <c r="AN35" s="36">
        <f>SUMIFS($L$6:$L$69,$C$6:$C$69,AH34,$F$6:$F$69,AI35)</f>
        <v>0</v>
      </c>
      <c r="AO35" s="36">
        <f>SUMIFS($M$6:$M$69,$C$6:$C$69,AH34,$F$6:$F$69,AI35)</f>
        <v>0</v>
      </c>
      <c r="AP35" s="1" t="s">
        <v>155</v>
      </c>
      <c r="AQ35" s="83"/>
      <c r="AR35" s="63"/>
      <c r="AS35" s="63"/>
      <c r="AT35" s="63"/>
      <c r="AU35" s="79"/>
      <c r="AV35" s="79"/>
      <c r="AW35" s="55">
        <f>SUMIFS($O$6:$O$69,$C$6:$C$69,AH35,$F$6:$F$69,AI35)</f>
        <v>0</v>
      </c>
      <c r="AX35" s="275"/>
      <c r="AY35" s="80">
        <f>SUMIFS($Q$6:$Q$69,$C$6:$C$69,AH35,$F$6:$F$69,AI35)</f>
        <v>0</v>
      </c>
      <c r="BC35" s="201"/>
      <c r="BD35" s="222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71">
        <f t="shared" si="42"/>
        <v>0</v>
      </c>
      <c r="BU35" s="71">
        <f t="shared" si="10"/>
        <v>0</v>
      </c>
      <c r="BV35" s="72"/>
      <c r="CG35" s="51"/>
      <c r="CH35" s="12"/>
    </row>
    <row r="36" spans="1:86" x14ac:dyDescent="0.3">
      <c r="A36" s="64"/>
      <c r="B36" s="148"/>
      <c r="C36" s="109"/>
      <c r="D36" s="63"/>
      <c r="E36" s="63"/>
      <c r="F36" s="127"/>
      <c r="G36" s="50"/>
      <c r="H36" s="10"/>
      <c r="I36" s="10"/>
      <c r="J36" s="10"/>
      <c r="K36" s="10"/>
      <c r="L36" s="10"/>
      <c r="M36" s="39"/>
      <c r="N36" s="33">
        <f t="shared" si="11"/>
        <v>0</v>
      </c>
      <c r="O36" s="52">
        <f t="shared" si="12"/>
        <v>0</v>
      </c>
      <c r="P36" s="52">
        <f t="shared" si="13"/>
        <v>0</v>
      </c>
      <c r="Q36" s="53" t="b">
        <f t="shared" si="2"/>
        <v>0</v>
      </c>
      <c r="R36" s="152" t="s">
        <v>175</v>
      </c>
      <c r="S36" s="278">
        <f t="shared" si="14"/>
        <v>0</v>
      </c>
      <c r="T36" s="231"/>
      <c r="U36" s="159" t="e">
        <f t="shared" si="3"/>
        <v>#N/A</v>
      </c>
      <c r="V36" s="41"/>
      <c r="W36" s="70" t="e">
        <f t="shared" si="4"/>
        <v>#N/A</v>
      </c>
      <c r="X36" s="70"/>
      <c r="Y36" s="159"/>
      <c r="Z36" s="159"/>
      <c r="AA36" s="160"/>
      <c r="AB36" s="158" t="e">
        <f t="shared" si="5"/>
        <v>#N/A</v>
      </c>
      <c r="AC36" s="94" t="e">
        <f t="shared" si="15"/>
        <v>#N/A</v>
      </c>
      <c r="AD36" s="95" t="e">
        <f t="shared" si="7"/>
        <v>#N/A</v>
      </c>
      <c r="AE36" s="95" t="e">
        <f t="shared" si="8"/>
        <v>#N/A</v>
      </c>
      <c r="AF36" s="95" t="e">
        <f t="shared" si="9"/>
        <v>#N/A</v>
      </c>
      <c r="AG36" s="96" t="e">
        <f t="shared" si="16"/>
        <v>#N/A</v>
      </c>
      <c r="AH36" s="431"/>
      <c r="AI36" s="91" t="s">
        <v>157</v>
      </c>
      <c r="AJ36" s="36">
        <f>SUMIFS($H$6:$H$69,$C$6:$C$69,AH36,$F$6:$F$69,AI36)</f>
        <v>0</v>
      </c>
      <c r="AK36" s="36">
        <f>SUMIFS($I$6:$I$69,$C$6:$C$69,AH36,$F$6:$F$69,AI36)</f>
        <v>0</v>
      </c>
      <c r="AL36" s="36">
        <f>SUMIFS($J$6:$J$69,$C$6:$C$69,AH36,$F$6:$F$69,AI36)</f>
        <v>0</v>
      </c>
      <c r="AM36" s="36">
        <f>SUMIFS($K$6:$K$69,$C$6:$C$69,AH36,$F$6:$F$69,AI36)</f>
        <v>0</v>
      </c>
      <c r="AN36" s="36">
        <f>SUMIFS($L$6:$L$69,$C$6:$C$69,AH36,$F$6:$F$69,AI36)</f>
        <v>0</v>
      </c>
      <c r="AO36" s="36">
        <f>SUMIFS($M$6:$M$69,$C$6:$C$69,AH36,$F$6:$F$69,AI36)</f>
        <v>0</v>
      </c>
      <c r="AP36" s="91" t="s">
        <v>157</v>
      </c>
      <c r="AQ36" s="83"/>
      <c r="AR36" s="63"/>
      <c r="AS36" s="63"/>
      <c r="AT36" s="63"/>
      <c r="AU36" s="79"/>
      <c r="AV36" s="79"/>
      <c r="AW36" s="55">
        <f>SUMIFS($O$6:$O$69,$C$6:$C$69,AH36,$F$6:$F$69,AI36)</f>
        <v>0</v>
      </c>
      <c r="AX36" s="275"/>
      <c r="AY36" s="80">
        <f>SUMIFS($Q$6:$Q$69,$C$6:$C$69,AH36,$F$6:$F$69,AI36)</f>
        <v>0</v>
      </c>
      <c r="BC36" s="201"/>
      <c r="BD36" s="222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  <c r="BP36" s="63"/>
      <c r="BQ36" s="63"/>
      <c r="BR36" s="63"/>
      <c r="BS36" s="63"/>
      <c r="BT36" s="71">
        <f t="shared" si="42"/>
        <v>0</v>
      </c>
      <c r="BU36" s="71">
        <f t="shared" si="10"/>
        <v>0</v>
      </c>
      <c r="BV36" s="72"/>
    </row>
    <row r="37" spans="1:86" x14ac:dyDescent="0.3">
      <c r="A37" s="64"/>
      <c r="B37" s="148"/>
      <c r="C37" s="109"/>
      <c r="D37" s="63"/>
      <c r="E37" s="63"/>
      <c r="F37" s="127"/>
      <c r="G37" s="50"/>
      <c r="H37" s="10"/>
      <c r="I37" s="10"/>
      <c r="J37" s="10"/>
      <c r="K37" s="10"/>
      <c r="L37" s="10"/>
      <c r="M37" s="39"/>
      <c r="N37" s="33">
        <f t="shared" si="11"/>
        <v>0</v>
      </c>
      <c r="O37" s="52">
        <f t="shared" si="12"/>
        <v>0</v>
      </c>
      <c r="P37" s="52">
        <f t="shared" si="13"/>
        <v>0</v>
      </c>
      <c r="Q37" s="53" t="b">
        <f t="shared" si="2"/>
        <v>0</v>
      </c>
      <c r="R37" s="152" t="s">
        <v>175</v>
      </c>
      <c r="S37" s="278">
        <f t="shared" si="14"/>
        <v>0</v>
      </c>
      <c r="T37" s="231"/>
      <c r="U37" s="159" t="e">
        <f t="shared" si="3"/>
        <v>#N/A</v>
      </c>
      <c r="V37" s="41"/>
      <c r="W37" s="70" t="e">
        <f t="shared" si="4"/>
        <v>#N/A</v>
      </c>
      <c r="X37" s="70"/>
      <c r="Y37" s="159"/>
      <c r="Z37" s="159"/>
      <c r="AA37" s="160"/>
      <c r="AB37" s="158" t="e">
        <f t="shared" si="5"/>
        <v>#N/A</v>
      </c>
      <c r="AC37" s="94" t="e">
        <f t="shared" si="15"/>
        <v>#N/A</v>
      </c>
      <c r="AD37" s="95" t="e">
        <f t="shared" si="7"/>
        <v>#N/A</v>
      </c>
      <c r="AE37" s="95" t="e">
        <f t="shared" si="8"/>
        <v>#N/A</v>
      </c>
      <c r="AF37" s="95" t="e">
        <f t="shared" si="9"/>
        <v>#N/A</v>
      </c>
      <c r="AG37" s="96" t="e">
        <f t="shared" si="16"/>
        <v>#N/A</v>
      </c>
      <c r="AH37" s="431"/>
      <c r="AI37" s="1" t="s">
        <v>155</v>
      </c>
      <c r="AJ37" s="36">
        <f>SUMIFS($H$6:$H$69,$C$6:$C$69,AH36,$F$6:$F$69,AI37)</f>
        <v>0</v>
      </c>
      <c r="AK37" s="36">
        <f>SUMIFS($I$6:$I$69,$C$6:$C$69,AH36,$F$6:$F$69,AI37)</f>
        <v>0</v>
      </c>
      <c r="AL37" s="36">
        <f>SUMIFS($J$6:$J$69,$C$6:$C$69,AH36,$F$6:$F$69,AI37)</f>
        <v>0</v>
      </c>
      <c r="AM37" s="36">
        <f>SUMIFS($K$6:$K$69,$C$6:$C$69,AH36,$F$6:$F$69,AI37)</f>
        <v>0</v>
      </c>
      <c r="AN37" s="36">
        <f>SUMIFS($L$6:$L$69,$C$6:$C$69,AH36,$F$6:$F$69,AI37)</f>
        <v>0</v>
      </c>
      <c r="AO37" s="36">
        <f>SUMIFS($M$6:$M$69,$C$6:$C$69,AH36,$F$6:$F$69,AI37)</f>
        <v>0</v>
      </c>
      <c r="AP37" s="1" t="s">
        <v>155</v>
      </c>
      <c r="AQ37" s="83"/>
      <c r="AR37" s="63"/>
      <c r="AS37" s="63"/>
      <c r="AT37" s="63"/>
      <c r="AU37" s="79"/>
      <c r="AV37" s="79"/>
      <c r="AW37" s="55">
        <f>SUMIFS($O$6:$O$69,$C$6:$C$69,AH37,$F$6:$F$69,AI37)</f>
        <v>0</v>
      </c>
      <c r="AX37" s="275"/>
      <c r="AY37" s="80">
        <f>SUMIFS($Q$6:$Q$69,$C$6:$C$69,AH37,$F$6:$F$69,AI37)</f>
        <v>0</v>
      </c>
      <c r="BC37" s="201"/>
      <c r="BD37" s="222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71">
        <f t="shared" si="42"/>
        <v>0</v>
      </c>
      <c r="BU37" s="71">
        <f t="shared" si="10"/>
        <v>0</v>
      </c>
      <c r="BV37" s="72"/>
    </row>
    <row r="38" spans="1:86" x14ac:dyDescent="0.3">
      <c r="A38" s="64"/>
      <c r="B38" s="148"/>
      <c r="C38" s="109"/>
      <c r="D38" s="63"/>
      <c r="E38" s="63"/>
      <c r="F38" s="127"/>
      <c r="G38" s="50"/>
      <c r="H38" s="10"/>
      <c r="I38" s="10"/>
      <c r="J38" s="10"/>
      <c r="K38" s="10"/>
      <c r="L38" s="10"/>
      <c r="M38" s="39"/>
      <c r="N38" s="33">
        <f t="shared" si="11"/>
        <v>0</v>
      </c>
      <c r="O38" s="52">
        <f t="shared" si="12"/>
        <v>0</v>
      </c>
      <c r="P38" s="52">
        <f t="shared" si="13"/>
        <v>0</v>
      </c>
      <c r="Q38" s="53" t="b">
        <f t="shared" ref="Q38:Q44" si="47">IF(AND(D38=CLEX,F38="HUILE"),((VLOOKUP(H38,TARIFP,2,0)+(S38*THE))*(1-G38))+E38,IF(AND(D38=CLEX,F38="AUTRE"),(VLOOKUP(L38,TARIFP,3,0)*(1-G38))+E38,IF(AND(D38=CLEX,F38="LAIT"),((S38*TL)*(1-G38))+E38,IF(AND(D38=CLEX,F38="EAU"),((S38*TE)*(1-G38))+E38,IF(AND(D38=CLSL,F38="HUILE"),(((S38*THL)*(1-G38))+(VLOOKUP(H38,TARIFP,2,0))),IF(AND(D38=CLSL,F38="AUTRE"),(((VLOOKUP(L38,TARIFP,3,0))*(1-G38))),IF(AND(D38=CLSL,F38="LAIT"),((S38*TL)*(1-G38)),IF(AND(D38=CLSL,F38="EAU"),((S38*TE)*(1-G38)),IF(D38=CLO,"OFFERT",IF(AND(F38="HUILE",D38=CLL),(((VLOOKUP(H38,TARIFP,2,0))+(VLOOKUP(S38,TARIFL,2,0)))),IF(AND(F38="LAIT",D38=CLL),(VLOOKUP(S38,TARIFL,6,0)),IF(AND(F38="EAU",D38=CLL),(VLOOKUP(S38,TARIFL,5,0)),IF(AND(D38=CLL,F38=AUTRE),(VLOOKUP(L38,TARIFP,3,0)),IF(AND(F38="HUILE",D38=CLD),(VLOOKUP(S38,TARIFL,3,0)+(VLOOKUP(H38,TARIFP,2,0))),IF(AND(F38="LAIT",D38=CLD),(VLOOKUP(S38,TARIFL,6,0)),IF(AND(F38="EAU",D38=CLD),(VLOOKUP(S38,TARIFL,5,0)),IF(AND(D38=CLD,F38=AUTRE),(VLOOKUP(L38,TARIFP,3,0)),IF(AND(F38="HUILE",D38=CLSD),((VLOOKUP(H38,TARIFP,2,0))+((S38*THD)*(1-G38))),IF(AND(F38="LAIT",D38=CLSD),((VLOOKUP(S38,TARIFL,6,0))*(1-G38)),IF(AND(F38="EAU",D38=CLSD),((VLOOKUP(S38,TARIFL,5,0))*(1-G38)),IF(AND(D38=CLS,F38=AUTRE),((VLOOKUP(L38,TARIFP,3,0))*(1-G38)),IF(AND(D38=CLS,F38="LAIT"),((S38*TL)*(1-G38)),IF(AND(D38=CLS,F38="EAU"),((S38*TE)*(1-G38)),IF(AND(F38="HUILE",D38=CLS),((VLOOKUP(H38,TARIFP,2,0)+(S38*THL))*(1-G38))))))))))))))))))))))))))</f>
        <v>0</v>
      </c>
      <c r="R38" s="152" t="s">
        <v>175</v>
      </c>
      <c r="S38" s="278">
        <f t="shared" si="14"/>
        <v>0</v>
      </c>
      <c r="T38" s="231"/>
      <c r="U38" s="159" t="e">
        <f t="shared" ref="U38:U69" si="48">VLOOKUP(V38,BASE1,2,0)</f>
        <v>#N/A</v>
      </c>
      <c r="V38" s="41"/>
      <c r="W38" s="70" t="e">
        <f t="shared" ref="W38:W69" si="49">VLOOKUP(V38,BASE1,3,0)</f>
        <v>#N/A</v>
      </c>
      <c r="X38" s="70"/>
      <c r="Y38" s="159"/>
      <c r="Z38" s="159"/>
      <c r="AA38" s="160"/>
      <c r="AB38" s="158" t="e">
        <f t="shared" ref="AB38:AB69" si="50">VLOOKUP(V38,BASE1,4,0)</f>
        <v>#N/A</v>
      </c>
      <c r="AC38" s="94" t="e">
        <f t="shared" si="15"/>
        <v>#N/A</v>
      </c>
      <c r="AD38" s="95" t="e">
        <f t="shared" ref="AD38:AD69" si="51">VLOOKUP(V38,BASE1,6,0)*AA38/100</f>
        <v>#N/A</v>
      </c>
      <c r="AE38" s="95" t="e">
        <f t="shared" ref="AE38:AE69" si="52">VLOOKUP(V38,BASE1,7,0)*AA38/100</f>
        <v>#N/A</v>
      </c>
      <c r="AF38" s="95" t="e">
        <f t="shared" ref="AF38:AF69" si="53">VLOOKUP(V38,BASE1,8,0)*AA38/100</f>
        <v>#N/A</v>
      </c>
      <c r="AG38" s="96" t="e">
        <f t="shared" si="16"/>
        <v>#N/A</v>
      </c>
      <c r="AH38" s="431"/>
      <c r="AI38" s="91" t="s">
        <v>157</v>
      </c>
      <c r="AJ38" s="36">
        <f>SUMIFS($H$6:$H$69,$C$6:$C$69,AH38,$F$6:$F$69,AI38)</f>
        <v>0</v>
      </c>
      <c r="AK38" s="36">
        <f>SUMIFS($I$6:$I$69,$C$6:$C$69,AH38,$F$6:$F$69,AI38)</f>
        <v>0</v>
      </c>
      <c r="AL38" s="36">
        <f>SUMIFS($J$6:$J$69,$C$6:$C$69,AH38,$F$6:$F$69,AI38)</f>
        <v>0</v>
      </c>
      <c r="AM38" s="36">
        <f>SUMIFS($K$6:$K$69,$C$6:$C$69,AH38,$F$6:$F$69,AI38)</f>
        <v>0</v>
      </c>
      <c r="AN38" s="36">
        <f>SUMIFS($L$6:$L$69,$C$6:$C$69,AH38,$F$6:$F$69,AI38)</f>
        <v>0</v>
      </c>
      <c r="AO38" s="36">
        <f>SUMIFS($M$6:$M$69,$C$6:$C$69,AH38,$F$6:$F$69,AI38)</f>
        <v>0</v>
      </c>
      <c r="AP38" s="91" t="s">
        <v>157</v>
      </c>
      <c r="AQ38" s="83"/>
      <c r="AR38" s="63"/>
      <c r="AS38" s="63"/>
      <c r="AT38" s="63"/>
      <c r="AU38" s="79"/>
      <c r="AV38" s="79"/>
      <c r="AW38" s="55">
        <f>SUMIFS($O$6:$O$69,$C$6:$C$69,AH38,$F$6:$F$69,AI38)</f>
        <v>0</v>
      </c>
      <c r="AX38" s="275"/>
      <c r="AY38" s="80">
        <f>SUMIFS($Q$6:$Q$69,$C$6:$C$69,AH38,$F$6:$F$69,AI38)</f>
        <v>0</v>
      </c>
      <c r="BC38" s="201"/>
      <c r="BD38" s="222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  <c r="BP38" s="63"/>
      <c r="BQ38" s="63"/>
      <c r="BR38" s="63"/>
      <c r="BS38" s="63"/>
      <c r="BT38" s="71">
        <f t="shared" si="42"/>
        <v>0</v>
      </c>
      <c r="BU38" s="71">
        <f t="shared" si="10"/>
        <v>0</v>
      </c>
      <c r="BV38" s="72"/>
    </row>
    <row r="39" spans="1:86" x14ac:dyDescent="0.3">
      <c r="A39" s="64"/>
      <c r="B39" s="148"/>
      <c r="C39" s="109"/>
      <c r="D39" s="63"/>
      <c r="E39" s="63"/>
      <c r="F39" s="127"/>
      <c r="G39" s="50"/>
      <c r="H39" s="10"/>
      <c r="I39" s="10"/>
      <c r="J39" s="10"/>
      <c r="K39" s="10"/>
      <c r="L39" s="10"/>
      <c r="M39" s="39"/>
      <c r="N39" s="33">
        <f t="shared" si="11"/>
        <v>0</v>
      </c>
      <c r="O39" s="52">
        <f t="shared" si="12"/>
        <v>0</v>
      </c>
      <c r="P39" s="52">
        <f t="shared" si="13"/>
        <v>0</v>
      </c>
      <c r="Q39" s="53" t="b">
        <f t="shared" si="47"/>
        <v>0</v>
      </c>
      <c r="R39" s="152" t="s">
        <v>175</v>
      </c>
      <c r="S39" s="278">
        <f t="shared" si="14"/>
        <v>0</v>
      </c>
      <c r="T39" s="231"/>
      <c r="U39" s="159" t="e">
        <f t="shared" si="48"/>
        <v>#N/A</v>
      </c>
      <c r="V39" s="41"/>
      <c r="W39" s="70" t="e">
        <f t="shared" si="49"/>
        <v>#N/A</v>
      </c>
      <c r="X39" s="70"/>
      <c r="Y39" s="159"/>
      <c r="Z39" s="159"/>
      <c r="AA39" s="160"/>
      <c r="AB39" s="158" t="e">
        <f t="shared" si="50"/>
        <v>#N/A</v>
      </c>
      <c r="AC39" s="94" t="e">
        <f t="shared" si="15"/>
        <v>#N/A</v>
      </c>
      <c r="AD39" s="95" t="e">
        <f t="shared" si="51"/>
        <v>#N/A</v>
      </c>
      <c r="AE39" s="95" t="e">
        <f t="shared" si="52"/>
        <v>#N/A</v>
      </c>
      <c r="AF39" s="95" t="e">
        <f t="shared" si="53"/>
        <v>#N/A</v>
      </c>
      <c r="AG39" s="96" t="e">
        <f t="shared" si="16"/>
        <v>#N/A</v>
      </c>
      <c r="AH39" s="431"/>
      <c r="AI39" s="1" t="s">
        <v>155</v>
      </c>
      <c r="AJ39" s="36">
        <f>SUMIFS($H$6:$H$69,$C$6:$C$69,AH38,$F$6:$F$69,AI39)</f>
        <v>0</v>
      </c>
      <c r="AK39" s="36">
        <f>SUMIFS($I$6:$I$69,$C$6:$C$69,AH38,$F$6:$F$69,AI39)</f>
        <v>0</v>
      </c>
      <c r="AL39" s="36">
        <f>SUMIFS($J$6:$J$69,$C$6:$C$69,AH38,$F$6:$F$69,AI39)</f>
        <v>0</v>
      </c>
      <c r="AM39" s="36">
        <f>SUMIFS($K$6:$K$69,$C$6:$C$69,AH38,$F$6:$F$69,AI39)</f>
        <v>0</v>
      </c>
      <c r="AN39" s="36">
        <f>SUMIFS($L$6:$L$69,$C$6:$C$69,AH38,$F$6:$F$69,AI39)</f>
        <v>0</v>
      </c>
      <c r="AO39" s="36">
        <f>SUMIFS($M$6:$M$69,$C$6:$C$69,AH38,$F$6:$F$69,AI39)</f>
        <v>0</v>
      </c>
      <c r="AP39" s="1" t="s">
        <v>155</v>
      </c>
      <c r="AQ39" s="83"/>
      <c r="AR39" s="63"/>
      <c r="AS39" s="63"/>
      <c r="AT39" s="63"/>
      <c r="AU39" s="79"/>
      <c r="AV39" s="79"/>
      <c r="AW39" s="55">
        <f>SUMIFS($O$6:$O$69,$C$6:$C$69,AH39,$F$6:$F$69,AI39)</f>
        <v>0</v>
      </c>
      <c r="AX39" s="275"/>
      <c r="AY39" s="80">
        <f>SUMIFS($Q$6:$Q$69,$C$6:$C$69,AH39,$F$6:$F$69,AI39)</f>
        <v>0</v>
      </c>
      <c r="BC39" s="201"/>
      <c r="BD39" s="222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71">
        <f t="shared" si="42"/>
        <v>0</v>
      </c>
      <c r="BU39" s="71">
        <f t="shared" si="10"/>
        <v>0</v>
      </c>
      <c r="BV39" s="72"/>
    </row>
    <row r="40" spans="1:86" x14ac:dyDescent="0.3">
      <c r="A40" s="64"/>
      <c r="B40" s="148"/>
      <c r="C40" s="109"/>
      <c r="D40" s="63"/>
      <c r="E40" s="63"/>
      <c r="F40" s="127"/>
      <c r="G40" s="50"/>
      <c r="H40" s="10"/>
      <c r="I40" s="10"/>
      <c r="J40" s="10"/>
      <c r="K40" s="10"/>
      <c r="L40" s="10"/>
      <c r="M40" s="39"/>
      <c r="N40" s="33">
        <f t="shared" si="11"/>
        <v>0</v>
      </c>
      <c r="O40" s="52">
        <f t="shared" si="12"/>
        <v>0</v>
      </c>
      <c r="P40" s="52">
        <f t="shared" si="13"/>
        <v>0</v>
      </c>
      <c r="Q40" s="53" t="b">
        <f t="shared" si="47"/>
        <v>0</v>
      </c>
      <c r="R40" s="152" t="s">
        <v>175</v>
      </c>
      <c r="S40" s="278">
        <f t="shared" si="14"/>
        <v>0</v>
      </c>
      <c r="T40" s="231"/>
      <c r="U40" s="159" t="e">
        <f t="shared" si="48"/>
        <v>#N/A</v>
      </c>
      <c r="V40" s="41"/>
      <c r="W40" s="70" t="e">
        <f t="shared" si="49"/>
        <v>#N/A</v>
      </c>
      <c r="X40" s="70"/>
      <c r="Y40" s="159"/>
      <c r="Z40" s="159"/>
      <c r="AA40" s="160"/>
      <c r="AB40" s="158" t="e">
        <f t="shared" si="50"/>
        <v>#N/A</v>
      </c>
      <c r="AC40" s="94" t="e">
        <f t="shared" si="15"/>
        <v>#N/A</v>
      </c>
      <c r="AD40" s="95" t="e">
        <f t="shared" si="51"/>
        <v>#N/A</v>
      </c>
      <c r="AE40" s="95" t="e">
        <f t="shared" si="52"/>
        <v>#N/A</v>
      </c>
      <c r="AF40" s="95" t="e">
        <f t="shared" si="53"/>
        <v>#N/A</v>
      </c>
      <c r="AG40" s="96" t="e">
        <f t="shared" si="16"/>
        <v>#N/A</v>
      </c>
      <c r="AH40" s="431"/>
      <c r="AI40" s="91" t="s">
        <v>157</v>
      </c>
      <c r="AJ40" s="36">
        <f>SUMIFS($H$6:$H$69,$C$6:$C$69,AH40,$F$6:$F$69,AI40)</f>
        <v>0</v>
      </c>
      <c r="AK40" s="36">
        <f>SUMIFS($I$6:$I$69,$C$6:$C$69,AH40,$F$6:$F$69,AI40)</f>
        <v>0</v>
      </c>
      <c r="AL40" s="36">
        <f>SUMIFS($J$6:$J$69,$C$6:$C$69,AH40,$F$6:$F$69,AI40)</f>
        <v>0</v>
      </c>
      <c r="AM40" s="36">
        <f>SUMIFS($K$6:$K$69,$C$6:$C$69,AH40,$F$6:$F$69,AI40)</f>
        <v>0</v>
      </c>
      <c r="AN40" s="36">
        <f>SUMIFS($L$6:$L$69,$C$6:$C$69,AH40,$F$6:$F$69,AI40)</f>
        <v>0</v>
      </c>
      <c r="AO40" s="36">
        <f>SUMIFS($M$6:$M$69,$C$6:$C$69,AH40,$F$6:$F$69,AI40)</f>
        <v>0</v>
      </c>
      <c r="AP40" s="91" t="s">
        <v>157</v>
      </c>
      <c r="AQ40" s="83"/>
      <c r="AR40" s="63"/>
      <c r="AS40" s="63"/>
      <c r="AT40" s="63"/>
      <c r="AU40" s="79"/>
      <c r="AV40" s="79"/>
      <c r="AW40" s="55">
        <f>SUMIFS($O$6:$O$69,$C$6:$C$69,AH40,$F$6:$F$69,AI40)</f>
        <v>0</v>
      </c>
      <c r="AX40" s="275"/>
      <c r="AY40" s="80">
        <f>SUMIFS($Q$6:$Q$69,$C$6:$C$69,AH40,$F$6:$F$69,AI40)</f>
        <v>0</v>
      </c>
      <c r="BC40" s="201"/>
      <c r="BD40" s="222"/>
      <c r="BE40" s="63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71">
        <f t="shared" si="42"/>
        <v>0</v>
      </c>
      <c r="BU40" s="71">
        <f t="shared" si="10"/>
        <v>0</v>
      </c>
      <c r="BV40" s="72"/>
    </row>
    <row r="41" spans="1:86" x14ac:dyDescent="0.3">
      <c r="A41" s="64"/>
      <c r="B41" s="148"/>
      <c r="C41" s="109"/>
      <c r="D41" s="63"/>
      <c r="E41" s="63"/>
      <c r="F41" s="127"/>
      <c r="G41" s="50"/>
      <c r="H41" s="10"/>
      <c r="I41" s="10"/>
      <c r="J41" s="10"/>
      <c r="K41" s="10"/>
      <c r="L41" s="10"/>
      <c r="M41" s="39"/>
      <c r="N41" s="33">
        <f t="shared" si="11"/>
        <v>0</v>
      </c>
      <c r="O41" s="52">
        <f t="shared" si="12"/>
        <v>0</v>
      </c>
      <c r="P41" s="52">
        <f t="shared" si="13"/>
        <v>0</v>
      </c>
      <c r="Q41" s="53" t="b">
        <f t="shared" si="47"/>
        <v>0</v>
      </c>
      <c r="R41" s="152" t="s">
        <v>175</v>
      </c>
      <c r="S41" s="278">
        <f t="shared" si="14"/>
        <v>0</v>
      </c>
      <c r="T41" s="231"/>
      <c r="U41" s="159" t="e">
        <f t="shared" si="48"/>
        <v>#N/A</v>
      </c>
      <c r="V41" s="41"/>
      <c r="W41" s="70" t="e">
        <f t="shared" si="49"/>
        <v>#N/A</v>
      </c>
      <c r="X41" s="70"/>
      <c r="Y41" s="159"/>
      <c r="Z41" s="159"/>
      <c r="AA41" s="160"/>
      <c r="AB41" s="158" t="e">
        <f t="shared" si="50"/>
        <v>#N/A</v>
      </c>
      <c r="AC41" s="94" t="e">
        <f t="shared" si="15"/>
        <v>#N/A</v>
      </c>
      <c r="AD41" s="95" t="e">
        <f t="shared" si="51"/>
        <v>#N/A</v>
      </c>
      <c r="AE41" s="95" t="e">
        <f t="shared" si="52"/>
        <v>#N/A</v>
      </c>
      <c r="AF41" s="95" t="e">
        <f t="shared" si="53"/>
        <v>#N/A</v>
      </c>
      <c r="AG41" s="96" t="e">
        <f t="shared" si="16"/>
        <v>#N/A</v>
      </c>
      <c r="AH41" s="431"/>
      <c r="AI41" s="1" t="s">
        <v>155</v>
      </c>
      <c r="AJ41" s="36">
        <f>SUMIFS($H$6:$H$69,$C$6:$C$69,AH40,$F$6:$F$69,AI41)</f>
        <v>0</v>
      </c>
      <c r="AK41" s="36">
        <f>SUMIFS($I$6:$I$69,$C$6:$C$69,AH40,$F$6:$F$69,AI41)</f>
        <v>0</v>
      </c>
      <c r="AL41" s="36">
        <f>SUMIFS($J$6:$J$69,$C$6:$C$69,AH40,$F$6:$F$69,AI41)</f>
        <v>0</v>
      </c>
      <c r="AM41" s="36">
        <f>SUMIFS($K$6:$K$69,$C$6:$C$69,AH40,$F$6:$F$69,AI41)</f>
        <v>0</v>
      </c>
      <c r="AN41" s="36">
        <f>SUMIFS($L$6:$L$69,$C$6:$C$69,AH40,$F$6:$F$69,AI41)</f>
        <v>0</v>
      </c>
      <c r="AO41" s="36">
        <f>SUMIFS($M$6:$M$69,$C$6:$C$69,AH40,$F$6:$F$69,AI41)</f>
        <v>0</v>
      </c>
      <c r="AP41" s="1" t="s">
        <v>155</v>
      </c>
      <c r="AQ41" s="83"/>
      <c r="AR41" s="63"/>
      <c r="AS41" s="63"/>
      <c r="AT41" s="63"/>
      <c r="AU41" s="79"/>
      <c r="AV41" s="79"/>
      <c r="AW41" s="55">
        <f>SUMIFS($O$6:$O$69,$C$6:$C$69,AH41,$F$6:$F$69,AI41)</f>
        <v>0</v>
      </c>
      <c r="AX41" s="275"/>
      <c r="AY41" s="80">
        <f>SUMIFS($Q$6:$Q$69,$C$6:$C$69,AH41,$F$6:$F$69,AI41)</f>
        <v>0</v>
      </c>
      <c r="BC41" s="201"/>
      <c r="BD41" s="222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71">
        <f t="shared" si="42"/>
        <v>0</v>
      </c>
      <c r="BU41" s="71">
        <f t="shared" si="10"/>
        <v>0</v>
      </c>
      <c r="BV41" s="72"/>
    </row>
    <row r="42" spans="1:86" x14ac:dyDescent="0.3">
      <c r="A42" s="64"/>
      <c r="B42" s="148"/>
      <c r="C42" s="109"/>
      <c r="D42" s="63"/>
      <c r="E42" s="63"/>
      <c r="F42" s="127"/>
      <c r="G42" s="50"/>
      <c r="H42" s="10"/>
      <c r="I42" s="10"/>
      <c r="J42" s="10"/>
      <c r="K42" s="10"/>
      <c r="L42" s="10"/>
      <c r="M42" s="39"/>
      <c r="N42" s="33">
        <f t="shared" si="11"/>
        <v>0</v>
      </c>
      <c r="O42" s="52">
        <f t="shared" si="12"/>
        <v>0</v>
      </c>
      <c r="P42" s="52">
        <f t="shared" si="13"/>
        <v>0</v>
      </c>
      <c r="Q42" s="53" t="b">
        <f t="shared" si="47"/>
        <v>0</v>
      </c>
      <c r="R42" s="152" t="s">
        <v>175</v>
      </c>
      <c r="S42" s="278">
        <f t="shared" si="14"/>
        <v>0</v>
      </c>
      <c r="T42" s="231"/>
      <c r="U42" s="159" t="e">
        <f t="shared" si="48"/>
        <v>#N/A</v>
      </c>
      <c r="V42" s="41"/>
      <c r="W42" s="70" t="e">
        <f t="shared" si="49"/>
        <v>#N/A</v>
      </c>
      <c r="X42" s="70"/>
      <c r="Y42" s="159"/>
      <c r="Z42" s="159"/>
      <c r="AA42" s="160"/>
      <c r="AB42" s="158" t="e">
        <f t="shared" si="50"/>
        <v>#N/A</v>
      </c>
      <c r="AC42" s="94" t="e">
        <f t="shared" si="15"/>
        <v>#N/A</v>
      </c>
      <c r="AD42" s="95" t="e">
        <f t="shared" si="51"/>
        <v>#N/A</v>
      </c>
      <c r="AE42" s="95" t="e">
        <f t="shared" si="52"/>
        <v>#N/A</v>
      </c>
      <c r="AF42" s="95" t="e">
        <f t="shared" si="53"/>
        <v>#N/A</v>
      </c>
      <c r="AG42" s="96" t="e">
        <f t="shared" si="16"/>
        <v>#N/A</v>
      </c>
      <c r="AH42" s="431"/>
      <c r="AI42" s="91" t="s">
        <v>157</v>
      </c>
      <c r="AJ42" s="36">
        <f>SUMIFS($H$6:$H$69,$C$6:$C$69,AH42,$F$6:$F$69,AI42)</f>
        <v>0</v>
      </c>
      <c r="AK42" s="36">
        <f>SUMIFS($I$6:$I$69,$C$6:$C$69,AH42,$F$6:$F$69,AI42)</f>
        <v>0</v>
      </c>
      <c r="AL42" s="36">
        <f>SUMIFS($J$6:$J$69,$C$6:$C$69,AH42,$F$6:$F$69,AI42)</f>
        <v>0</v>
      </c>
      <c r="AM42" s="36">
        <f>SUMIFS($K$6:$K$69,$C$6:$C$69,AH42,$F$6:$F$69,AI42)</f>
        <v>0</v>
      </c>
      <c r="AN42" s="36">
        <f>SUMIFS($L$6:$L$69,$C$6:$C$69,AH42,$F$6:$F$69,AI42)</f>
        <v>0</v>
      </c>
      <c r="AO42" s="36">
        <f>SUMIFS($M$6:$M$69,$C$6:$C$69,AH42,$F$6:$F$69,AI42)</f>
        <v>0</v>
      </c>
      <c r="AP42" s="91" t="s">
        <v>157</v>
      </c>
      <c r="AQ42" s="83"/>
      <c r="AR42" s="63"/>
      <c r="AS42" s="63"/>
      <c r="AT42" s="63"/>
      <c r="AU42" s="79"/>
      <c r="AV42" s="79"/>
      <c r="AW42" s="55">
        <f>SUMIFS($O$6:$O$69,$C$6:$C$69,AH42,$F$6:$F$69,AI42)</f>
        <v>0</v>
      </c>
      <c r="AX42" s="275"/>
      <c r="AY42" s="80">
        <f>SUMIFS($Q$6:$Q$69,$C$6:$C$69,AH42,$F$6:$F$69,AI42)</f>
        <v>0</v>
      </c>
      <c r="BC42" s="201"/>
      <c r="BD42" s="222"/>
      <c r="BE42" s="63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71">
        <f t="shared" si="42"/>
        <v>0</v>
      </c>
      <c r="BU42" s="71">
        <f t="shared" si="10"/>
        <v>0</v>
      </c>
      <c r="BV42" s="72"/>
    </row>
    <row r="43" spans="1:86" x14ac:dyDescent="0.3">
      <c r="A43" s="64"/>
      <c r="B43" s="148"/>
      <c r="C43" s="109"/>
      <c r="D43" s="63"/>
      <c r="E43" s="63"/>
      <c r="F43" s="127"/>
      <c r="G43" s="50"/>
      <c r="H43" s="10"/>
      <c r="I43" s="10"/>
      <c r="J43" s="10"/>
      <c r="K43" s="10"/>
      <c r="L43" s="10"/>
      <c r="M43" s="39"/>
      <c r="N43" s="33">
        <f t="shared" si="11"/>
        <v>0</v>
      </c>
      <c r="O43" s="52">
        <f t="shared" si="12"/>
        <v>0</v>
      </c>
      <c r="P43" s="52">
        <f t="shared" si="13"/>
        <v>0</v>
      </c>
      <c r="Q43" s="53" t="b">
        <f t="shared" si="47"/>
        <v>0</v>
      </c>
      <c r="R43" s="152" t="s">
        <v>175</v>
      </c>
      <c r="S43" s="278">
        <f t="shared" si="14"/>
        <v>0</v>
      </c>
      <c r="T43" s="231"/>
      <c r="U43" s="159" t="e">
        <f t="shared" si="48"/>
        <v>#N/A</v>
      </c>
      <c r="V43" s="41"/>
      <c r="W43" s="70" t="e">
        <f t="shared" si="49"/>
        <v>#N/A</v>
      </c>
      <c r="X43" s="70"/>
      <c r="Y43" s="159"/>
      <c r="Z43" s="159"/>
      <c r="AA43" s="160"/>
      <c r="AB43" s="158" t="e">
        <f t="shared" si="50"/>
        <v>#N/A</v>
      </c>
      <c r="AC43" s="94" t="e">
        <f t="shared" si="15"/>
        <v>#N/A</v>
      </c>
      <c r="AD43" s="95" t="e">
        <f t="shared" si="51"/>
        <v>#N/A</v>
      </c>
      <c r="AE43" s="95" t="e">
        <f t="shared" si="52"/>
        <v>#N/A</v>
      </c>
      <c r="AF43" s="95" t="e">
        <f t="shared" si="53"/>
        <v>#N/A</v>
      </c>
      <c r="AG43" s="96" t="e">
        <f t="shared" si="16"/>
        <v>#N/A</v>
      </c>
      <c r="AH43" s="431"/>
      <c r="AI43" s="1" t="s">
        <v>155</v>
      </c>
      <c r="AJ43" s="36">
        <f>SUMIFS($H$6:$H$69,$C$6:$C$69,AH42,$F$6:$F$69,AI43)</f>
        <v>0</v>
      </c>
      <c r="AK43" s="36">
        <f>SUMIFS($I$6:$I$69,$C$6:$C$69,AH42,$F$6:$F$69,AI43)</f>
        <v>0</v>
      </c>
      <c r="AL43" s="36">
        <f>SUMIFS($J$6:$J$69,$C$6:$C$69,AH42,$F$6:$F$69,AI43)</f>
        <v>0</v>
      </c>
      <c r="AM43" s="36">
        <f>SUMIFS($K$6:$K$69,$C$6:$C$69,AH42,$F$6:$F$69,AI43)</f>
        <v>0</v>
      </c>
      <c r="AN43" s="36">
        <f>SUMIFS($L$6:$L$69,$C$6:$C$69,AH42,$F$6:$F$69,AI43)</f>
        <v>0</v>
      </c>
      <c r="AO43" s="36">
        <f>SUMIFS($M$6:$M$69,$C$6:$C$69,AH42,$F$6:$F$69,AI43)</f>
        <v>0</v>
      </c>
      <c r="AP43" s="1" t="s">
        <v>155</v>
      </c>
      <c r="AQ43" s="83"/>
      <c r="AR43" s="63"/>
      <c r="AS43" s="63"/>
      <c r="AT43" s="63"/>
      <c r="AU43" s="79"/>
      <c r="AV43" s="79"/>
      <c r="AW43" s="55">
        <f>SUMIFS($O$6:$O$69,$C$6:$C$69,AH43,$F$6:$F$69,AI43)</f>
        <v>0</v>
      </c>
      <c r="AX43" s="275"/>
      <c r="AY43" s="80">
        <f>SUMIFS($Q$6:$Q$69,$C$6:$C$69,AH43,$F$6:$F$69,AI43)</f>
        <v>0</v>
      </c>
      <c r="BC43" s="201"/>
      <c r="BD43" s="222"/>
      <c r="BE43" s="63"/>
      <c r="BF43" s="63"/>
      <c r="BG43" s="63"/>
      <c r="BH43" s="63"/>
      <c r="BI43" s="63"/>
      <c r="BJ43" s="63"/>
      <c r="BK43" s="63"/>
      <c r="BL43" s="63"/>
      <c r="BM43" s="63"/>
      <c r="BN43" s="63"/>
      <c r="BO43" s="63"/>
      <c r="BP43" s="63"/>
      <c r="BQ43" s="63"/>
      <c r="BR43" s="63"/>
      <c r="BS43" s="63"/>
      <c r="BT43" s="71">
        <f t="shared" si="42"/>
        <v>0</v>
      </c>
      <c r="BU43" s="71">
        <f t="shared" si="10"/>
        <v>0</v>
      </c>
      <c r="BV43" s="72"/>
    </row>
    <row r="44" spans="1:86" x14ac:dyDescent="0.3">
      <c r="A44" s="64"/>
      <c r="B44" s="148"/>
      <c r="C44" s="109"/>
      <c r="D44" s="63"/>
      <c r="E44" s="63"/>
      <c r="F44" s="127"/>
      <c r="G44" s="50"/>
      <c r="H44" s="10"/>
      <c r="I44" s="10"/>
      <c r="J44" s="10"/>
      <c r="K44" s="10"/>
      <c r="L44" s="10"/>
      <c r="M44" s="39"/>
      <c r="N44" s="33">
        <f t="shared" si="11"/>
        <v>0</v>
      </c>
      <c r="O44" s="52">
        <f t="shared" si="12"/>
        <v>0</v>
      </c>
      <c r="P44" s="52">
        <f t="shared" si="13"/>
        <v>0</v>
      </c>
      <c r="Q44" s="53" t="b">
        <f t="shared" si="47"/>
        <v>0</v>
      </c>
      <c r="R44" s="152" t="s">
        <v>175</v>
      </c>
      <c r="S44" s="278">
        <f t="shared" si="14"/>
        <v>0</v>
      </c>
      <c r="T44" s="231"/>
      <c r="U44" s="159" t="e">
        <f t="shared" si="48"/>
        <v>#N/A</v>
      </c>
      <c r="V44" s="41"/>
      <c r="W44" s="70" t="e">
        <f t="shared" si="49"/>
        <v>#N/A</v>
      </c>
      <c r="X44" s="70"/>
      <c r="Y44" s="159"/>
      <c r="Z44" s="159"/>
      <c r="AA44" s="160"/>
      <c r="AB44" s="158" t="e">
        <f t="shared" si="50"/>
        <v>#N/A</v>
      </c>
      <c r="AC44" s="94" t="e">
        <f t="shared" si="15"/>
        <v>#N/A</v>
      </c>
      <c r="AD44" s="95" t="e">
        <f t="shared" si="51"/>
        <v>#N/A</v>
      </c>
      <c r="AE44" s="95" t="e">
        <f t="shared" si="52"/>
        <v>#N/A</v>
      </c>
      <c r="AF44" s="95" t="e">
        <f t="shared" si="53"/>
        <v>#N/A</v>
      </c>
      <c r="AG44" s="96" t="e">
        <f t="shared" si="16"/>
        <v>#N/A</v>
      </c>
      <c r="AH44" s="431"/>
      <c r="AI44" s="91" t="s">
        <v>157</v>
      </c>
      <c r="AJ44" s="36">
        <f>SUMIFS($H$6:$H$69,$C$6:$C$69,AH44,$F$6:$F$69,AI44)</f>
        <v>0</v>
      </c>
      <c r="AK44" s="36">
        <f>SUMIFS($I$6:$I$69,$C$6:$C$69,AH44,$F$6:$F$69,AI44)</f>
        <v>0</v>
      </c>
      <c r="AL44" s="36">
        <f>SUMIFS($J$6:$J$69,$C$6:$C$69,AH44,$F$6:$F$69,AI44)</f>
        <v>0</v>
      </c>
      <c r="AM44" s="36">
        <f>SUMIFS($K$6:$K$69,$C$6:$C$69,AH44,$F$6:$F$69,AI44)</f>
        <v>0</v>
      </c>
      <c r="AN44" s="36">
        <f>SUMIFS($L$6:$L$69,$C$6:$C$69,AH44,$F$6:$F$69,AI44)</f>
        <v>0</v>
      </c>
      <c r="AO44" s="36">
        <f>SUMIFS($M$6:$M$69,$C$6:$C$69,AH44,$F$6:$F$69,AI44)</f>
        <v>0</v>
      </c>
      <c r="AP44" s="91" t="s">
        <v>157</v>
      </c>
      <c r="AQ44" s="83"/>
      <c r="AR44" s="63"/>
      <c r="AS44" s="63"/>
      <c r="AT44" s="63"/>
      <c r="AU44" s="79"/>
      <c r="AV44" s="79"/>
      <c r="AW44" s="55">
        <f>SUMIFS($O$6:$O$69,$C$6:$C$69,AH44,$F$6:$F$69,AI44)</f>
        <v>0</v>
      </c>
      <c r="AX44" s="275"/>
      <c r="AY44" s="80">
        <f>SUMIFS($Q$6:$Q$69,$C$6:$C$69,AH44,$F$6:$F$69,AI44)</f>
        <v>0</v>
      </c>
      <c r="BC44" s="201"/>
      <c r="BD44" s="222"/>
      <c r="BE44" s="63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71">
        <f t="shared" si="42"/>
        <v>0</v>
      </c>
      <c r="BU44" s="71">
        <f t="shared" si="10"/>
        <v>0</v>
      </c>
      <c r="BV44" s="72"/>
    </row>
    <row r="45" spans="1:86" x14ac:dyDescent="0.3">
      <c r="A45" s="64"/>
      <c r="B45" s="148"/>
      <c r="C45" s="109"/>
      <c r="D45" s="63"/>
      <c r="E45" s="63"/>
      <c r="F45" s="127"/>
      <c r="G45" s="50"/>
      <c r="H45" s="10"/>
      <c r="I45" s="10"/>
      <c r="J45" s="10"/>
      <c r="K45" s="10"/>
      <c r="L45" s="10"/>
      <c r="M45" s="39"/>
      <c r="N45" s="33">
        <f t="shared" ref="N45" si="54">((($H$5*H45)/100)+($I$5*I45)/100)+((J45*$J$5)/100)+(($K$5*K45)/100)+($L$5*L45)+($M$5*M45)</f>
        <v>0</v>
      </c>
      <c r="O45" s="52">
        <f t="shared" ref="O45" si="55">IF(D45="CLIENT O","OFFERT",IF(Q45&gt;=0,(Q45*(1-5%)),0))</f>
        <v>0</v>
      </c>
      <c r="P45" s="52">
        <f t="shared" ref="P45" si="56">IF(D45="CLIENT O","OFFERT",IF(Q45&gt;=0,(Q45-O45),0))</f>
        <v>0</v>
      </c>
      <c r="Q45" s="53" t="b">
        <f t="shared" ref="Q45:Q69" si="57">IF(AND(D45=CLEX,F45="HUILE"),((VLOOKUP(H45,TARIFP,2,0)+(S45*THE))*(1-G45))+E45,IF(AND(D45=CLEX,F45="AUTRE"),(VLOOKUP(L45,TARIFP,3,0)*(1-G45))+E45,IF(AND(D45=CLEX,F45="LAIT"),((S45*TL)*(1-G45))+E45,IF(AND(D45=CLEX,F45="EAU"),((S45*TE)*(1-G45))+E45,IF(AND(D45=CLSL,F45="HUILE"),(((S45*THL)*(1-G45))+(VLOOKUP(H45,TARIFP,2,0))),IF(AND(D45=CLSL,F45="AUTRE"),(((VLOOKUP(L45,TARIFP,3,0))*(1-G45))),IF(AND(D45=CLSL,F45="LAIT"),((S45*TL)*(1-G45)),IF(AND(D45=CLSL,F45="EAU"),((S45*TE)*(1-G45)),IF(D45=CLO,"OFFERT",IF(AND(F45="HUILE",D45=CLL),(((VLOOKUP(H45,TARIFP,2,0))+(VLOOKUP(S45,TARIFL,2,0)))),IF(AND(F45="LAIT",D45=CLL),(VLOOKUP(S45,TARIFL,6,0)),IF(AND(F45="EAU",D45=CLL),(VLOOKUP(S45,TARIFL,5,0)),IF(AND(D45=CLL,F45=AUTRE),(VLOOKUP(L45,TARIFP,3,0)),IF(AND(F45="HUILE",D45=CLD),(VLOOKUP(S45,TARIFL,3,0)+(VLOOKUP(H45,TARIFP,2,0))),IF(AND(F45="LAIT",D45=CLD),(VLOOKUP(S45,TARIFL,6,0)),IF(AND(F45="EAU",D45=CLD),(VLOOKUP(S45,TARIFL,5,0)),IF(AND(D45=CLD,F45=AUTRE),(VLOOKUP(L45,TARIFP,3,0)),IF(AND(F45="HUILE",D45=CLSD),((VLOOKUP(H45,TARIFP,2,0))+((S45*THD)*(1-G45))),IF(AND(F45="LAIT",D45=CLSD),((VLOOKUP(S45,TARIFL,6,0))*(1-G45)),IF(AND(F45="EAU",D45=CLSD),((VLOOKUP(S45,TARIFL,5,0))*(1-G45)),IF(AND(D45=CLS,F45=AUTRE),((VLOOKUP(L45,TARIFP,3,0))*(1-G45)),IF(AND(D45=CLS,F45="LAIT"),((S45*TL)*(1-G45)),IF(AND(D45=CLS,F45="EAU"),((S45*TE)*(1-G45)),IF(AND(F45="HUILE",D45=CLS),((VLOOKUP(H45,TARIFP,2,0)+(S45*THL))*(1-G45))))))))))))))))))))))))))</f>
        <v>0</v>
      </c>
      <c r="R45" s="152" t="s">
        <v>175</v>
      </c>
      <c r="S45" s="278">
        <f t="shared" ref="S45" si="58">(($I$5*I45)/100)+((J45*$J$5)/100)+(($K$5*K45)/100)+($L$5*L45)+($M$5*M45)</f>
        <v>0</v>
      </c>
      <c r="T45" s="231"/>
      <c r="U45" s="159" t="e">
        <f t="shared" si="48"/>
        <v>#N/A</v>
      </c>
      <c r="V45" s="41"/>
      <c r="W45" s="70" t="e">
        <f t="shared" si="49"/>
        <v>#N/A</v>
      </c>
      <c r="X45" s="70"/>
      <c r="Y45" s="159"/>
      <c r="Z45" s="159"/>
      <c r="AA45" s="160"/>
      <c r="AB45" s="158" t="e">
        <f t="shared" si="50"/>
        <v>#N/A</v>
      </c>
      <c r="AC45" s="94" t="e">
        <f t="shared" si="15"/>
        <v>#N/A</v>
      </c>
      <c r="AD45" s="95" t="e">
        <f t="shared" si="51"/>
        <v>#N/A</v>
      </c>
      <c r="AE45" s="95" t="e">
        <f t="shared" si="52"/>
        <v>#N/A</v>
      </c>
      <c r="AF45" s="95" t="e">
        <f t="shared" si="53"/>
        <v>#N/A</v>
      </c>
      <c r="AG45" s="96" t="e">
        <f t="shared" si="16"/>
        <v>#N/A</v>
      </c>
      <c r="AH45" s="431"/>
      <c r="AI45" s="1" t="s">
        <v>155</v>
      </c>
      <c r="AJ45" s="36">
        <f>SUMIFS($H$6:$H$69,$C$6:$C$69,AH44,$F$6:$F$69,AI45)</f>
        <v>0</v>
      </c>
      <c r="AK45" s="36">
        <f>SUMIFS($I$6:$I$69,$C$6:$C$69,AH44,$F$6:$F$69,AI45)</f>
        <v>0</v>
      </c>
      <c r="AL45" s="36">
        <f>SUMIFS($J$6:$J$69,$C$6:$C$69,AH44,$F$6:$F$69,AI45)</f>
        <v>0</v>
      </c>
      <c r="AM45" s="36">
        <f>SUMIFS($K$6:$K$69,$C$6:$C$69,AH44,$F$6:$F$69,AI45)</f>
        <v>0</v>
      </c>
      <c r="AN45" s="36">
        <f>SUMIFS($L$6:$L$69,$C$6:$C$69,AH44,$F$6:$F$69,AI45)</f>
        <v>0</v>
      </c>
      <c r="AO45" s="36">
        <f>SUMIFS($M$6:$M$69,$C$6:$C$69,AH44,$F$6:$F$69,AI45)</f>
        <v>0</v>
      </c>
      <c r="AP45" s="1" t="s">
        <v>155</v>
      </c>
      <c r="AQ45" s="83"/>
      <c r="AR45" s="63"/>
      <c r="AS45" s="63"/>
      <c r="AT45" s="63"/>
      <c r="AU45" s="79"/>
      <c r="AV45" s="79"/>
      <c r="AW45" s="55">
        <f>SUMIFS($O$6:$O$69,$C$6:$C$69,AH45,$F$6:$F$69,AI45)</f>
        <v>0</v>
      </c>
      <c r="AX45" s="275"/>
      <c r="AY45" s="80">
        <f>SUMIFS($Q$6:$Q$69,$C$6:$C$69,AH45,$F$6:$F$69,AI45)</f>
        <v>0</v>
      </c>
      <c r="BC45" s="201"/>
      <c r="BD45" s="222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63"/>
      <c r="BQ45" s="63"/>
      <c r="BR45" s="63"/>
      <c r="BS45" s="63"/>
      <c r="BT45" s="71">
        <f t="shared" si="42"/>
        <v>0</v>
      </c>
      <c r="BU45" s="71">
        <f t="shared" si="10"/>
        <v>0</v>
      </c>
      <c r="BV45" s="72"/>
    </row>
    <row r="46" spans="1:86" x14ac:dyDescent="0.3">
      <c r="A46" s="64"/>
      <c r="B46" s="148"/>
      <c r="C46" s="109"/>
      <c r="D46" s="63"/>
      <c r="E46" s="63"/>
      <c r="F46" s="127"/>
      <c r="G46" s="50"/>
      <c r="H46" s="10"/>
      <c r="I46" s="10"/>
      <c r="J46" s="10"/>
      <c r="K46" s="10"/>
      <c r="L46" s="10"/>
      <c r="M46" s="39"/>
      <c r="N46" s="33">
        <f t="shared" ref="N46:N69" si="59">((($H$5*H46)/100)+($I$5*I46)/100)+((J46*$J$5)/100)+(($K$5*K46)/100)+($L$5*L46)+($M$5*M46)</f>
        <v>0</v>
      </c>
      <c r="O46" s="52">
        <f t="shared" ref="O46:O69" si="60">IF(D46="CLIENT O","OFFERT",IF(Q46&gt;=0,(Q46*(1-5%)),0))</f>
        <v>0</v>
      </c>
      <c r="P46" s="52">
        <f t="shared" ref="P46:P69" si="61">IF(D46="CLIENT O","OFFERT",IF(Q46&gt;=0,(Q46-O46),0))</f>
        <v>0</v>
      </c>
      <c r="Q46" s="53" t="b">
        <f t="shared" si="57"/>
        <v>0</v>
      </c>
      <c r="R46" s="152" t="s">
        <v>175</v>
      </c>
      <c r="S46" s="278">
        <f t="shared" ref="S46:S69" si="62">(($I$5*I46)/100)+((J46*$J$5)/100)+(($K$5*K46)/100)+($L$5*L46)+($M$5*M46)</f>
        <v>0</v>
      </c>
      <c r="T46" s="231"/>
      <c r="U46" s="159" t="e">
        <f t="shared" si="48"/>
        <v>#N/A</v>
      </c>
      <c r="V46" s="41"/>
      <c r="W46" s="70" t="e">
        <f t="shared" si="49"/>
        <v>#N/A</v>
      </c>
      <c r="X46" s="70"/>
      <c r="Y46" s="159"/>
      <c r="Z46" s="159"/>
      <c r="AA46" s="160"/>
      <c r="AB46" s="158" t="e">
        <f t="shared" si="50"/>
        <v>#N/A</v>
      </c>
      <c r="AC46" s="94" t="e">
        <f t="shared" si="15"/>
        <v>#N/A</v>
      </c>
      <c r="AD46" s="95" t="e">
        <f t="shared" si="51"/>
        <v>#N/A</v>
      </c>
      <c r="AE46" s="95" t="e">
        <f t="shared" si="52"/>
        <v>#N/A</v>
      </c>
      <c r="AF46" s="95" t="e">
        <f t="shared" si="53"/>
        <v>#N/A</v>
      </c>
      <c r="AG46" s="96" t="e">
        <f t="shared" si="16"/>
        <v>#N/A</v>
      </c>
      <c r="AH46" s="431"/>
      <c r="AI46" s="91" t="s">
        <v>157</v>
      </c>
      <c r="AJ46" s="36">
        <f>SUMIFS($H$6:$H$69,$C$6:$C$69,AH46,$F$6:$F$69,AI46)</f>
        <v>0</v>
      </c>
      <c r="AK46" s="36">
        <f>SUMIFS($I$6:$I$69,$C$6:$C$69,AH46,$F$6:$F$69,AI46)</f>
        <v>0</v>
      </c>
      <c r="AL46" s="36">
        <f>SUMIFS($J$6:$J$69,$C$6:$C$69,AH46,$F$6:$F$69,AI46)</f>
        <v>0</v>
      </c>
      <c r="AM46" s="36">
        <f>SUMIFS($K$6:$K$69,$C$6:$C$69,AH46,$F$6:$F$69,AI46)</f>
        <v>0</v>
      </c>
      <c r="AN46" s="36">
        <f>SUMIFS($L$6:$L$69,$C$6:$C$69,AH46,$F$6:$F$69,AI46)</f>
        <v>0</v>
      </c>
      <c r="AO46" s="36">
        <f>SUMIFS($M$6:$M$69,$C$6:$C$69,AH46,$F$6:$F$69,AI46)</f>
        <v>0</v>
      </c>
      <c r="AP46" s="91" t="s">
        <v>157</v>
      </c>
      <c r="AQ46" s="83"/>
      <c r="AR46" s="63"/>
      <c r="AS46" s="63"/>
      <c r="AT46" s="63"/>
      <c r="AU46" s="79"/>
      <c r="AV46" s="79"/>
      <c r="AW46" s="55">
        <f>SUMIFS($O$6:$O$69,$C$6:$C$69,AH46,$F$6:$F$69,AI46)</f>
        <v>0</v>
      </c>
      <c r="AX46" s="275"/>
      <c r="AY46" s="80">
        <f>SUMIFS($Q$6:$Q$69,$C$6:$C$69,AH46,$F$6:$F$69,AI46)</f>
        <v>0</v>
      </c>
      <c r="BC46" s="201"/>
      <c r="BD46" s="222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71">
        <f t="shared" si="42"/>
        <v>0</v>
      </c>
      <c r="BU46" s="71">
        <f t="shared" si="10"/>
        <v>0</v>
      </c>
      <c r="BV46" s="72"/>
    </row>
    <row r="47" spans="1:86" x14ac:dyDescent="0.3">
      <c r="A47" s="64"/>
      <c r="B47" s="148"/>
      <c r="C47" s="109"/>
      <c r="D47" s="63"/>
      <c r="E47" s="63"/>
      <c r="F47" s="127"/>
      <c r="G47" s="50"/>
      <c r="H47" s="10"/>
      <c r="I47" s="10"/>
      <c r="J47" s="10"/>
      <c r="K47" s="10"/>
      <c r="L47" s="10"/>
      <c r="M47" s="39"/>
      <c r="N47" s="33">
        <f t="shared" si="59"/>
        <v>0</v>
      </c>
      <c r="O47" s="52">
        <f t="shared" si="60"/>
        <v>0</v>
      </c>
      <c r="P47" s="52">
        <f t="shared" si="61"/>
        <v>0</v>
      </c>
      <c r="Q47" s="53" t="b">
        <f t="shared" si="57"/>
        <v>0</v>
      </c>
      <c r="R47" s="152" t="s">
        <v>175</v>
      </c>
      <c r="S47" s="278">
        <f t="shared" si="62"/>
        <v>0</v>
      </c>
      <c r="T47" s="231"/>
      <c r="U47" s="159" t="e">
        <f t="shared" si="48"/>
        <v>#N/A</v>
      </c>
      <c r="V47" s="41"/>
      <c r="W47" s="70" t="e">
        <f t="shared" si="49"/>
        <v>#N/A</v>
      </c>
      <c r="X47" s="70"/>
      <c r="Y47" s="159"/>
      <c r="Z47" s="159"/>
      <c r="AA47" s="160"/>
      <c r="AB47" s="158" t="e">
        <f t="shared" si="50"/>
        <v>#N/A</v>
      </c>
      <c r="AC47" s="94" t="e">
        <f t="shared" si="15"/>
        <v>#N/A</v>
      </c>
      <c r="AD47" s="95" t="e">
        <f t="shared" si="51"/>
        <v>#N/A</v>
      </c>
      <c r="AE47" s="95" t="e">
        <f t="shared" si="52"/>
        <v>#N/A</v>
      </c>
      <c r="AF47" s="95" t="e">
        <f t="shared" si="53"/>
        <v>#N/A</v>
      </c>
      <c r="AG47" s="96" t="e">
        <f t="shared" si="16"/>
        <v>#N/A</v>
      </c>
      <c r="AH47" s="431"/>
      <c r="AI47" s="1" t="s">
        <v>155</v>
      </c>
      <c r="AJ47" s="36">
        <f>SUMIFS($H$6:$H$69,$C$6:$C$69,AH46,$F$6:$F$69,AI47)</f>
        <v>0</v>
      </c>
      <c r="AK47" s="36">
        <f>SUMIFS($I$6:$I$69,$C$6:$C$69,AH46,$F$6:$F$69,AI47)</f>
        <v>0</v>
      </c>
      <c r="AL47" s="36">
        <f>SUMIFS($J$6:$J$69,$C$6:$C$69,AH46,$F$6:$F$69,AI47)</f>
        <v>0</v>
      </c>
      <c r="AM47" s="36">
        <f>SUMIFS($K$6:$K$69,$C$6:$C$69,AH46,$F$6:$F$69,AI47)</f>
        <v>0</v>
      </c>
      <c r="AN47" s="36">
        <f>SUMIFS($L$6:$L$69,$C$6:$C$69,AH46,$F$6:$F$69,AI47)</f>
        <v>0</v>
      </c>
      <c r="AO47" s="36">
        <f>SUMIFS($M$6:$M$69,$C$6:$C$69,AH46,$F$6:$F$69,AI47)</f>
        <v>0</v>
      </c>
      <c r="AP47" s="1" t="s">
        <v>155</v>
      </c>
      <c r="AQ47" s="83"/>
      <c r="AR47" s="63"/>
      <c r="AS47" s="63"/>
      <c r="AT47" s="63"/>
      <c r="AU47" s="79"/>
      <c r="AV47" s="79"/>
      <c r="AW47" s="55">
        <f>SUMIFS($O$6:$O$69,$C$6:$C$69,AH47,$F$6:$F$69,AI47)</f>
        <v>0</v>
      </c>
      <c r="AX47" s="275"/>
      <c r="AY47" s="80">
        <f>SUMIFS($Q$6:$Q$69,$C$6:$C$69,AH47,$F$6:$F$69,AI47)</f>
        <v>0</v>
      </c>
      <c r="BC47" s="201"/>
      <c r="BD47" s="222"/>
      <c r="BE47" s="63"/>
      <c r="BF47" s="63"/>
      <c r="BG47" s="63"/>
      <c r="BH47" s="63"/>
      <c r="BI47" s="63"/>
      <c r="BJ47" s="63"/>
      <c r="BK47" s="63"/>
      <c r="BL47" s="63"/>
      <c r="BM47" s="63"/>
      <c r="BN47" s="63"/>
      <c r="BO47" s="63"/>
      <c r="BP47" s="63"/>
      <c r="BQ47" s="63"/>
      <c r="BR47" s="63"/>
      <c r="BS47" s="63"/>
      <c r="BT47" s="71">
        <f t="shared" si="42"/>
        <v>0</v>
      </c>
      <c r="BU47" s="71">
        <f t="shared" si="10"/>
        <v>0</v>
      </c>
      <c r="BV47" s="72"/>
    </row>
    <row r="48" spans="1:86" x14ac:dyDescent="0.3">
      <c r="A48" s="64"/>
      <c r="B48" s="148"/>
      <c r="C48" s="109"/>
      <c r="D48" s="63"/>
      <c r="E48" s="63"/>
      <c r="F48" s="127"/>
      <c r="G48" s="50"/>
      <c r="H48" s="10"/>
      <c r="I48" s="10"/>
      <c r="J48" s="10"/>
      <c r="K48" s="10"/>
      <c r="L48" s="10"/>
      <c r="M48" s="39"/>
      <c r="N48" s="33">
        <f t="shared" si="59"/>
        <v>0</v>
      </c>
      <c r="O48" s="52">
        <f t="shared" si="60"/>
        <v>0</v>
      </c>
      <c r="P48" s="52">
        <f t="shared" si="61"/>
        <v>0</v>
      </c>
      <c r="Q48" s="53" t="b">
        <f t="shared" si="57"/>
        <v>0</v>
      </c>
      <c r="R48" s="152" t="s">
        <v>175</v>
      </c>
      <c r="S48" s="278">
        <f t="shared" si="62"/>
        <v>0</v>
      </c>
      <c r="T48" s="231"/>
      <c r="U48" s="159" t="e">
        <f t="shared" si="48"/>
        <v>#N/A</v>
      </c>
      <c r="V48" s="41"/>
      <c r="W48" s="70" t="e">
        <f t="shared" si="49"/>
        <v>#N/A</v>
      </c>
      <c r="X48" s="70"/>
      <c r="Y48" s="159"/>
      <c r="Z48" s="159"/>
      <c r="AA48" s="160"/>
      <c r="AB48" s="158" t="e">
        <f t="shared" si="50"/>
        <v>#N/A</v>
      </c>
      <c r="AC48" s="94" t="e">
        <f t="shared" si="15"/>
        <v>#N/A</v>
      </c>
      <c r="AD48" s="95" t="e">
        <f t="shared" si="51"/>
        <v>#N/A</v>
      </c>
      <c r="AE48" s="95" t="e">
        <f t="shared" si="52"/>
        <v>#N/A</v>
      </c>
      <c r="AF48" s="95" t="e">
        <f t="shared" si="53"/>
        <v>#N/A</v>
      </c>
      <c r="AG48" s="96" t="e">
        <f t="shared" si="16"/>
        <v>#N/A</v>
      </c>
      <c r="AH48" s="431"/>
      <c r="AI48" s="91" t="s">
        <v>157</v>
      </c>
      <c r="AJ48" s="36">
        <f>SUMIFS($H$6:$H$69,$C$6:$C$69,AH48,$F$6:$F$69,AI48)</f>
        <v>0</v>
      </c>
      <c r="AK48" s="36">
        <f>SUMIFS($I$6:$I$69,$C$6:$C$69,AH48,$F$6:$F$69,AI48)</f>
        <v>0</v>
      </c>
      <c r="AL48" s="36">
        <f>SUMIFS($J$6:$J$69,$C$6:$C$69,AH48,$F$6:$F$69,AI48)</f>
        <v>0</v>
      </c>
      <c r="AM48" s="36">
        <f>SUMIFS($K$6:$K$69,$C$6:$C$69,AH48,$F$6:$F$69,AI48)</f>
        <v>0</v>
      </c>
      <c r="AN48" s="36">
        <f>SUMIFS($L$6:$L$69,$C$6:$C$69,AH48,$F$6:$F$69,AI48)</f>
        <v>0</v>
      </c>
      <c r="AO48" s="36">
        <f>SUMIFS($M$6:$M$69,$C$6:$C$69,AH48,$F$6:$F$69,AI48)</f>
        <v>0</v>
      </c>
      <c r="AP48" s="91" t="s">
        <v>157</v>
      </c>
      <c r="AQ48" s="83"/>
      <c r="AR48" s="63"/>
      <c r="AS48" s="63"/>
      <c r="AT48" s="63"/>
      <c r="AU48" s="79"/>
      <c r="AV48" s="79"/>
      <c r="AW48" s="55">
        <f>SUMIFS($O$6:$O$69,$C$6:$C$69,AH48,$F$6:$F$69,AI48)</f>
        <v>0</v>
      </c>
      <c r="AX48" s="275"/>
      <c r="AY48" s="80">
        <f>SUMIFS($Q$6:$Q$69,$C$6:$C$69,AH48,$F$6:$F$69,AI48)</f>
        <v>0</v>
      </c>
      <c r="BC48" s="201"/>
      <c r="BD48" s="222"/>
      <c r="BE48" s="63"/>
      <c r="BF48" s="63"/>
      <c r="BG48" s="63"/>
      <c r="BH48" s="63"/>
      <c r="BI48" s="63"/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71">
        <f t="shared" si="42"/>
        <v>0</v>
      </c>
      <c r="BU48" s="71">
        <f t="shared" si="10"/>
        <v>0</v>
      </c>
      <c r="BV48" s="72"/>
    </row>
    <row r="49" spans="1:74" x14ac:dyDescent="0.3">
      <c r="A49" s="64"/>
      <c r="B49" s="148"/>
      <c r="C49" s="109"/>
      <c r="D49" s="63"/>
      <c r="E49" s="63"/>
      <c r="F49" s="127"/>
      <c r="G49" s="50"/>
      <c r="H49" s="10"/>
      <c r="I49" s="10"/>
      <c r="J49" s="10"/>
      <c r="K49" s="10"/>
      <c r="L49" s="10"/>
      <c r="M49" s="39"/>
      <c r="N49" s="33">
        <f t="shared" si="59"/>
        <v>0</v>
      </c>
      <c r="O49" s="52">
        <f t="shared" si="60"/>
        <v>0</v>
      </c>
      <c r="P49" s="52">
        <f t="shared" si="61"/>
        <v>0</v>
      </c>
      <c r="Q49" s="53" t="b">
        <f t="shared" si="57"/>
        <v>0</v>
      </c>
      <c r="R49" s="152" t="s">
        <v>175</v>
      </c>
      <c r="S49" s="278">
        <f t="shared" si="62"/>
        <v>0</v>
      </c>
      <c r="T49" s="231"/>
      <c r="U49" s="159" t="e">
        <f t="shared" si="48"/>
        <v>#N/A</v>
      </c>
      <c r="V49" s="41"/>
      <c r="W49" s="70" t="e">
        <f t="shared" si="49"/>
        <v>#N/A</v>
      </c>
      <c r="X49" s="70"/>
      <c r="Y49" s="159"/>
      <c r="Z49" s="159"/>
      <c r="AA49" s="160"/>
      <c r="AB49" s="158" t="e">
        <f t="shared" si="50"/>
        <v>#N/A</v>
      </c>
      <c r="AC49" s="94" t="e">
        <f t="shared" si="15"/>
        <v>#N/A</v>
      </c>
      <c r="AD49" s="95" t="e">
        <f t="shared" si="51"/>
        <v>#N/A</v>
      </c>
      <c r="AE49" s="95" t="e">
        <f t="shared" si="52"/>
        <v>#N/A</v>
      </c>
      <c r="AF49" s="95" t="e">
        <f t="shared" si="53"/>
        <v>#N/A</v>
      </c>
      <c r="AG49" s="96" t="e">
        <f t="shared" si="16"/>
        <v>#N/A</v>
      </c>
      <c r="AH49" s="431"/>
      <c r="AI49" s="1" t="s">
        <v>155</v>
      </c>
      <c r="AJ49" s="36">
        <f>SUMIFS($H$6:$H$69,$C$6:$C$69,AH48,$F$6:$F$69,AI49)</f>
        <v>0</v>
      </c>
      <c r="AK49" s="36">
        <f>SUMIFS($I$6:$I$69,$C$6:$C$69,AH48,$F$6:$F$69,AI49)</f>
        <v>0</v>
      </c>
      <c r="AL49" s="36">
        <f>SUMIFS($J$6:$J$69,$C$6:$C$69,AH48,$F$6:$F$69,AI49)</f>
        <v>0</v>
      </c>
      <c r="AM49" s="36">
        <f>SUMIFS($K$6:$K$69,$C$6:$C$69,AH48,$F$6:$F$69,AI49)</f>
        <v>0</v>
      </c>
      <c r="AN49" s="36">
        <f>SUMIFS($L$6:$L$69,$C$6:$C$69,AH48,$F$6:$F$69,AI49)</f>
        <v>0</v>
      </c>
      <c r="AO49" s="36">
        <f>SUMIFS($M$6:$M$69,$C$6:$C$69,AH48,$F$6:$F$69,AI49)</f>
        <v>0</v>
      </c>
      <c r="AP49" s="1" t="s">
        <v>155</v>
      </c>
      <c r="AQ49" s="83"/>
      <c r="AR49" s="63"/>
      <c r="AS49" s="63"/>
      <c r="AT49" s="63"/>
      <c r="AU49" s="79"/>
      <c r="AV49" s="79"/>
      <c r="AW49" s="55">
        <f>SUMIFS($O$6:$O$69,$C$6:$C$69,AH49,$F$6:$F$69,AI49)</f>
        <v>0</v>
      </c>
      <c r="AX49" s="275"/>
      <c r="AY49" s="80">
        <f>SUMIFS($Q$6:$Q$69,$C$6:$C$69,AH49,$F$6:$F$69,AI49)</f>
        <v>0</v>
      </c>
      <c r="BC49" s="201"/>
      <c r="BD49" s="222"/>
      <c r="BE49" s="63"/>
      <c r="BF49" s="63"/>
      <c r="BG49" s="63"/>
      <c r="BH49" s="63"/>
      <c r="BI49" s="63"/>
      <c r="BJ49" s="63"/>
      <c r="BK49" s="63"/>
      <c r="BL49" s="63"/>
      <c r="BM49" s="63"/>
      <c r="BN49" s="63"/>
      <c r="BO49" s="63"/>
      <c r="BP49" s="63"/>
      <c r="BQ49" s="63"/>
      <c r="BR49" s="63"/>
      <c r="BS49" s="63"/>
      <c r="BT49" s="71">
        <f t="shared" si="42"/>
        <v>0</v>
      </c>
      <c r="BU49" s="71">
        <f t="shared" si="10"/>
        <v>0</v>
      </c>
      <c r="BV49" s="72"/>
    </row>
    <row r="50" spans="1:74" x14ac:dyDescent="0.3">
      <c r="A50" s="64"/>
      <c r="B50" s="148"/>
      <c r="C50" s="109"/>
      <c r="D50" s="63"/>
      <c r="E50" s="63"/>
      <c r="F50" s="127"/>
      <c r="G50" s="50"/>
      <c r="H50" s="10"/>
      <c r="I50" s="10"/>
      <c r="J50" s="10"/>
      <c r="K50" s="10"/>
      <c r="L50" s="10"/>
      <c r="M50" s="39"/>
      <c r="N50" s="33">
        <f t="shared" si="59"/>
        <v>0</v>
      </c>
      <c r="O50" s="52">
        <f t="shared" si="60"/>
        <v>0</v>
      </c>
      <c r="P50" s="52">
        <f t="shared" si="61"/>
        <v>0</v>
      </c>
      <c r="Q50" s="53" t="b">
        <f t="shared" si="57"/>
        <v>0</v>
      </c>
      <c r="R50" s="152" t="s">
        <v>175</v>
      </c>
      <c r="S50" s="278">
        <f t="shared" si="62"/>
        <v>0</v>
      </c>
      <c r="T50" s="231"/>
      <c r="U50" s="159" t="e">
        <f t="shared" si="48"/>
        <v>#N/A</v>
      </c>
      <c r="V50" s="41"/>
      <c r="W50" s="70" t="e">
        <f t="shared" si="49"/>
        <v>#N/A</v>
      </c>
      <c r="X50" s="70"/>
      <c r="Y50" s="159"/>
      <c r="Z50" s="159"/>
      <c r="AA50" s="160"/>
      <c r="AB50" s="158" t="e">
        <f t="shared" si="50"/>
        <v>#N/A</v>
      </c>
      <c r="AC50" s="94" t="e">
        <f t="shared" si="15"/>
        <v>#N/A</v>
      </c>
      <c r="AD50" s="95" t="e">
        <f t="shared" si="51"/>
        <v>#N/A</v>
      </c>
      <c r="AE50" s="95" t="e">
        <f t="shared" si="52"/>
        <v>#N/A</v>
      </c>
      <c r="AF50" s="95" t="e">
        <f t="shared" si="53"/>
        <v>#N/A</v>
      </c>
      <c r="AG50" s="96" t="e">
        <f t="shared" si="16"/>
        <v>#N/A</v>
      </c>
      <c r="AH50" s="431"/>
      <c r="AI50" s="91" t="s">
        <v>157</v>
      </c>
      <c r="AJ50" s="36">
        <f>SUMIFS($H$6:$H$69,$C$6:$C$69,AH50,$F$6:$F$69,AI50)</f>
        <v>0</v>
      </c>
      <c r="AK50" s="36">
        <f>SUMIFS($I$6:$I$69,$C$6:$C$69,AH50,$F$6:$F$69,AI50)</f>
        <v>0</v>
      </c>
      <c r="AL50" s="36">
        <f>SUMIFS($J$6:$J$69,$C$6:$C$69,AH50,$F$6:$F$69,AI50)</f>
        <v>0</v>
      </c>
      <c r="AM50" s="36">
        <f>SUMIFS($K$6:$K$69,$C$6:$C$69,AH50,$F$6:$F$69,AI50)</f>
        <v>0</v>
      </c>
      <c r="AN50" s="36">
        <f>SUMIFS($L$6:$L$69,$C$6:$C$69,AH50,$F$6:$F$69,AI50)</f>
        <v>0</v>
      </c>
      <c r="AO50" s="36">
        <f>SUMIFS($M$6:$M$69,$C$6:$C$69,AH50,$F$6:$F$69,AI50)</f>
        <v>0</v>
      </c>
      <c r="AP50" s="91" t="s">
        <v>157</v>
      </c>
      <c r="AQ50" s="83"/>
      <c r="AR50" s="63"/>
      <c r="AS50" s="63"/>
      <c r="AT50" s="63"/>
      <c r="AU50" s="79"/>
      <c r="AV50" s="79"/>
      <c r="AW50" s="55">
        <f>SUMIFS($O$6:$O$69,$C$6:$C$69,AH50,$F$6:$F$69,AI50)</f>
        <v>0</v>
      </c>
      <c r="AX50" s="275"/>
      <c r="AY50" s="80">
        <f>SUMIFS($Q$6:$Q$69,$C$6:$C$69,AH50,$F$6:$F$69,AI50)</f>
        <v>0</v>
      </c>
      <c r="BC50" s="201"/>
      <c r="BD50" s="222"/>
      <c r="BE50" s="63"/>
      <c r="BF50" s="63"/>
      <c r="BG50" s="63"/>
      <c r="BH50" s="63"/>
      <c r="BI50" s="63"/>
      <c r="BJ50" s="63"/>
      <c r="BK50" s="63"/>
      <c r="BL50" s="63"/>
      <c r="BM50" s="63"/>
      <c r="BN50" s="63"/>
      <c r="BO50" s="63"/>
      <c r="BP50" s="63"/>
      <c r="BQ50" s="63"/>
      <c r="BR50" s="63"/>
      <c r="BS50" s="63"/>
      <c r="BT50" s="71">
        <f t="shared" si="42"/>
        <v>0</v>
      </c>
      <c r="BU50" s="71">
        <f t="shared" si="10"/>
        <v>0</v>
      </c>
      <c r="BV50" s="72"/>
    </row>
    <row r="51" spans="1:74" x14ac:dyDescent="0.3">
      <c r="A51" s="64"/>
      <c r="B51" s="148"/>
      <c r="C51" s="109"/>
      <c r="D51" s="63"/>
      <c r="E51" s="63"/>
      <c r="F51" s="127"/>
      <c r="G51" s="50"/>
      <c r="H51" s="10"/>
      <c r="I51" s="10"/>
      <c r="J51" s="10"/>
      <c r="K51" s="10"/>
      <c r="L51" s="10"/>
      <c r="M51" s="39"/>
      <c r="N51" s="33">
        <f t="shared" si="59"/>
        <v>0</v>
      </c>
      <c r="O51" s="52">
        <f t="shared" si="60"/>
        <v>0</v>
      </c>
      <c r="P51" s="52">
        <f t="shared" si="61"/>
        <v>0</v>
      </c>
      <c r="Q51" s="53" t="b">
        <f t="shared" si="57"/>
        <v>0</v>
      </c>
      <c r="R51" s="152" t="s">
        <v>175</v>
      </c>
      <c r="S51" s="278">
        <f t="shared" si="62"/>
        <v>0</v>
      </c>
      <c r="T51" s="231"/>
      <c r="U51" s="159" t="e">
        <f t="shared" si="48"/>
        <v>#N/A</v>
      </c>
      <c r="V51" s="41"/>
      <c r="W51" s="70" t="e">
        <f t="shared" si="49"/>
        <v>#N/A</v>
      </c>
      <c r="X51" s="70"/>
      <c r="Y51" s="159"/>
      <c r="Z51" s="159"/>
      <c r="AA51" s="160"/>
      <c r="AB51" s="158" t="e">
        <f t="shared" si="50"/>
        <v>#N/A</v>
      </c>
      <c r="AC51" s="94" t="e">
        <f t="shared" si="15"/>
        <v>#N/A</v>
      </c>
      <c r="AD51" s="95" t="e">
        <f t="shared" si="51"/>
        <v>#N/A</v>
      </c>
      <c r="AE51" s="95" t="e">
        <f t="shared" si="52"/>
        <v>#N/A</v>
      </c>
      <c r="AF51" s="95" t="e">
        <f t="shared" si="53"/>
        <v>#N/A</v>
      </c>
      <c r="AG51" s="96" t="e">
        <f t="shared" si="16"/>
        <v>#N/A</v>
      </c>
      <c r="AH51" s="431"/>
      <c r="AI51" s="1" t="s">
        <v>155</v>
      </c>
      <c r="AJ51" s="36">
        <f>SUMIFS($H$6:$H$69,$C$6:$C$69,AH50,$F$6:$F$69,AI51)</f>
        <v>0</v>
      </c>
      <c r="AK51" s="36">
        <f>SUMIFS($I$6:$I$69,$C$6:$C$69,AH50,$F$6:$F$69,AI51)</f>
        <v>0</v>
      </c>
      <c r="AL51" s="36">
        <f>SUMIFS($J$6:$J$69,$C$6:$C$69,AH50,$F$6:$F$69,AI51)</f>
        <v>0</v>
      </c>
      <c r="AM51" s="36">
        <f>SUMIFS($K$6:$K$69,$C$6:$C$69,AH50,$F$6:$F$69,AI51)</f>
        <v>0</v>
      </c>
      <c r="AN51" s="36">
        <f>SUMIFS($L$6:$L$69,$C$6:$C$69,AH50,$F$6:$F$69,AI51)</f>
        <v>0</v>
      </c>
      <c r="AO51" s="36">
        <f>SUMIFS($M$6:$M$69,$C$6:$C$69,AH50,$F$6:$F$69,AI51)</f>
        <v>0</v>
      </c>
      <c r="AP51" s="1" t="s">
        <v>155</v>
      </c>
      <c r="AQ51" s="83"/>
      <c r="AR51" s="63"/>
      <c r="AS51" s="63"/>
      <c r="AT51" s="63"/>
      <c r="AU51" s="79"/>
      <c r="AV51" s="79"/>
      <c r="AW51" s="55">
        <f>SUMIFS($O$6:$O$69,$C$6:$C$69,AH51,$F$6:$F$69,AI51)</f>
        <v>0</v>
      </c>
      <c r="AX51" s="275"/>
      <c r="AY51" s="80">
        <f>SUMIFS($Q$6:$Q$69,$C$6:$C$69,AH51,$F$6:$F$69,AI51)</f>
        <v>0</v>
      </c>
      <c r="BC51" s="201"/>
      <c r="BD51" s="222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71">
        <f t="shared" si="42"/>
        <v>0</v>
      </c>
      <c r="BU51" s="71">
        <f t="shared" si="10"/>
        <v>0</v>
      </c>
      <c r="BV51" s="72"/>
    </row>
    <row r="52" spans="1:74" x14ac:dyDescent="0.3">
      <c r="A52" s="64"/>
      <c r="B52" s="148"/>
      <c r="C52" s="109"/>
      <c r="D52" s="63"/>
      <c r="E52" s="63"/>
      <c r="F52" s="127"/>
      <c r="G52" s="50"/>
      <c r="H52" s="10"/>
      <c r="I52" s="10"/>
      <c r="J52" s="10"/>
      <c r="K52" s="10"/>
      <c r="L52" s="10"/>
      <c r="M52" s="39"/>
      <c r="N52" s="33">
        <f t="shared" si="59"/>
        <v>0</v>
      </c>
      <c r="O52" s="52">
        <f t="shared" si="60"/>
        <v>0</v>
      </c>
      <c r="P52" s="52">
        <f t="shared" si="61"/>
        <v>0</v>
      </c>
      <c r="Q52" s="53" t="b">
        <f t="shared" si="57"/>
        <v>0</v>
      </c>
      <c r="R52" s="152" t="s">
        <v>175</v>
      </c>
      <c r="S52" s="278">
        <f t="shared" si="62"/>
        <v>0</v>
      </c>
      <c r="T52" s="231"/>
      <c r="U52" s="159" t="e">
        <f t="shared" si="48"/>
        <v>#N/A</v>
      </c>
      <c r="V52" s="41"/>
      <c r="W52" s="70" t="e">
        <f t="shared" si="49"/>
        <v>#N/A</v>
      </c>
      <c r="X52" s="70"/>
      <c r="Y52" s="159"/>
      <c r="Z52" s="159"/>
      <c r="AA52" s="160"/>
      <c r="AB52" s="158" t="e">
        <f t="shared" si="50"/>
        <v>#N/A</v>
      </c>
      <c r="AC52" s="94" t="e">
        <f t="shared" si="15"/>
        <v>#N/A</v>
      </c>
      <c r="AD52" s="95" t="e">
        <f t="shared" si="51"/>
        <v>#N/A</v>
      </c>
      <c r="AE52" s="95" t="e">
        <f t="shared" si="52"/>
        <v>#N/A</v>
      </c>
      <c r="AF52" s="95" t="e">
        <f t="shared" si="53"/>
        <v>#N/A</v>
      </c>
      <c r="AG52" s="96" t="e">
        <f t="shared" si="16"/>
        <v>#N/A</v>
      </c>
      <c r="AH52" s="431"/>
      <c r="AI52" s="91" t="s">
        <v>157</v>
      </c>
      <c r="AJ52" s="36">
        <f>SUMIFS($H$6:$H$69,$C$6:$C$69,AH52,$F$6:$F$69,AI52)</f>
        <v>0</v>
      </c>
      <c r="AK52" s="36">
        <f>SUMIFS($I$6:$I$69,$C$6:$C$69,AH52,$F$6:$F$69,AI52)</f>
        <v>0</v>
      </c>
      <c r="AL52" s="36">
        <f>SUMIFS($J$6:$J$69,$C$6:$C$69,AH52,$F$6:$F$69,AI52)</f>
        <v>0</v>
      </c>
      <c r="AM52" s="36">
        <f>SUMIFS($K$6:$K$69,$C$6:$C$69,AH52,$F$6:$F$69,AI52)</f>
        <v>0</v>
      </c>
      <c r="AN52" s="36">
        <f>SUMIFS($L$6:$L$69,$C$6:$C$69,AH52,$F$6:$F$69,AI52)</f>
        <v>0</v>
      </c>
      <c r="AO52" s="36">
        <f>SUMIFS($M$6:$M$69,$C$6:$C$69,AH52,$F$6:$F$69,AI52)</f>
        <v>0</v>
      </c>
      <c r="AP52" s="91" t="s">
        <v>157</v>
      </c>
      <c r="AQ52" s="83"/>
      <c r="AR52" s="63"/>
      <c r="AS52" s="63"/>
      <c r="AT52" s="63"/>
      <c r="AU52" s="79"/>
      <c r="AV52" s="79"/>
      <c r="AW52" s="55">
        <f>SUMIFS($O$6:$O$69,$C$6:$C$69,AH52,$F$6:$F$69,AI52)</f>
        <v>0</v>
      </c>
      <c r="AX52" s="275"/>
      <c r="AY52" s="80">
        <f>SUMIFS($Q$6:$Q$69,$C$6:$C$69,AH52,$F$6:$F$69,AI52)</f>
        <v>0</v>
      </c>
      <c r="BC52" s="201"/>
      <c r="BD52" s="222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71">
        <f t="shared" si="42"/>
        <v>0</v>
      </c>
      <c r="BU52" s="71">
        <f t="shared" si="10"/>
        <v>0</v>
      </c>
      <c r="BV52" s="72"/>
    </row>
    <row r="53" spans="1:74" x14ac:dyDescent="0.3">
      <c r="A53" s="64"/>
      <c r="B53" s="148"/>
      <c r="C53" s="109"/>
      <c r="D53" s="63"/>
      <c r="E53" s="63"/>
      <c r="F53" s="127"/>
      <c r="G53" s="50"/>
      <c r="H53" s="10"/>
      <c r="I53" s="10"/>
      <c r="J53" s="10"/>
      <c r="K53" s="10"/>
      <c r="L53" s="10"/>
      <c r="M53" s="39"/>
      <c r="N53" s="33">
        <f t="shared" si="59"/>
        <v>0</v>
      </c>
      <c r="O53" s="52">
        <f t="shared" si="60"/>
        <v>0</v>
      </c>
      <c r="P53" s="52">
        <f t="shared" si="61"/>
        <v>0</v>
      </c>
      <c r="Q53" s="53" t="b">
        <f t="shared" si="57"/>
        <v>0</v>
      </c>
      <c r="R53" s="152" t="s">
        <v>175</v>
      </c>
      <c r="S53" s="278">
        <f t="shared" si="62"/>
        <v>0</v>
      </c>
      <c r="T53" s="231"/>
      <c r="U53" s="159" t="e">
        <f t="shared" si="48"/>
        <v>#N/A</v>
      </c>
      <c r="V53" s="41"/>
      <c r="W53" s="70" t="e">
        <f t="shared" si="49"/>
        <v>#N/A</v>
      </c>
      <c r="X53" s="70"/>
      <c r="Y53" s="159"/>
      <c r="Z53" s="159"/>
      <c r="AA53" s="160"/>
      <c r="AB53" s="158" t="e">
        <f t="shared" si="50"/>
        <v>#N/A</v>
      </c>
      <c r="AC53" s="94" t="e">
        <f t="shared" si="15"/>
        <v>#N/A</v>
      </c>
      <c r="AD53" s="95" t="e">
        <f t="shared" si="51"/>
        <v>#N/A</v>
      </c>
      <c r="AE53" s="95" t="e">
        <f t="shared" si="52"/>
        <v>#N/A</v>
      </c>
      <c r="AF53" s="95" t="e">
        <f t="shared" si="53"/>
        <v>#N/A</v>
      </c>
      <c r="AG53" s="96" t="e">
        <f t="shared" si="16"/>
        <v>#N/A</v>
      </c>
      <c r="AH53" s="431"/>
      <c r="AI53" s="1" t="s">
        <v>155</v>
      </c>
      <c r="AJ53" s="36">
        <f>SUMIFS($H$6:$H$69,$C$6:$C$69,AH52,$F$6:$F$69,AI53)</f>
        <v>0</v>
      </c>
      <c r="AK53" s="36">
        <f>SUMIFS($I$6:$I$69,$C$6:$C$69,AH52,$F$6:$F$69,AI53)</f>
        <v>0</v>
      </c>
      <c r="AL53" s="36">
        <f>SUMIFS($J$6:$J$69,$C$6:$C$69,AH52,$F$6:$F$69,AI53)</f>
        <v>0</v>
      </c>
      <c r="AM53" s="36">
        <f>SUMIFS($K$6:$K$69,$C$6:$C$69,AH52,$F$6:$F$69,AI53)</f>
        <v>0</v>
      </c>
      <c r="AN53" s="36">
        <f>SUMIFS($L$6:$L$69,$C$6:$C$69,AH52,$F$6:$F$69,AI53)</f>
        <v>0</v>
      </c>
      <c r="AO53" s="36">
        <f>SUMIFS($M$6:$M$69,$C$6:$C$69,AH52,$F$6:$F$69,AI53)</f>
        <v>0</v>
      </c>
      <c r="AP53" s="1" t="s">
        <v>155</v>
      </c>
      <c r="AQ53" s="83"/>
      <c r="AR53" s="63"/>
      <c r="AS53" s="63"/>
      <c r="AT53" s="63"/>
      <c r="AU53" s="79"/>
      <c r="AV53" s="79"/>
      <c r="AW53" s="55">
        <f>SUMIFS($O$6:$O$69,$C$6:$C$69,AH53,$F$6:$F$69,AI53)</f>
        <v>0</v>
      </c>
      <c r="AX53" s="275"/>
      <c r="AY53" s="80">
        <f>SUMIFS($Q$6:$Q$69,$C$6:$C$69,AH53,$F$6:$F$69,AI53)</f>
        <v>0</v>
      </c>
      <c r="BC53" s="201"/>
      <c r="BD53" s="222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71">
        <f t="shared" si="42"/>
        <v>0</v>
      </c>
      <c r="BU53" s="71">
        <f t="shared" si="10"/>
        <v>0</v>
      </c>
      <c r="BV53" s="72"/>
    </row>
    <row r="54" spans="1:74" x14ac:dyDescent="0.3">
      <c r="A54" s="64"/>
      <c r="B54" s="148"/>
      <c r="C54" s="109"/>
      <c r="D54" s="63"/>
      <c r="E54" s="63"/>
      <c r="F54" s="127"/>
      <c r="G54" s="50"/>
      <c r="H54" s="10"/>
      <c r="I54" s="10"/>
      <c r="J54" s="10"/>
      <c r="K54" s="10"/>
      <c r="L54" s="10"/>
      <c r="M54" s="39"/>
      <c r="N54" s="33">
        <f t="shared" si="59"/>
        <v>0</v>
      </c>
      <c r="O54" s="52">
        <f t="shared" si="60"/>
        <v>0</v>
      </c>
      <c r="P54" s="52">
        <f t="shared" si="61"/>
        <v>0</v>
      </c>
      <c r="Q54" s="53" t="b">
        <f t="shared" si="57"/>
        <v>0</v>
      </c>
      <c r="R54" s="152" t="s">
        <v>175</v>
      </c>
      <c r="S54" s="278">
        <f t="shared" si="62"/>
        <v>0</v>
      </c>
      <c r="T54" s="231"/>
      <c r="U54" s="159" t="e">
        <f t="shared" si="48"/>
        <v>#N/A</v>
      </c>
      <c r="V54" s="41"/>
      <c r="W54" s="70" t="e">
        <f t="shared" si="49"/>
        <v>#N/A</v>
      </c>
      <c r="X54" s="70"/>
      <c r="Y54" s="159"/>
      <c r="Z54" s="159"/>
      <c r="AA54" s="160"/>
      <c r="AB54" s="158" t="e">
        <f t="shared" si="50"/>
        <v>#N/A</v>
      </c>
      <c r="AC54" s="94" t="e">
        <f t="shared" si="15"/>
        <v>#N/A</v>
      </c>
      <c r="AD54" s="95" t="e">
        <f t="shared" si="51"/>
        <v>#N/A</v>
      </c>
      <c r="AE54" s="95" t="e">
        <f t="shared" si="52"/>
        <v>#N/A</v>
      </c>
      <c r="AF54" s="95" t="e">
        <f t="shared" si="53"/>
        <v>#N/A</v>
      </c>
      <c r="AG54" s="96" t="e">
        <f t="shared" si="16"/>
        <v>#N/A</v>
      </c>
      <c r="AH54" s="431"/>
      <c r="AI54" s="91" t="s">
        <v>157</v>
      </c>
      <c r="AJ54" s="36">
        <f>SUMIFS($H$6:$H$69,$C$6:$C$69,AH54,$F$6:$F$69,AI54)</f>
        <v>0</v>
      </c>
      <c r="AK54" s="36">
        <f>SUMIFS($I$6:$I$69,$C$6:$C$69,AH54,$F$6:$F$69,AI54)</f>
        <v>0</v>
      </c>
      <c r="AL54" s="36">
        <f>SUMIFS($J$6:$J$69,$C$6:$C$69,AH54,$F$6:$F$69,AI54)</f>
        <v>0</v>
      </c>
      <c r="AM54" s="36">
        <f>SUMIFS($K$6:$K$69,$C$6:$C$69,AH54,$F$6:$F$69,AI54)</f>
        <v>0</v>
      </c>
      <c r="AN54" s="36">
        <f>SUMIFS($L$6:$L$69,$C$6:$C$69,AH54,$F$6:$F$69,AI54)</f>
        <v>0</v>
      </c>
      <c r="AO54" s="36">
        <f>SUMIFS($M$6:$M$69,$C$6:$C$69,AH54,$F$6:$F$69,AI54)</f>
        <v>0</v>
      </c>
      <c r="AP54" s="91" t="s">
        <v>157</v>
      </c>
      <c r="AQ54" s="83"/>
      <c r="AR54" s="63"/>
      <c r="AS54" s="63"/>
      <c r="AT54" s="63"/>
      <c r="AU54" s="79"/>
      <c r="AV54" s="79"/>
      <c r="AW54" s="55">
        <f>SUMIFS($O$6:$O$69,$C$6:$C$69,AH54,$F$6:$F$69,AI54)</f>
        <v>0</v>
      </c>
      <c r="AX54" s="275"/>
      <c r="AY54" s="80">
        <f>SUMIFS($Q$6:$Q$69,$C$6:$C$69,AH54,$F$6:$F$69,AI54)</f>
        <v>0</v>
      </c>
      <c r="BC54" s="201"/>
      <c r="BD54" s="222"/>
      <c r="BE54" s="63"/>
      <c r="BF54" s="63"/>
      <c r="BG54" s="63"/>
      <c r="BH54" s="63"/>
      <c r="BI54" s="63"/>
      <c r="BJ54" s="63"/>
      <c r="BK54" s="63"/>
      <c r="BL54" s="63"/>
      <c r="BM54" s="63"/>
      <c r="BN54" s="63"/>
      <c r="BO54" s="63"/>
      <c r="BP54" s="63"/>
      <c r="BQ54" s="63"/>
      <c r="BR54" s="63"/>
      <c r="BS54" s="63"/>
      <c r="BT54" s="71">
        <f t="shared" si="42"/>
        <v>0</v>
      </c>
      <c r="BU54" s="71">
        <f t="shared" si="10"/>
        <v>0</v>
      </c>
      <c r="BV54" s="72"/>
    </row>
    <row r="55" spans="1:74" x14ac:dyDescent="0.3">
      <c r="A55" s="64"/>
      <c r="B55" s="148"/>
      <c r="C55" s="109"/>
      <c r="D55" s="63"/>
      <c r="E55" s="63"/>
      <c r="F55" s="127"/>
      <c r="G55" s="50"/>
      <c r="H55" s="10"/>
      <c r="I55" s="10"/>
      <c r="J55" s="10"/>
      <c r="K55" s="10"/>
      <c r="L55" s="10"/>
      <c r="M55" s="39"/>
      <c r="N55" s="33">
        <f t="shared" si="59"/>
        <v>0</v>
      </c>
      <c r="O55" s="52">
        <f t="shared" si="60"/>
        <v>0</v>
      </c>
      <c r="P55" s="52">
        <f t="shared" si="61"/>
        <v>0</v>
      </c>
      <c r="Q55" s="53" t="b">
        <f t="shared" si="57"/>
        <v>0</v>
      </c>
      <c r="R55" s="152" t="s">
        <v>175</v>
      </c>
      <c r="S55" s="278">
        <f t="shared" si="62"/>
        <v>0</v>
      </c>
      <c r="T55" s="231"/>
      <c r="U55" s="159" t="e">
        <f t="shared" si="48"/>
        <v>#N/A</v>
      </c>
      <c r="V55" s="41"/>
      <c r="W55" s="70" t="e">
        <f t="shared" si="49"/>
        <v>#N/A</v>
      </c>
      <c r="X55" s="70"/>
      <c r="Y55" s="159"/>
      <c r="Z55" s="159"/>
      <c r="AA55" s="160"/>
      <c r="AB55" s="158" t="e">
        <f t="shared" si="50"/>
        <v>#N/A</v>
      </c>
      <c r="AC55" s="94" t="e">
        <f t="shared" si="15"/>
        <v>#N/A</v>
      </c>
      <c r="AD55" s="95" t="e">
        <f t="shared" si="51"/>
        <v>#N/A</v>
      </c>
      <c r="AE55" s="95" t="e">
        <f t="shared" si="52"/>
        <v>#N/A</v>
      </c>
      <c r="AF55" s="95" t="e">
        <f t="shared" si="53"/>
        <v>#N/A</v>
      </c>
      <c r="AG55" s="96" t="e">
        <f t="shared" si="16"/>
        <v>#N/A</v>
      </c>
      <c r="AH55" s="431"/>
      <c r="AI55" s="1" t="s">
        <v>155</v>
      </c>
      <c r="AJ55" s="36">
        <f>SUMIFS($H$6:$H$69,$C$6:$C$69,AH54,$F$6:$F$69,AI55)</f>
        <v>0</v>
      </c>
      <c r="AK55" s="36">
        <f>SUMIFS($I$6:$I$69,$C$6:$C$69,AH54,$F$6:$F$69,AI55)</f>
        <v>0</v>
      </c>
      <c r="AL55" s="36">
        <f>SUMIFS($J$6:$J$69,$C$6:$C$69,AH54,$F$6:$F$69,AI55)</f>
        <v>0</v>
      </c>
      <c r="AM55" s="36">
        <f>SUMIFS($K$6:$K$69,$C$6:$C$69,AH54,$F$6:$F$69,AI55)</f>
        <v>0</v>
      </c>
      <c r="AN55" s="36">
        <f>SUMIFS($L$6:$L$69,$C$6:$C$69,AH54,$F$6:$F$69,AI55)</f>
        <v>0</v>
      </c>
      <c r="AO55" s="36">
        <f>SUMIFS($M$6:$M$69,$C$6:$C$69,AH54,$F$6:$F$69,AI55)</f>
        <v>0</v>
      </c>
      <c r="AP55" s="1" t="s">
        <v>155</v>
      </c>
      <c r="AQ55" s="83"/>
      <c r="AR55" s="63"/>
      <c r="AS55" s="63"/>
      <c r="AT55" s="63"/>
      <c r="AU55" s="79"/>
      <c r="AV55" s="79"/>
      <c r="AW55" s="55">
        <f>SUMIFS($O$6:$O$69,$C$6:$C$69,AH55,$F$6:$F$69,AI55)</f>
        <v>0</v>
      </c>
      <c r="AX55" s="275"/>
      <c r="AY55" s="80">
        <f>SUMIFS($Q$6:$Q$69,$C$6:$C$69,AH55,$F$6:$F$69,AI55)</f>
        <v>0</v>
      </c>
      <c r="BC55" s="201"/>
      <c r="BD55" s="222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71">
        <f t="shared" si="42"/>
        <v>0</v>
      </c>
      <c r="BU55" s="71">
        <f t="shared" si="10"/>
        <v>0</v>
      </c>
      <c r="BV55" s="72"/>
    </row>
    <row r="56" spans="1:74" x14ac:dyDescent="0.3">
      <c r="A56" s="64"/>
      <c r="B56" s="148"/>
      <c r="C56" s="109"/>
      <c r="D56" s="63"/>
      <c r="E56" s="63"/>
      <c r="F56" s="127"/>
      <c r="G56" s="50"/>
      <c r="H56" s="10"/>
      <c r="I56" s="10"/>
      <c r="J56" s="10"/>
      <c r="K56" s="10"/>
      <c r="L56" s="10"/>
      <c r="M56" s="39"/>
      <c r="N56" s="33">
        <f t="shared" si="59"/>
        <v>0</v>
      </c>
      <c r="O56" s="52">
        <f t="shared" si="60"/>
        <v>0</v>
      </c>
      <c r="P56" s="52">
        <f t="shared" si="61"/>
        <v>0</v>
      </c>
      <c r="Q56" s="53" t="b">
        <f t="shared" si="57"/>
        <v>0</v>
      </c>
      <c r="R56" s="152" t="s">
        <v>175</v>
      </c>
      <c r="S56" s="278">
        <f t="shared" si="62"/>
        <v>0</v>
      </c>
      <c r="T56" s="231"/>
      <c r="U56" s="159" t="e">
        <f t="shared" si="48"/>
        <v>#N/A</v>
      </c>
      <c r="V56" s="41"/>
      <c r="W56" s="70" t="e">
        <f t="shared" si="49"/>
        <v>#N/A</v>
      </c>
      <c r="X56" s="70"/>
      <c r="Y56" s="159"/>
      <c r="Z56" s="159"/>
      <c r="AA56" s="160"/>
      <c r="AB56" s="158" t="e">
        <f t="shared" si="50"/>
        <v>#N/A</v>
      </c>
      <c r="AC56" s="94" t="e">
        <f t="shared" si="15"/>
        <v>#N/A</v>
      </c>
      <c r="AD56" s="95" t="e">
        <f t="shared" si="51"/>
        <v>#N/A</v>
      </c>
      <c r="AE56" s="95" t="e">
        <f t="shared" si="52"/>
        <v>#N/A</v>
      </c>
      <c r="AF56" s="95" t="e">
        <f t="shared" si="53"/>
        <v>#N/A</v>
      </c>
      <c r="AG56" s="96" t="e">
        <f t="shared" si="16"/>
        <v>#N/A</v>
      </c>
      <c r="AH56" s="431"/>
      <c r="AI56" s="91" t="s">
        <v>157</v>
      </c>
      <c r="AJ56" s="36">
        <f>SUMIFS($H$6:$H$69,$C$6:$C$69,AH56,$F$6:$F$69,AI56)</f>
        <v>0</v>
      </c>
      <c r="AK56" s="36">
        <f>SUMIFS($I$6:$I$69,$C$6:$C$69,AH56,$F$6:$F$69,AI56)</f>
        <v>0</v>
      </c>
      <c r="AL56" s="36">
        <f>SUMIFS($J$6:$J$69,$C$6:$C$69,AH56,$F$6:$F$69,AI56)</f>
        <v>0</v>
      </c>
      <c r="AM56" s="36">
        <f>SUMIFS($K$6:$K$69,$C$6:$C$69,AH56,$F$6:$F$69,AI56)</f>
        <v>0</v>
      </c>
      <c r="AN56" s="36">
        <f>SUMIFS($L$6:$L$69,$C$6:$C$69,AH56,$F$6:$F$69,AI56)</f>
        <v>0</v>
      </c>
      <c r="AO56" s="36">
        <f>SUMIFS($M$6:$M$69,$C$6:$C$69,AH56,$F$6:$F$69,AI56)</f>
        <v>0</v>
      </c>
      <c r="AP56" s="91" t="s">
        <v>157</v>
      </c>
      <c r="AQ56" s="83"/>
      <c r="AR56" s="63"/>
      <c r="AS56" s="63"/>
      <c r="AT56" s="63"/>
      <c r="AU56" s="79"/>
      <c r="AV56" s="79"/>
      <c r="AW56" s="55">
        <f>SUMIFS($O$6:$O$69,$C$6:$C$69,AH56,$F$6:$F$69,AI56)</f>
        <v>0</v>
      </c>
      <c r="AX56" s="275"/>
      <c r="AY56" s="80">
        <f>SUMIFS($Q$6:$Q$69,$C$6:$C$69,AH56,$F$6:$F$69,AI56)</f>
        <v>0</v>
      </c>
      <c r="BC56" s="201"/>
      <c r="BD56" s="222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71">
        <f t="shared" si="42"/>
        <v>0</v>
      </c>
      <c r="BU56" s="71">
        <f t="shared" si="10"/>
        <v>0</v>
      </c>
      <c r="BV56" s="72"/>
    </row>
    <row r="57" spans="1:74" x14ac:dyDescent="0.3">
      <c r="A57" s="64"/>
      <c r="B57" s="148"/>
      <c r="C57" s="109"/>
      <c r="D57" s="63"/>
      <c r="E57" s="63"/>
      <c r="F57" s="127"/>
      <c r="G57" s="50"/>
      <c r="H57" s="10"/>
      <c r="I57" s="10"/>
      <c r="J57" s="10"/>
      <c r="K57" s="10"/>
      <c r="L57" s="10"/>
      <c r="M57" s="39"/>
      <c r="N57" s="33">
        <f t="shared" si="59"/>
        <v>0</v>
      </c>
      <c r="O57" s="52">
        <f t="shared" si="60"/>
        <v>0</v>
      </c>
      <c r="P57" s="52">
        <f t="shared" si="61"/>
        <v>0</v>
      </c>
      <c r="Q57" s="53" t="b">
        <f t="shared" si="57"/>
        <v>0</v>
      </c>
      <c r="R57" s="152" t="s">
        <v>175</v>
      </c>
      <c r="S57" s="278">
        <f t="shared" si="62"/>
        <v>0</v>
      </c>
      <c r="T57" s="231"/>
      <c r="U57" s="159" t="e">
        <f t="shared" si="48"/>
        <v>#N/A</v>
      </c>
      <c r="V57" s="41"/>
      <c r="W57" s="70" t="e">
        <f t="shared" si="49"/>
        <v>#N/A</v>
      </c>
      <c r="X57" s="70"/>
      <c r="Y57" s="159"/>
      <c r="Z57" s="159"/>
      <c r="AA57" s="160"/>
      <c r="AB57" s="158" t="e">
        <f t="shared" si="50"/>
        <v>#N/A</v>
      </c>
      <c r="AC57" s="94" t="e">
        <f t="shared" si="15"/>
        <v>#N/A</v>
      </c>
      <c r="AD57" s="95" t="e">
        <f t="shared" si="51"/>
        <v>#N/A</v>
      </c>
      <c r="AE57" s="95" t="e">
        <f t="shared" si="52"/>
        <v>#N/A</v>
      </c>
      <c r="AF57" s="95" t="e">
        <f t="shared" si="53"/>
        <v>#N/A</v>
      </c>
      <c r="AG57" s="96" t="e">
        <f t="shared" si="16"/>
        <v>#N/A</v>
      </c>
      <c r="AH57" s="431"/>
      <c r="AI57" s="1" t="s">
        <v>155</v>
      </c>
      <c r="AJ57" s="36">
        <f>SUMIFS($H$6:$H$69,$C$6:$C$69,AH56,$F$6:$F$69,AI57)</f>
        <v>0</v>
      </c>
      <c r="AK57" s="36">
        <f>SUMIFS($I$6:$I$69,$C$6:$C$69,AH56,$F$6:$F$69,AI57)</f>
        <v>0</v>
      </c>
      <c r="AL57" s="36">
        <f>SUMIFS($J$6:$J$69,$C$6:$C$69,AH56,$F$6:$F$69,AI57)</f>
        <v>0</v>
      </c>
      <c r="AM57" s="36">
        <f>SUMIFS($K$6:$K$69,$C$6:$C$69,AH56,$F$6:$F$69,AI57)</f>
        <v>0</v>
      </c>
      <c r="AN57" s="36">
        <f>SUMIFS($L$6:$L$69,$C$6:$C$69,AH56,$F$6:$F$69,AI57)</f>
        <v>0</v>
      </c>
      <c r="AO57" s="36">
        <f>SUMIFS($M$6:$M$69,$C$6:$C$69,AH56,$F$6:$F$69,AI57)</f>
        <v>0</v>
      </c>
      <c r="AP57" s="1" t="s">
        <v>155</v>
      </c>
      <c r="AQ57" s="83"/>
      <c r="AR57" s="63"/>
      <c r="AS57" s="63"/>
      <c r="AT57" s="63"/>
      <c r="AU57" s="79"/>
      <c r="AV57" s="79"/>
      <c r="AW57" s="55">
        <f>SUMIFS($O$6:$O$69,$C$6:$C$69,AH57,$F$6:$F$69,AI57)</f>
        <v>0</v>
      </c>
      <c r="AX57" s="275"/>
      <c r="AY57" s="80">
        <f>SUMIFS($Q$6:$Q$69,$C$6:$C$69,AH57,$F$6:$F$69,AI57)</f>
        <v>0</v>
      </c>
      <c r="BC57" s="201"/>
      <c r="BD57" s="222"/>
      <c r="BE57" s="63"/>
      <c r="BF57" s="63"/>
      <c r="BG57" s="63"/>
      <c r="BH57" s="63"/>
      <c r="BI57" s="63"/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71">
        <f t="shared" si="42"/>
        <v>0</v>
      </c>
      <c r="BU57" s="71">
        <f t="shared" si="10"/>
        <v>0</v>
      </c>
      <c r="BV57" s="72"/>
    </row>
    <row r="58" spans="1:74" x14ac:dyDescent="0.3">
      <c r="A58" s="64"/>
      <c r="B58" s="148"/>
      <c r="C58" s="109"/>
      <c r="D58" s="63"/>
      <c r="E58" s="63"/>
      <c r="F58" s="127"/>
      <c r="G58" s="50"/>
      <c r="H58" s="10"/>
      <c r="I58" s="10"/>
      <c r="J58" s="10"/>
      <c r="K58" s="10"/>
      <c r="L58" s="10"/>
      <c r="M58" s="39"/>
      <c r="N58" s="33">
        <f t="shared" si="59"/>
        <v>0</v>
      </c>
      <c r="O58" s="52">
        <f t="shared" si="60"/>
        <v>0</v>
      </c>
      <c r="P58" s="52">
        <f t="shared" si="61"/>
        <v>0</v>
      </c>
      <c r="Q58" s="53" t="b">
        <f t="shared" si="57"/>
        <v>0</v>
      </c>
      <c r="R58" s="152" t="s">
        <v>175</v>
      </c>
      <c r="S58" s="278">
        <f t="shared" si="62"/>
        <v>0</v>
      </c>
      <c r="T58" s="231"/>
      <c r="U58" s="159" t="e">
        <f t="shared" si="48"/>
        <v>#N/A</v>
      </c>
      <c r="V58" s="41"/>
      <c r="W58" s="70" t="e">
        <f t="shared" si="49"/>
        <v>#N/A</v>
      </c>
      <c r="X58" s="70"/>
      <c r="Y58" s="159"/>
      <c r="Z58" s="159"/>
      <c r="AA58" s="160"/>
      <c r="AB58" s="158" t="e">
        <f t="shared" si="50"/>
        <v>#N/A</v>
      </c>
      <c r="AC58" s="94" t="e">
        <f t="shared" si="15"/>
        <v>#N/A</v>
      </c>
      <c r="AD58" s="95" t="e">
        <f t="shared" si="51"/>
        <v>#N/A</v>
      </c>
      <c r="AE58" s="95" t="e">
        <f t="shared" si="52"/>
        <v>#N/A</v>
      </c>
      <c r="AF58" s="95" t="e">
        <f t="shared" si="53"/>
        <v>#N/A</v>
      </c>
      <c r="AG58" s="96" t="e">
        <f t="shared" si="16"/>
        <v>#N/A</v>
      </c>
      <c r="AH58" s="431"/>
      <c r="AI58" s="91" t="s">
        <v>157</v>
      </c>
      <c r="AJ58" s="36">
        <f>SUMIFS($H$6:$H$69,$C$6:$C$69,AH58,$F$6:$F$69,AI58)</f>
        <v>0</v>
      </c>
      <c r="AK58" s="36">
        <f>SUMIFS($I$6:$I$69,$C$6:$C$69,AH58,$F$6:$F$69,AI58)</f>
        <v>0</v>
      </c>
      <c r="AL58" s="36">
        <f>SUMIFS($J$6:$J$69,$C$6:$C$69,AH58,$F$6:$F$69,AI58)</f>
        <v>0</v>
      </c>
      <c r="AM58" s="36">
        <f>SUMIFS($K$6:$K$69,$C$6:$C$69,AH58,$F$6:$F$69,AI58)</f>
        <v>0</v>
      </c>
      <c r="AN58" s="36">
        <f>SUMIFS($L$6:$L$69,$C$6:$C$69,AH58,$F$6:$F$69,AI58)</f>
        <v>0</v>
      </c>
      <c r="AO58" s="36">
        <f>SUMIFS($M$6:$M$69,$C$6:$C$69,AH58,$F$6:$F$69,AI58)</f>
        <v>0</v>
      </c>
      <c r="AP58" s="91" t="s">
        <v>157</v>
      </c>
      <c r="AQ58" s="83"/>
      <c r="AR58" s="63"/>
      <c r="AS58" s="63"/>
      <c r="AT58" s="63"/>
      <c r="AU58" s="79"/>
      <c r="AV58" s="79"/>
      <c r="AW58" s="55">
        <f>SUMIFS($O$6:$O$69,$C$6:$C$69,AH58,$F$6:$F$69,AI58)</f>
        <v>0</v>
      </c>
      <c r="AX58" s="275"/>
      <c r="AY58" s="80">
        <f>SUMIFS($Q$6:$Q$69,$C$6:$C$69,AH58,$F$6:$F$69,AI58)</f>
        <v>0</v>
      </c>
      <c r="BC58" s="201"/>
      <c r="BD58" s="222"/>
      <c r="BE58" s="63"/>
      <c r="BF58" s="63"/>
      <c r="BG58" s="63"/>
      <c r="BH58" s="63"/>
      <c r="BI58" s="63"/>
      <c r="BJ58" s="63"/>
      <c r="BK58" s="63"/>
      <c r="BL58" s="63"/>
      <c r="BM58" s="63"/>
      <c r="BN58" s="63"/>
      <c r="BO58" s="63"/>
      <c r="BP58" s="63"/>
      <c r="BQ58" s="63"/>
      <c r="BR58" s="63"/>
      <c r="BS58" s="63"/>
      <c r="BT58" s="71">
        <f t="shared" si="42"/>
        <v>0</v>
      </c>
      <c r="BU58" s="71">
        <f t="shared" si="10"/>
        <v>0</v>
      </c>
      <c r="BV58" s="72"/>
    </row>
    <row r="59" spans="1:74" x14ac:dyDescent="0.3">
      <c r="A59" s="64"/>
      <c r="B59" s="148"/>
      <c r="C59" s="109"/>
      <c r="D59" s="63"/>
      <c r="E59" s="63"/>
      <c r="F59" s="127"/>
      <c r="G59" s="50"/>
      <c r="H59" s="10"/>
      <c r="I59" s="10"/>
      <c r="J59" s="10"/>
      <c r="K59" s="10"/>
      <c r="L59" s="10"/>
      <c r="M59" s="39"/>
      <c r="N59" s="33">
        <f t="shared" si="59"/>
        <v>0</v>
      </c>
      <c r="O59" s="52">
        <f t="shared" si="60"/>
        <v>0</v>
      </c>
      <c r="P59" s="52">
        <f t="shared" si="61"/>
        <v>0</v>
      </c>
      <c r="Q59" s="53" t="b">
        <f t="shared" si="57"/>
        <v>0</v>
      </c>
      <c r="R59" s="152" t="s">
        <v>175</v>
      </c>
      <c r="S59" s="278">
        <f t="shared" si="62"/>
        <v>0</v>
      </c>
      <c r="T59" s="231"/>
      <c r="U59" s="159" t="e">
        <f t="shared" si="48"/>
        <v>#N/A</v>
      </c>
      <c r="V59" s="41"/>
      <c r="W59" s="70" t="e">
        <f t="shared" si="49"/>
        <v>#N/A</v>
      </c>
      <c r="X59" s="70"/>
      <c r="Y59" s="159"/>
      <c r="Z59" s="159"/>
      <c r="AA59" s="160"/>
      <c r="AB59" s="158" t="e">
        <f t="shared" si="50"/>
        <v>#N/A</v>
      </c>
      <c r="AC59" s="94" t="e">
        <f t="shared" si="15"/>
        <v>#N/A</v>
      </c>
      <c r="AD59" s="95" t="e">
        <f t="shared" si="51"/>
        <v>#N/A</v>
      </c>
      <c r="AE59" s="95" t="e">
        <f t="shared" si="52"/>
        <v>#N/A</v>
      </c>
      <c r="AF59" s="95" t="e">
        <f t="shared" si="53"/>
        <v>#N/A</v>
      </c>
      <c r="AG59" s="96" t="e">
        <f t="shared" si="16"/>
        <v>#N/A</v>
      </c>
      <c r="AH59" s="431"/>
      <c r="AI59" s="1" t="s">
        <v>155</v>
      </c>
      <c r="AJ59" s="36">
        <f>SUMIFS($H$6:$H$69,$C$6:$C$69,AH58,$F$6:$F$69,AI59)</f>
        <v>0</v>
      </c>
      <c r="AK59" s="36">
        <f>SUMIFS($I$6:$I$69,$C$6:$C$69,AH58,$F$6:$F$69,AI59)</f>
        <v>0</v>
      </c>
      <c r="AL59" s="36">
        <f>SUMIFS($J$6:$J$69,$C$6:$C$69,AH58,$F$6:$F$69,AI59)</f>
        <v>0</v>
      </c>
      <c r="AM59" s="36">
        <f>SUMIFS($K$6:$K$69,$C$6:$C$69,AH58,$F$6:$F$69,AI59)</f>
        <v>0</v>
      </c>
      <c r="AN59" s="36">
        <f>SUMIFS($L$6:$L$69,$C$6:$C$69,AH58,$F$6:$F$69,AI59)</f>
        <v>0</v>
      </c>
      <c r="AO59" s="36">
        <f>SUMIFS($M$6:$M$69,$C$6:$C$69,AH58,$F$6:$F$69,AI59)</f>
        <v>0</v>
      </c>
      <c r="AP59" s="1" t="s">
        <v>155</v>
      </c>
      <c r="AQ59" s="83"/>
      <c r="AR59" s="63"/>
      <c r="AS59" s="63"/>
      <c r="AT59" s="63"/>
      <c r="AU59" s="79"/>
      <c r="AV59" s="79"/>
      <c r="AW59" s="55">
        <f>SUMIFS($O$6:$O$69,$C$6:$C$69,AH59,$F$6:$F$69,AI59)</f>
        <v>0</v>
      </c>
      <c r="AX59" s="275"/>
      <c r="AY59" s="80">
        <f>SUMIFS($Q$6:$Q$69,$C$6:$C$69,AH59,$F$6:$F$69,AI59)</f>
        <v>0</v>
      </c>
      <c r="BC59" s="201"/>
      <c r="BD59" s="222"/>
      <c r="BE59" s="63"/>
      <c r="BF59" s="63"/>
      <c r="BG59" s="63"/>
      <c r="BH59" s="63"/>
      <c r="BI59" s="63"/>
      <c r="BJ59" s="63"/>
      <c r="BK59" s="63"/>
      <c r="BL59" s="63"/>
      <c r="BM59" s="63"/>
      <c r="BN59" s="63"/>
      <c r="BO59" s="63"/>
      <c r="BP59" s="63"/>
      <c r="BQ59" s="63"/>
      <c r="BR59" s="63"/>
      <c r="BS59" s="63"/>
      <c r="BT59" s="71">
        <f t="shared" si="42"/>
        <v>0</v>
      </c>
      <c r="BU59" s="71">
        <f t="shared" si="10"/>
        <v>0</v>
      </c>
      <c r="BV59" s="72"/>
    </row>
    <row r="60" spans="1:74" x14ac:dyDescent="0.3">
      <c r="A60" s="64"/>
      <c r="B60" s="148"/>
      <c r="C60" s="109"/>
      <c r="D60" s="63"/>
      <c r="E60" s="63"/>
      <c r="F60" s="127"/>
      <c r="G60" s="50"/>
      <c r="H60" s="10"/>
      <c r="I60" s="10"/>
      <c r="J60" s="10"/>
      <c r="K60" s="10"/>
      <c r="L60" s="10"/>
      <c r="M60" s="39"/>
      <c r="N60" s="33">
        <f t="shared" si="59"/>
        <v>0</v>
      </c>
      <c r="O60" s="52">
        <f t="shared" si="60"/>
        <v>0</v>
      </c>
      <c r="P60" s="52">
        <f t="shared" si="61"/>
        <v>0</v>
      </c>
      <c r="Q60" s="53" t="b">
        <f t="shared" si="57"/>
        <v>0</v>
      </c>
      <c r="R60" s="152" t="s">
        <v>175</v>
      </c>
      <c r="S60" s="278">
        <f t="shared" si="62"/>
        <v>0</v>
      </c>
      <c r="T60" s="231"/>
      <c r="U60" s="159" t="e">
        <f t="shared" si="48"/>
        <v>#N/A</v>
      </c>
      <c r="V60" s="41"/>
      <c r="W60" s="70" t="e">
        <f t="shared" si="49"/>
        <v>#N/A</v>
      </c>
      <c r="X60" s="70"/>
      <c r="Y60" s="159"/>
      <c r="Z60" s="159"/>
      <c r="AA60" s="160"/>
      <c r="AB60" s="158" t="e">
        <f t="shared" si="50"/>
        <v>#N/A</v>
      </c>
      <c r="AC60" s="94" t="e">
        <f t="shared" si="15"/>
        <v>#N/A</v>
      </c>
      <c r="AD60" s="95" t="e">
        <f t="shared" si="51"/>
        <v>#N/A</v>
      </c>
      <c r="AE60" s="95" t="e">
        <f t="shared" si="52"/>
        <v>#N/A</v>
      </c>
      <c r="AF60" s="95" t="e">
        <f t="shared" si="53"/>
        <v>#N/A</v>
      </c>
      <c r="AG60" s="96" t="e">
        <f t="shared" si="16"/>
        <v>#N/A</v>
      </c>
      <c r="AH60" s="431"/>
      <c r="AI60" s="91" t="s">
        <v>157</v>
      </c>
      <c r="AJ60" s="36">
        <f>SUMIFS($H$6:$H$69,$C$6:$C$69,AH60,$F$6:$F$69,AI60)</f>
        <v>0</v>
      </c>
      <c r="AK60" s="36">
        <f>SUMIFS($I$6:$I$69,$C$6:$C$69,AH60,$F$6:$F$69,AI60)</f>
        <v>0</v>
      </c>
      <c r="AL60" s="36">
        <f>SUMIFS($J$6:$J$69,$C$6:$C$69,AH60,$F$6:$F$69,AI60)</f>
        <v>0</v>
      </c>
      <c r="AM60" s="36">
        <f>SUMIFS($K$6:$K$69,$C$6:$C$69,AH60,$F$6:$F$69,AI60)</f>
        <v>0</v>
      </c>
      <c r="AN60" s="36">
        <f>SUMIFS($L$6:$L$69,$C$6:$C$69,AH60,$F$6:$F$69,AI60)</f>
        <v>0</v>
      </c>
      <c r="AO60" s="36">
        <f>SUMIFS($M$6:$M$69,$C$6:$C$69,AH60,$F$6:$F$69,AI60)</f>
        <v>0</v>
      </c>
      <c r="AP60" s="91" t="s">
        <v>157</v>
      </c>
      <c r="AQ60" s="83"/>
      <c r="AR60" s="63"/>
      <c r="AS60" s="63"/>
      <c r="AT60" s="63"/>
      <c r="AU60" s="79"/>
      <c r="AV60" s="79"/>
      <c r="AW60" s="55">
        <f>SUMIFS($O$6:$O$69,$C$6:$C$69,AH60,$F$6:$F$69,AI60)</f>
        <v>0</v>
      </c>
      <c r="AX60" s="275"/>
      <c r="AY60" s="80">
        <f>SUMIFS($Q$6:$Q$69,$C$6:$C$69,AH60,$F$6:$F$69,AI60)</f>
        <v>0</v>
      </c>
      <c r="BC60" s="201"/>
      <c r="BD60" s="222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71">
        <f t="shared" si="42"/>
        <v>0</v>
      </c>
      <c r="BU60" s="71">
        <f t="shared" si="10"/>
        <v>0</v>
      </c>
      <c r="BV60" s="72"/>
    </row>
    <row r="61" spans="1:74" ht="15" thickBot="1" x14ac:dyDescent="0.35">
      <c r="A61" s="64"/>
      <c r="B61" s="148"/>
      <c r="C61" s="109"/>
      <c r="D61" s="63"/>
      <c r="E61" s="63"/>
      <c r="F61" s="127"/>
      <c r="G61" s="50"/>
      <c r="H61" s="10"/>
      <c r="I61" s="10"/>
      <c r="J61" s="10"/>
      <c r="K61" s="10"/>
      <c r="L61" s="10"/>
      <c r="M61" s="39"/>
      <c r="N61" s="33">
        <f t="shared" si="59"/>
        <v>0</v>
      </c>
      <c r="O61" s="52">
        <f t="shared" si="60"/>
        <v>0</v>
      </c>
      <c r="P61" s="52">
        <f t="shared" si="61"/>
        <v>0</v>
      </c>
      <c r="Q61" s="53" t="b">
        <f t="shared" si="57"/>
        <v>0</v>
      </c>
      <c r="R61" s="152" t="s">
        <v>175</v>
      </c>
      <c r="S61" s="278">
        <f t="shared" si="62"/>
        <v>0</v>
      </c>
      <c r="T61" s="231"/>
      <c r="U61" s="159" t="e">
        <f t="shared" si="48"/>
        <v>#N/A</v>
      </c>
      <c r="V61" s="41"/>
      <c r="W61" s="70" t="e">
        <f t="shared" si="49"/>
        <v>#N/A</v>
      </c>
      <c r="X61" s="70"/>
      <c r="Y61" s="159"/>
      <c r="Z61" s="159"/>
      <c r="AA61" s="160"/>
      <c r="AB61" s="158" t="e">
        <f t="shared" si="50"/>
        <v>#N/A</v>
      </c>
      <c r="AC61" s="94" t="e">
        <f t="shared" si="15"/>
        <v>#N/A</v>
      </c>
      <c r="AD61" s="95" t="e">
        <f t="shared" si="51"/>
        <v>#N/A</v>
      </c>
      <c r="AE61" s="95" t="e">
        <f t="shared" si="52"/>
        <v>#N/A</v>
      </c>
      <c r="AF61" s="95" t="e">
        <f t="shared" si="53"/>
        <v>#N/A</v>
      </c>
      <c r="AG61" s="96" t="e">
        <f t="shared" si="16"/>
        <v>#N/A</v>
      </c>
      <c r="AH61" s="431"/>
      <c r="AI61" s="1" t="s">
        <v>155</v>
      </c>
      <c r="AJ61" s="36">
        <f>SUMIFS($H$6:$H$69,$C$6:$C$69,AH60,$F$6:$F$69,AI61)</f>
        <v>0</v>
      </c>
      <c r="AK61" s="36">
        <f>SUMIFS($I$6:$I$69,$C$6:$C$69,AH60,$F$6:$F$69,AI61)</f>
        <v>0</v>
      </c>
      <c r="AL61" s="36">
        <f>SUMIFS($J$6:$J$69,$C$6:$C$69,AH60,$F$6:$F$69,AI61)</f>
        <v>0</v>
      </c>
      <c r="AM61" s="36">
        <f>SUMIFS($K$6:$K$69,$C$6:$C$69,AH60,$F$6:$F$69,AI61)</f>
        <v>0</v>
      </c>
      <c r="AN61" s="36">
        <f>SUMIFS($L$6:$L$69,$C$6:$C$69,AH60,$F$6:$F$69,AI61)</f>
        <v>0</v>
      </c>
      <c r="AO61" s="36">
        <f>SUMIFS($M$6:$M$69,$C$6:$C$69,AH60,$F$6:$F$69,AI61)</f>
        <v>0</v>
      </c>
      <c r="AP61" s="1" t="s">
        <v>155</v>
      </c>
      <c r="AQ61" s="83"/>
      <c r="AR61" s="63"/>
      <c r="AS61" s="63"/>
      <c r="AT61" s="63"/>
      <c r="AU61" s="79"/>
      <c r="AV61" s="79"/>
      <c r="AW61" s="55">
        <f>SUMIFS($O$6:$O$69,$C$6:$C$69,AH61,$F$6:$F$69,AI61)</f>
        <v>0</v>
      </c>
      <c r="AX61" s="275"/>
      <c r="AY61" s="80">
        <f>SUMIFS($Q$6:$Q$69,$C$6:$C$69,AH61,$F$6:$F$69,AI61)</f>
        <v>0</v>
      </c>
      <c r="BC61" s="218"/>
      <c r="BD61" s="293"/>
      <c r="BE61" s="217"/>
      <c r="BF61" s="217"/>
      <c r="BG61" s="217"/>
      <c r="BH61" s="217"/>
      <c r="BI61" s="217"/>
      <c r="BJ61" s="217"/>
      <c r="BK61" s="217"/>
      <c r="BL61" s="217"/>
      <c r="BM61" s="217"/>
      <c r="BN61" s="217"/>
      <c r="BO61" s="217"/>
      <c r="BP61" s="217"/>
      <c r="BQ61" s="217"/>
      <c r="BR61" s="217"/>
      <c r="BS61" s="217"/>
      <c r="BT61" s="74">
        <f t="shared" si="42"/>
        <v>0</v>
      </c>
      <c r="BU61" s="106">
        <f t="shared" si="10"/>
        <v>0</v>
      </c>
      <c r="BV61" s="73"/>
    </row>
    <row r="62" spans="1:74" ht="15.6" thickTop="1" thickBot="1" x14ac:dyDescent="0.35">
      <c r="A62" s="64"/>
      <c r="B62" s="148"/>
      <c r="C62" s="109"/>
      <c r="D62" s="63"/>
      <c r="E62" s="63"/>
      <c r="F62" s="127"/>
      <c r="G62" s="50"/>
      <c r="H62" s="10"/>
      <c r="I62" s="10"/>
      <c r="J62" s="10"/>
      <c r="K62" s="10"/>
      <c r="L62" s="10"/>
      <c r="M62" s="39"/>
      <c r="N62" s="33">
        <f t="shared" si="59"/>
        <v>0</v>
      </c>
      <c r="O62" s="52">
        <f t="shared" si="60"/>
        <v>0</v>
      </c>
      <c r="P62" s="52">
        <f t="shared" si="61"/>
        <v>0</v>
      </c>
      <c r="Q62" s="53" t="b">
        <f t="shared" si="57"/>
        <v>0</v>
      </c>
      <c r="R62" s="152" t="s">
        <v>175</v>
      </c>
      <c r="S62" s="278">
        <f t="shared" si="62"/>
        <v>0</v>
      </c>
      <c r="T62" s="231"/>
      <c r="U62" s="159" t="e">
        <f t="shared" si="48"/>
        <v>#N/A</v>
      </c>
      <c r="V62" s="41"/>
      <c r="W62" s="70" t="e">
        <f t="shared" si="49"/>
        <v>#N/A</v>
      </c>
      <c r="X62" s="70"/>
      <c r="Y62" s="159"/>
      <c r="Z62" s="159"/>
      <c r="AA62" s="160"/>
      <c r="AB62" s="158" t="e">
        <f t="shared" si="50"/>
        <v>#N/A</v>
      </c>
      <c r="AC62" s="94" t="e">
        <f t="shared" si="15"/>
        <v>#N/A</v>
      </c>
      <c r="AD62" s="95" t="e">
        <f t="shared" si="51"/>
        <v>#N/A</v>
      </c>
      <c r="AE62" s="95" t="e">
        <f t="shared" si="52"/>
        <v>#N/A</v>
      </c>
      <c r="AF62" s="95" t="e">
        <f t="shared" si="53"/>
        <v>#N/A</v>
      </c>
      <c r="AG62" s="96" t="e">
        <f t="shared" si="16"/>
        <v>#N/A</v>
      </c>
      <c r="AH62" s="431"/>
      <c r="AI62" s="91" t="s">
        <v>157</v>
      </c>
      <c r="AJ62" s="36">
        <f>SUMIFS($H$6:$H$69,$C$6:$C$69,AH62,$F$6:$F$69,AI62)</f>
        <v>0</v>
      </c>
      <c r="AK62" s="36">
        <f>SUMIFS($I$6:$I$69,$C$6:$C$69,AH62,$F$6:$F$69,AI62)</f>
        <v>0</v>
      </c>
      <c r="AL62" s="36">
        <f>SUMIFS($J$6:$J$69,$C$6:$C$69,AH62,$F$6:$F$69,AI62)</f>
        <v>0</v>
      </c>
      <c r="AM62" s="36">
        <f>SUMIFS($K$6:$K$69,$C$6:$C$69,AH62,$F$6:$F$69,AI62)</f>
        <v>0</v>
      </c>
      <c r="AN62" s="36">
        <f>SUMIFS($L$6:$L$69,$C$6:$C$69,AH62,$F$6:$F$69,AI62)</f>
        <v>0</v>
      </c>
      <c r="AO62" s="36">
        <f>SUMIFS($M$6:$M$69,$C$6:$C$69,AH62,$F$6:$F$69,AI62)</f>
        <v>0</v>
      </c>
      <c r="AP62" s="91" t="s">
        <v>157</v>
      </c>
      <c r="AQ62" s="83"/>
      <c r="AR62" s="63"/>
      <c r="AS62" s="63"/>
      <c r="AT62" s="63"/>
      <c r="AU62" s="79"/>
      <c r="AV62" s="79"/>
      <c r="AW62" s="55">
        <f>SUMIFS($O$6:$O$69,$C$6:$C$69,AH62,$F$6:$F$69,AI62)</f>
        <v>0</v>
      </c>
      <c r="AX62" s="275"/>
      <c r="AY62" s="80">
        <f>SUMIFS($Q$6:$Q$69,$C$6:$C$69,AH62,$F$6:$F$69,AI62)</f>
        <v>0</v>
      </c>
      <c r="BC62" s="13" t="s">
        <v>62</v>
      </c>
      <c r="BD62" s="13"/>
      <c r="BE62" s="469">
        <f>SUM(BE6:BE61)</f>
        <v>0</v>
      </c>
      <c r="BF62" s="469"/>
      <c r="BG62" s="469"/>
      <c r="BH62" s="469"/>
      <c r="BI62" s="469"/>
      <c r="BJ62" s="469"/>
      <c r="BK62" s="469"/>
      <c r="BL62" s="469"/>
      <c r="BM62" s="469"/>
      <c r="BN62" s="469"/>
      <c r="BO62" s="469"/>
      <c r="BP62" s="469"/>
      <c r="BQ62" s="469"/>
      <c r="BR62" s="469"/>
      <c r="BS62" s="469"/>
      <c r="BT62" s="469"/>
      <c r="BU62" s="469"/>
      <c r="BV62" s="469"/>
    </row>
    <row r="63" spans="1:74" ht="15" thickBot="1" x14ac:dyDescent="0.35">
      <c r="A63" s="64"/>
      <c r="B63" s="148"/>
      <c r="C63" s="109"/>
      <c r="D63" s="63"/>
      <c r="E63" s="63"/>
      <c r="F63" s="127"/>
      <c r="G63" s="50"/>
      <c r="H63" s="10"/>
      <c r="I63" s="10"/>
      <c r="J63" s="10"/>
      <c r="K63" s="10"/>
      <c r="L63" s="10"/>
      <c r="M63" s="39"/>
      <c r="N63" s="33">
        <f t="shared" si="59"/>
        <v>0</v>
      </c>
      <c r="O63" s="52">
        <f t="shared" si="60"/>
        <v>0</v>
      </c>
      <c r="P63" s="52">
        <f t="shared" si="61"/>
        <v>0</v>
      </c>
      <c r="Q63" s="53" t="b">
        <f t="shared" si="57"/>
        <v>0</v>
      </c>
      <c r="R63" s="152" t="s">
        <v>175</v>
      </c>
      <c r="S63" s="278">
        <f t="shared" si="62"/>
        <v>0</v>
      </c>
      <c r="T63" s="231"/>
      <c r="U63" s="159" t="e">
        <f t="shared" si="48"/>
        <v>#N/A</v>
      </c>
      <c r="V63" s="41"/>
      <c r="W63" s="70" t="e">
        <f t="shared" si="49"/>
        <v>#N/A</v>
      </c>
      <c r="X63" s="70"/>
      <c r="Y63" s="159"/>
      <c r="Z63" s="159"/>
      <c r="AA63" s="160"/>
      <c r="AB63" s="158" t="e">
        <f t="shared" si="50"/>
        <v>#N/A</v>
      </c>
      <c r="AC63" s="94" t="e">
        <f t="shared" si="15"/>
        <v>#N/A</v>
      </c>
      <c r="AD63" s="95" t="e">
        <f t="shared" si="51"/>
        <v>#N/A</v>
      </c>
      <c r="AE63" s="95" t="e">
        <f t="shared" si="52"/>
        <v>#N/A</v>
      </c>
      <c r="AF63" s="95" t="e">
        <f t="shared" si="53"/>
        <v>#N/A</v>
      </c>
      <c r="AG63" s="96" t="e">
        <f t="shared" si="16"/>
        <v>#N/A</v>
      </c>
      <c r="AH63" s="431"/>
      <c r="AI63" s="1" t="s">
        <v>155</v>
      </c>
      <c r="AJ63" s="36">
        <f>SUMIFS($H$6:$H$69,$C$6:$C$69,AH62,$F$6:$F$69,AI63)</f>
        <v>0</v>
      </c>
      <c r="AK63" s="36">
        <f>SUMIFS($I$6:$I$69,$C$6:$C$69,AH62,$F$6:$F$69,AI63)</f>
        <v>0</v>
      </c>
      <c r="AL63" s="36">
        <f>SUMIFS($J$6:$J$69,$C$6:$C$69,AH62,$F$6:$F$69,AI63)</f>
        <v>0</v>
      </c>
      <c r="AM63" s="36">
        <f>SUMIFS($K$6:$K$69,$C$6:$C$69,AH62,$F$6:$F$69,AI63)</f>
        <v>0</v>
      </c>
      <c r="AN63" s="36">
        <f>SUMIFS($L$6:$L$69,$C$6:$C$69,AH62,$F$6:$F$69,AI63)</f>
        <v>0</v>
      </c>
      <c r="AO63" s="36">
        <f>SUMIFS($M$6:$M$69,$C$6:$C$69,AH62,$F$6:$F$69,AI63)</f>
        <v>0</v>
      </c>
      <c r="AP63" s="1" t="s">
        <v>155</v>
      </c>
      <c r="AQ63" s="83"/>
      <c r="AR63" s="63"/>
      <c r="AS63" s="63"/>
      <c r="AT63" s="63"/>
      <c r="AU63" s="79"/>
      <c r="AV63" s="79"/>
      <c r="AW63" s="55">
        <f>SUMIFS($O$6:$O$69,$C$6:$C$69,AH63,$F$6:$F$69,AI63)</f>
        <v>0</v>
      </c>
      <c r="AX63" s="275"/>
      <c r="AY63" s="80">
        <f>SUMIFS($Q$6:$Q$69,$C$6:$C$69,AH63,$F$6:$F$69,AI63)</f>
        <v>0</v>
      </c>
      <c r="BC63" s="470" t="s">
        <v>61</v>
      </c>
      <c r="BD63" s="470"/>
      <c r="BE63" s="470"/>
      <c r="BF63" s="470">
        <f>SUM(BF6:BF61)</f>
        <v>0</v>
      </c>
      <c r="BG63" s="470"/>
      <c r="BH63" s="470"/>
      <c r="BI63" s="470"/>
      <c r="BJ63" s="470"/>
      <c r="BK63" s="470"/>
      <c r="BL63" s="470"/>
      <c r="BM63" s="470"/>
      <c r="BN63" s="470"/>
      <c r="BO63" s="470"/>
      <c r="BP63" s="470"/>
      <c r="BQ63" s="470"/>
      <c r="BR63" s="470"/>
      <c r="BS63" s="470"/>
      <c r="BT63" s="470"/>
      <c r="BU63" s="470"/>
      <c r="BV63" s="470"/>
    </row>
    <row r="64" spans="1:74" ht="15" thickBot="1" x14ac:dyDescent="0.35">
      <c r="A64" s="64"/>
      <c r="B64" s="148"/>
      <c r="C64" s="109"/>
      <c r="D64" s="63"/>
      <c r="E64" s="63"/>
      <c r="F64" s="127"/>
      <c r="G64" s="50"/>
      <c r="H64" s="10"/>
      <c r="I64" s="10"/>
      <c r="J64" s="10"/>
      <c r="K64" s="10"/>
      <c r="L64" s="10"/>
      <c r="M64" s="39"/>
      <c r="N64" s="33">
        <f t="shared" si="59"/>
        <v>0</v>
      </c>
      <c r="O64" s="52">
        <f t="shared" si="60"/>
        <v>0</v>
      </c>
      <c r="P64" s="52">
        <f t="shared" si="61"/>
        <v>0</v>
      </c>
      <c r="Q64" s="53" t="b">
        <f t="shared" si="57"/>
        <v>0</v>
      </c>
      <c r="R64" s="152" t="s">
        <v>175</v>
      </c>
      <c r="S64" s="278">
        <f t="shared" si="62"/>
        <v>0</v>
      </c>
      <c r="T64" s="231"/>
      <c r="U64" s="159" t="e">
        <f t="shared" si="48"/>
        <v>#N/A</v>
      </c>
      <c r="V64" s="41"/>
      <c r="W64" s="70" t="e">
        <f t="shared" si="49"/>
        <v>#N/A</v>
      </c>
      <c r="X64" s="70"/>
      <c r="Y64" s="159"/>
      <c r="Z64" s="159"/>
      <c r="AA64" s="160"/>
      <c r="AB64" s="158" t="e">
        <f t="shared" si="50"/>
        <v>#N/A</v>
      </c>
      <c r="AC64" s="94" t="e">
        <f t="shared" si="15"/>
        <v>#N/A</v>
      </c>
      <c r="AD64" s="95" t="e">
        <f t="shared" si="51"/>
        <v>#N/A</v>
      </c>
      <c r="AE64" s="95" t="e">
        <f t="shared" si="52"/>
        <v>#N/A</v>
      </c>
      <c r="AF64" s="95" t="e">
        <f t="shared" si="53"/>
        <v>#N/A</v>
      </c>
      <c r="AG64" s="96" t="e">
        <f t="shared" si="16"/>
        <v>#N/A</v>
      </c>
      <c r="AH64" s="431"/>
      <c r="AI64" s="91" t="s">
        <v>157</v>
      </c>
      <c r="AJ64" s="36">
        <f>SUMIFS($H$6:$H$69,$C$6:$C$69,AH64,$F$6:$F$69,AI64)</f>
        <v>0</v>
      </c>
      <c r="AK64" s="36">
        <f>SUMIFS($I$6:$I$69,$C$6:$C$69,AH64,$F$6:$F$69,AI64)</f>
        <v>0</v>
      </c>
      <c r="AL64" s="36">
        <f>SUMIFS($J$6:$J$69,$C$6:$C$69,AH64,$F$6:$F$69,AI64)</f>
        <v>0</v>
      </c>
      <c r="AM64" s="36">
        <f>SUMIFS($K$6:$K$69,$C$6:$C$69,AH64,$F$6:$F$69,AI64)</f>
        <v>0</v>
      </c>
      <c r="AN64" s="36">
        <f>SUMIFS($L$6:$L$69,$C$6:$C$69,AH64,$F$6:$F$69,AI64)</f>
        <v>0</v>
      </c>
      <c r="AO64" s="36">
        <f>SUMIFS($M$6:$M$69,$C$6:$C$69,AH64,$F$6:$F$69,AI64)</f>
        <v>0</v>
      </c>
      <c r="AP64" s="91" t="s">
        <v>157</v>
      </c>
      <c r="AQ64" s="83"/>
      <c r="AR64" s="63"/>
      <c r="AS64" s="63"/>
      <c r="AT64" s="63"/>
      <c r="AU64" s="79"/>
      <c r="AV64" s="79"/>
      <c r="AW64" s="55">
        <f>SUMIFS($O$6:$O$69,$C$6:$C$69,AH64,$F$6:$F$69,AI64)</f>
        <v>0</v>
      </c>
      <c r="AX64" s="275"/>
      <c r="AY64" s="80">
        <f>SUMIFS($Q$6:$Q$69,$C$6:$C$69,AH64,$F$6:$F$69,AI64)</f>
        <v>0</v>
      </c>
      <c r="BC64" s="470" t="s">
        <v>60</v>
      </c>
      <c r="BD64" s="470"/>
      <c r="BE64" s="470"/>
      <c r="BF64" s="470"/>
      <c r="BG64" s="470">
        <f>SUM(BG6:BG61)</f>
        <v>0</v>
      </c>
      <c r="BH64" s="470"/>
      <c r="BI64" s="470"/>
      <c r="BJ64" s="470"/>
      <c r="BK64" s="470"/>
      <c r="BL64" s="470"/>
      <c r="BM64" s="470"/>
      <c r="BN64" s="470"/>
      <c r="BO64" s="470"/>
      <c r="BP64" s="470"/>
      <c r="BQ64" s="470"/>
      <c r="BR64" s="470"/>
      <c r="BS64" s="470"/>
      <c r="BT64" s="470"/>
      <c r="BU64" s="470"/>
      <c r="BV64" s="470"/>
    </row>
    <row r="65" spans="1:74" ht="15" thickBot="1" x14ac:dyDescent="0.35">
      <c r="A65" s="64"/>
      <c r="B65" s="148"/>
      <c r="C65" s="109"/>
      <c r="D65" s="63"/>
      <c r="E65" s="63"/>
      <c r="F65" s="127"/>
      <c r="G65" s="50"/>
      <c r="H65" s="10"/>
      <c r="I65" s="10"/>
      <c r="J65" s="10"/>
      <c r="K65" s="10"/>
      <c r="L65" s="10"/>
      <c r="M65" s="39"/>
      <c r="N65" s="33">
        <f t="shared" si="59"/>
        <v>0</v>
      </c>
      <c r="O65" s="52">
        <f t="shared" si="60"/>
        <v>0</v>
      </c>
      <c r="P65" s="52">
        <f t="shared" si="61"/>
        <v>0</v>
      </c>
      <c r="Q65" s="53" t="b">
        <f t="shared" si="57"/>
        <v>0</v>
      </c>
      <c r="R65" s="152" t="s">
        <v>175</v>
      </c>
      <c r="S65" s="278">
        <f t="shared" si="62"/>
        <v>0</v>
      </c>
      <c r="T65" s="231"/>
      <c r="U65" s="159" t="e">
        <f t="shared" si="48"/>
        <v>#N/A</v>
      </c>
      <c r="V65" s="41"/>
      <c r="W65" s="70" t="e">
        <f t="shared" si="49"/>
        <v>#N/A</v>
      </c>
      <c r="X65" s="70"/>
      <c r="Y65" s="159"/>
      <c r="Z65" s="159"/>
      <c r="AA65" s="160"/>
      <c r="AB65" s="158" t="e">
        <f t="shared" si="50"/>
        <v>#N/A</v>
      </c>
      <c r="AC65" s="94" t="e">
        <f t="shared" si="15"/>
        <v>#N/A</v>
      </c>
      <c r="AD65" s="95" t="e">
        <f t="shared" si="51"/>
        <v>#N/A</v>
      </c>
      <c r="AE65" s="95" t="e">
        <f t="shared" si="52"/>
        <v>#N/A</v>
      </c>
      <c r="AF65" s="95" t="e">
        <f t="shared" si="53"/>
        <v>#N/A</v>
      </c>
      <c r="AG65" s="96" t="e">
        <f t="shared" si="16"/>
        <v>#N/A</v>
      </c>
      <c r="AH65" s="431"/>
      <c r="AI65" s="1" t="s">
        <v>155</v>
      </c>
      <c r="AJ65" s="36">
        <f>SUMIFS($H$6:$H$69,$C$6:$C$69,AH64,$F$6:$F$69,AI65)</f>
        <v>0</v>
      </c>
      <c r="AK65" s="36">
        <f>SUMIFS($I$6:$I$69,$C$6:$C$69,AH64,$F$6:$F$69,AI65)</f>
        <v>0</v>
      </c>
      <c r="AL65" s="36">
        <f>SUMIFS($J$6:$J$69,$C$6:$C$69,AH64,$F$6:$F$69,AI65)</f>
        <v>0</v>
      </c>
      <c r="AM65" s="36">
        <f>SUMIFS($K$6:$K$69,$C$6:$C$69,AH64,$F$6:$F$69,AI65)</f>
        <v>0</v>
      </c>
      <c r="AN65" s="36">
        <f>SUMIFS($L$6:$L$69,$C$6:$C$69,AH64,$F$6:$F$69,AI65)</f>
        <v>0</v>
      </c>
      <c r="AO65" s="36">
        <f>SUMIFS($M$6:$M$69,$C$6:$C$69,AH64,$F$6:$F$69,AI65)</f>
        <v>0</v>
      </c>
      <c r="AP65" s="1" t="s">
        <v>155</v>
      </c>
      <c r="AQ65" s="83"/>
      <c r="AR65" s="63"/>
      <c r="AS65" s="63"/>
      <c r="AT65" s="63"/>
      <c r="AU65" s="79"/>
      <c r="AV65" s="79"/>
      <c r="AW65" s="55">
        <f>SUMIFS($O$6:$O$69,$C$6:$C$69,AH65,$F$6:$F$69,AI65)</f>
        <v>0</v>
      </c>
      <c r="AX65" s="275"/>
      <c r="AY65" s="80">
        <f>SUMIFS($Q$6:$Q$69,$C$6:$C$69,AH65,$F$6:$F$69,AI65)</f>
        <v>0</v>
      </c>
      <c r="BC65" s="478" t="s">
        <v>165</v>
      </c>
      <c r="BD65" s="478"/>
      <c r="BE65" s="478"/>
      <c r="BF65" s="478"/>
      <c r="BG65" s="478"/>
      <c r="BH65" s="470">
        <f>SUM(BH6:BH61)</f>
        <v>1</v>
      </c>
      <c r="BI65" s="470"/>
      <c r="BJ65" s="470"/>
      <c r="BK65" s="470"/>
      <c r="BL65" s="470"/>
      <c r="BM65" s="470"/>
      <c r="BN65" s="470"/>
      <c r="BO65" s="470"/>
      <c r="BP65" s="470"/>
      <c r="BQ65" s="470"/>
      <c r="BR65" s="470"/>
      <c r="BS65" s="470"/>
      <c r="BT65" s="470"/>
      <c r="BU65" s="470"/>
      <c r="BV65" s="470"/>
    </row>
    <row r="66" spans="1:74" ht="15" thickBot="1" x14ac:dyDescent="0.35">
      <c r="A66" s="64"/>
      <c r="B66" s="148"/>
      <c r="C66" s="109"/>
      <c r="D66" s="63"/>
      <c r="E66" s="63"/>
      <c r="F66" s="127"/>
      <c r="G66" s="50"/>
      <c r="H66" s="10"/>
      <c r="I66" s="10"/>
      <c r="J66" s="10"/>
      <c r="K66" s="10"/>
      <c r="L66" s="10"/>
      <c r="M66" s="39"/>
      <c r="N66" s="33">
        <f t="shared" si="59"/>
        <v>0</v>
      </c>
      <c r="O66" s="52">
        <f t="shared" si="60"/>
        <v>0</v>
      </c>
      <c r="P66" s="52">
        <f t="shared" si="61"/>
        <v>0</v>
      </c>
      <c r="Q66" s="53" t="b">
        <f t="shared" si="57"/>
        <v>0</v>
      </c>
      <c r="R66" s="152" t="s">
        <v>175</v>
      </c>
      <c r="S66" s="278">
        <f t="shared" si="62"/>
        <v>0</v>
      </c>
      <c r="T66" s="231"/>
      <c r="U66" s="159" t="e">
        <f t="shared" si="48"/>
        <v>#N/A</v>
      </c>
      <c r="V66" s="41"/>
      <c r="W66" s="70" t="e">
        <f t="shared" si="49"/>
        <v>#N/A</v>
      </c>
      <c r="X66" s="70"/>
      <c r="Y66" s="159"/>
      <c r="Z66" s="159"/>
      <c r="AA66" s="160"/>
      <c r="AB66" s="158" t="e">
        <f t="shared" si="50"/>
        <v>#N/A</v>
      </c>
      <c r="AC66" s="94" t="e">
        <f t="shared" si="15"/>
        <v>#N/A</v>
      </c>
      <c r="AD66" s="95" t="e">
        <f t="shared" si="51"/>
        <v>#N/A</v>
      </c>
      <c r="AE66" s="95" t="e">
        <f t="shared" si="52"/>
        <v>#N/A</v>
      </c>
      <c r="AF66" s="95" t="e">
        <f t="shared" si="53"/>
        <v>#N/A</v>
      </c>
      <c r="AG66" s="96" t="e">
        <f t="shared" si="16"/>
        <v>#N/A</v>
      </c>
      <c r="AH66" s="431"/>
      <c r="AI66" s="91" t="s">
        <v>157</v>
      </c>
      <c r="AJ66" s="36">
        <f>SUMIFS($H$6:$H$69,$C$6:$C$69,AH66,$F$6:$F$69,AI66)</f>
        <v>0</v>
      </c>
      <c r="AK66" s="36">
        <f>SUMIFS($I$6:$I$69,$C$6:$C$69,AH66,$F$6:$F$69,AI66)</f>
        <v>0</v>
      </c>
      <c r="AL66" s="36">
        <f>SUMIFS($J$6:$J$69,$C$6:$C$69,AH66,$F$6:$F$69,AI66)</f>
        <v>0</v>
      </c>
      <c r="AM66" s="36">
        <f>SUMIFS($K$6:$K$69,$C$6:$C$69,AH66,$F$6:$F$69,AI66)</f>
        <v>0</v>
      </c>
      <c r="AN66" s="36">
        <f>SUMIFS($L$6:$L$69,$C$6:$C$69,AH66,$F$6:$F$69,AI66)</f>
        <v>0</v>
      </c>
      <c r="AO66" s="36">
        <f>SUMIFS($M$6:$M$69,$C$6:$C$69,AH66,$F$6:$F$69,AI66)</f>
        <v>0</v>
      </c>
      <c r="AP66" s="91" t="s">
        <v>157</v>
      </c>
      <c r="AQ66" s="83"/>
      <c r="AR66" s="63"/>
      <c r="AS66" s="63"/>
      <c r="AT66" s="63"/>
      <c r="AU66" s="79"/>
      <c r="AV66" s="79"/>
      <c r="AW66" s="55">
        <f>SUMIFS($O$6:$O$69,$C$6:$C$69,AH66,$F$6:$F$69,AI66)</f>
        <v>0</v>
      </c>
      <c r="AX66" s="275"/>
      <c r="AY66" s="80">
        <f>SUMIFS($Q$6:$Q$69,$C$6:$C$69,AH66,$F$6:$F$69,AI66)</f>
        <v>0</v>
      </c>
      <c r="BC66" s="470" t="s">
        <v>166</v>
      </c>
      <c r="BD66" s="470"/>
      <c r="BE66" s="470"/>
      <c r="BF66" s="470"/>
      <c r="BG66" s="470"/>
      <c r="BH66" s="470"/>
      <c r="BI66" s="470">
        <f>SUM(BI6:BI61)</f>
        <v>2</v>
      </c>
      <c r="BJ66" s="470"/>
      <c r="BK66" s="470"/>
      <c r="BL66" s="470"/>
      <c r="BM66" s="470"/>
      <c r="BN66" s="470"/>
      <c r="BO66" s="470"/>
      <c r="BP66" s="470"/>
      <c r="BQ66" s="470"/>
      <c r="BR66" s="470"/>
      <c r="BS66" s="470"/>
      <c r="BT66" s="470"/>
      <c r="BU66" s="470"/>
      <c r="BV66" s="470"/>
    </row>
    <row r="67" spans="1:74" ht="15" thickBot="1" x14ac:dyDescent="0.35">
      <c r="A67" s="64"/>
      <c r="B67" s="148"/>
      <c r="C67" s="109"/>
      <c r="D67" s="63"/>
      <c r="E67" s="63"/>
      <c r="F67" s="127"/>
      <c r="G67" s="50"/>
      <c r="H67" s="10"/>
      <c r="I67" s="10"/>
      <c r="J67" s="10"/>
      <c r="K67" s="10"/>
      <c r="L67" s="10"/>
      <c r="M67" s="39"/>
      <c r="N67" s="33">
        <f t="shared" si="59"/>
        <v>0</v>
      </c>
      <c r="O67" s="52">
        <f t="shared" si="60"/>
        <v>0</v>
      </c>
      <c r="P67" s="52">
        <f t="shared" si="61"/>
        <v>0</v>
      </c>
      <c r="Q67" s="53" t="b">
        <f t="shared" si="57"/>
        <v>0</v>
      </c>
      <c r="R67" s="152" t="s">
        <v>175</v>
      </c>
      <c r="S67" s="278">
        <f t="shared" si="62"/>
        <v>0</v>
      </c>
      <c r="T67" s="231"/>
      <c r="U67" s="159" t="e">
        <f t="shared" si="48"/>
        <v>#N/A</v>
      </c>
      <c r="V67" s="41"/>
      <c r="W67" s="70" t="e">
        <f t="shared" si="49"/>
        <v>#N/A</v>
      </c>
      <c r="X67" s="70"/>
      <c r="Y67" s="159"/>
      <c r="Z67" s="159"/>
      <c r="AA67" s="160"/>
      <c r="AB67" s="158" t="e">
        <f t="shared" si="50"/>
        <v>#N/A</v>
      </c>
      <c r="AC67" s="94" t="e">
        <f t="shared" si="15"/>
        <v>#N/A</v>
      </c>
      <c r="AD67" s="95" t="e">
        <f t="shared" si="51"/>
        <v>#N/A</v>
      </c>
      <c r="AE67" s="95" t="e">
        <f t="shared" si="52"/>
        <v>#N/A</v>
      </c>
      <c r="AF67" s="95" t="e">
        <f t="shared" si="53"/>
        <v>#N/A</v>
      </c>
      <c r="AG67" s="96" t="e">
        <f t="shared" si="16"/>
        <v>#N/A</v>
      </c>
      <c r="AH67" s="432"/>
      <c r="AI67" s="92" t="s">
        <v>155</v>
      </c>
      <c r="AJ67" s="37">
        <f>SUMIFS($H$6:$H$69,$C$6:$C$69,AH66,$F$6:$F$69,AI67)</f>
        <v>0</v>
      </c>
      <c r="AK67" s="37">
        <f>SUMIFS($I$6:$I$69,$C$6:$C$69,AH66,$F$6:$F$69,AI67)</f>
        <v>0</v>
      </c>
      <c r="AL67" s="37">
        <f>SUMIFS($J$6:$J$69,$C$6:$C$69,AH66,$F$6:$F$69,AI67)</f>
        <v>0</v>
      </c>
      <c r="AM67" s="37">
        <f>SUMIFS($K$6:$K$69,$C$6:$C$69,AH66,$F$6:$F$69,AI67)</f>
        <v>0</v>
      </c>
      <c r="AN67" s="37">
        <f>SUMIFS($L$6:$L$69,$C$6:$C$69,AH66,$F$6:$F$69,AI67)</f>
        <v>0</v>
      </c>
      <c r="AO67" s="37">
        <f>SUMIFS($M$6:$M$69,$C$6:$C$69,AH66,$F$6:$F$69,AI67)</f>
        <v>0</v>
      </c>
      <c r="AP67" s="92" t="s">
        <v>155</v>
      </c>
      <c r="AQ67" s="84"/>
      <c r="AR67" s="44"/>
      <c r="AS67" s="44"/>
      <c r="AT67" s="44"/>
      <c r="AU67" s="85"/>
      <c r="AV67" s="85"/>
      <c r="AW67" s="56">
        <f>SUMIFS($O$6:$O$69,$C$6:$C$69,AH67,$F$6:$F$69,AI67)</f>
        <v>0</v>
      </c>
      <c r="AX67" s="276"/>
      <c r="AY67" s="86">
        <f>SUMIFS($Q$6:$Q$69,$C$6:$C$69,AH67,$F$6:$F$69,AI67)</f>
        <v>0</v>
      </c>
      <c r="BC67" s="470" t="s">
        <v>167</v>
      </c>
      <c r="BD67" s="470"/>
      <c r="BE67" s="470"/>
      <c r="BF67" s="470"/>
      <c r="BG67" s="470"/>
      <c r="BH67" s="470"/>
      <c r="BI67" s="470"/>
      <c r="BJ67" s="470">
        <f>SUM(BJ6:BJ61)</f>
        <v>1</v>
      </c>
      <c r="BK67" s="470"/>
      <c r="BL67" s="470"/>
      <c r="BM67" s="470"/>
      <c r="BN67" s="470"/>
      <c r="BO67" s="470"/>
      <c r="BP67" s="470"/>
      <c r="BQ67" s="470"/>
      <c r="BR67" s="470"/>
      <c r="BS67" s="470"/>
      <c r="BT67" s="470"/>
      <c r="BU67" s="470"/>
      <c r="BV67" s="470"/>
    </row>
    <row r="68" spans="1:74" ht="15" customHeight="1" thickBot="1" x14ac:dyDescent="0.35">
      <c r="A68" s="64"/>
      <c r="B68" s="148"/>
      <c r="C68" s="109"/>
      <c r="D68" s="63"/>
      <c r="E68" s="63"/>
      <c r="F68" s="127"/>
      <c r="G68" s="50"/>
      <c r="H68" s="10"/>
      <c r="I68" s="10"/>
      <c r="J68" s="10"/>
      <c r="K68" s="10"/>
      <c r="L68" s="10"/>
      <c r="M68" s="39"/>
      <c r="N68" s="33">
        <f t="shared" si="59"/>
        <v>0</v>
      </c>
      <c r="O68" s="52">
        <f t="shared" si="60"/>
        <v>0</v>
      </c>
      <c r="P68" s="52">
        <f t="shared" si="61"/>
        <v>0</v>
      </c>
      <c r="Q68" s="53" t="b">
        <f t="shared" si="57"/>
        <v>0</v>
      </c>
      <c r="R68" s="152" t="s">
        <v>175</v>
      </c>
      <c r="S68" s="278">
        <f t="shared" si="62"/>
        <v>0</v>
      </c>
      <c r="T68" s="231"/>
      <c r="U68" s="159" t="e">
        <f t="shared" si="48"/>
        <v>#N/A</v>
      </c>
      <c r="V68" s="41"/>
      <c r="W68" s="70" t="e">
        <f t="shared" si="49"/>
        <v>#N/A</v>
      </c>
      <c r="X68" s="70"/>
      <c r="Y68" s="159"/>
      <c r="Z68" s="159"/>
      <c r="AA68" s="160"/>
      <c r="AB68" s="158" t="e">
        <f t="shared" si="50"/>
        <v>#N/A</v>
      </c>
      <c r="AC68" s="94" t="e">
        <f t="shared" si="15"/>
        <v>#N/A</v>
      </c>
      <c r="AD68" s="95" t="e">
        <f t="shared" si="51"/>
        <v>#N/A</v>
      </c>
      <c r="AE68" s="95" t="e">
        <f t="shared" si="52"/>
        <v>#N/A</v>
      </c>
      <c r="AF68" s="95" t="e">
        <f t="shared" si="53"/>
        <v>#N/A</v>
      </c>
      <c r="AG68" s="96" t="e">
        <f t="shared" si="16"/>
        <v>#N/A</v>
      </c>
      <c r="AH68" s="455" t="s">
        <v>63</v>
      </c>
      <c r="AI68" s="91" t="s">
        <v>157</v>
      </c>
      <c r="AJ68" s="87">
        <f>SUM(AJ6,AJ8,AJ10,AJ12,AJ14,AJ16,AJ18,AJ20,AJ22,AJ24,AJ26,AJ28,AJ30,AJ32,AJ34,AJ36,AJ38,AJ40,AJ42,AJ44,AJ46,AJ48,AJ50,AJ52,AJ54,AJ56,AJ58,AJ60,AJ62,AJ64,AJ66)</f>
        <v>0</v>
      </c>
      <c r="AK68" s="87">
        <f>SUM(AK6,AK8,AK10,AK12,AK14,AK16,AK18,AK20,AK22,AK24,AK26,AK28,AK30,AK32,AK34,AK36,AK38,AK40,AK42,AK44,AK46,AK48,AK50,AK52,AK54,AK56,AK58,AK60,AK62,AK64,AK66)</f>
        <v>0</v>
      </c>
      <c r="AL68" s="87">
        <f t="shared" ref="AL68:AV69" si="63">SUM(AL6,AL8,AL10,AL12,AL14,AL16,AL18,AL20,AL22,AL24,AL26,AL28,AL30,AL32,AL34,AL36,AL38,AL40,AL42,AL44,AL46,AL48,AL50,AL52,AL54,AL56,AL58,AL60,AL62,AL64,AL66)</f>
        <v>0</v>
      </c>
      <c r="AM68" s="87">
        <f t="shared" si="63"/>
        <v>0</v>
      </c>
      <c r="AN68" s="87">
        <f t="shared" si="63"/>
        <v>0</v>
      </c>
      <c r="AO68" s="87">
        <f t="shared" si="63"/>
        <v>0</v>
      </c>
      <c r="AP68" s="91" t="s">
        <v>157</v>
      </c>
      <c r="AQ68" s="87">
        <f t="shared" si="63"/>
        <v>0</v>
      </c>
      <c r="AR68" s="87">
        <f t="shared" si="63"/>
        <v>0</v>
      </c>
      <c r="AS68" s="87">
        <f t="shared" si="63"/>
        <v>0</v>
      </c>
      <c r="AT68" s="87">
        <f t="shared" si="63"/>
        <v>0</v>
      </c>
      <c r="AU68" s="87">
        <f t="shared" si="63"/>
        <v>0</v>
      </c>
      <c r="AV68" s="87">
        <f t="shared" si="63"/>
        <v>0</v>
      </c>
      <c r="AW68" s="472">
        <f>SUMIF(AW6:AW67,"&lt;&gt;#N/A")</f>
        <v>0</v>
      </c>
      <c r="AX68" s="210"/>
      <c r="AY68" s="472">
        <f>SUMIF(AY6:AY67,"&lt;&gt;#N/A")</f>
        <v>0</v>
      </c>
      <c r="BC68" s="470" t="s">
        <v>168</v>
      </c>
      <c r="BD68" s="470"/>
      <c r="BE68" s="470"/>
      <c r="BF68" s="470"/>
      <c r="BG68" s="470"/>
      <c r="BH68" s="470"/>
      <c r="BI68" s="470"/>
      <c r="BJ68" s="470"/>
      <c r="BK68" s="470">
        <f>SUM(BK6:BK61)</f>
        <v>1</v>
      </c>
      <c r="BL68" s="470"/>
      <c r="BM68" s="470"/>
      <c r="BN68" s="470"/>
      <c r="BO68" s="470"/>
      <c r="BP68" s="470"/>
      <c r="BQ68" s="470"/>
      <c r="BR68" s="470"/>
      <c r="BS68" s="470"/>
      <c r="BT68" s="470"/>
      <c r="BU68" s="470"/>
      <c r="BV68" s="470"/>
    </row>
    <row r="69" spans="1:74" ht="15" customHeight="1" thickBot="1" x14ac:dyDescent="0.35">
      <c r="A69" s="283"/>
      <c r="B69" s="156"/>
      <c r="C69" s="284"/>
      <c r="D69" s="217"/>
      <c r="E69" s="217"/>
      <c r="F69" s="285"/>
      <c r="G69" s="286"/>
      <c r="H69" s="103"/>
      <c r="I69" s="103"/>
      <c r="J69" s="103"/>
      <c r="K69" s="103"/>
      <c r="L69" s="103"/>
      <c r="M69" s="287"/>
      <c r="N69" s="288">
        <f t="shared" si="59"/>
        <v>0</v>
      </c>
      <c r="O69" s="289">
        <f t="shared" si="60"/>
        <v>0</v>
      </c>
      <c r="P69" s="289">
        <f t="shared" si="61"/>
        <v>0</v>
      </c>
      <c r="Q69" s="290" t="b">
        <f t="shared" si="57"/>
        <v>0</v>
      </c>
      <c r="R69" s="291" t="s">
        <v>175</v>
      </c>
      <c r="S69" s="292">
        <f t="shared" si="62"/>
        <v>0</v>
      </c>
      <c r="T69" s="231"/>
      <c r="U69" s="159" t="e">
        <f t="shared" si="48"/>
        <v>#N/A</v>
      </c>
      <c r="V69" s="41"/>
      <c r="W69" s="70" t="e">
        <f t="shared" si="49"/>
        <v>#N/A</v>
      </c>
      <c r="X69" s="70"/>
      <c r="Y69" s="159"/>
      <c r="Z69" s="159"/>
      <c r="AA69" s="160"/>
      <c r="AB69" s="158" t="e">
        <f t="shared" si="50"/>
        <v>#N/A</v>
      </c>
      <c r="AC69" s="94" t="e">
        <f t="shared" si="15"/>
        <v>#N/A</v>
      </c>
      <c r="AD69" s="95" t="e">
        <f t="shared" si="51"/>
        <v>#N/A</v>
      </c>
      <c r="AE69" s="95" t="e">
        <f t="shared" si="52"/>
        <v>#N/A</v>
      </c>
      <c r="AF69" s="95" t="e">
        <f t="shared" si="53"/>
        <v>#N/A</v>
      </c>
      <c r="AG69" s="96" t="e">
        <f t="shared" si="16"/>
        <v>#N/A</v>
      </c>
      <c r="AH69" s="456"/>
      <c r="AI69" s="92" t="s">
        <v>155</v>
      </c>
      <c r="AJ69" s="87">
        <f>SUM(AJ7,AJ9,AJ11,AJ13,AJ15,AJ17,AJ19,AJ21,AJ23,AJ25,AJ27,AJ29,AJ31,AJ33,AJ35,AJ37,AJ39,AJ41,AJ43,AJ45,AJ47,AJ49,AJ51,AJ53,AJ55,AJ57,AJ59,AJ61,AJ63,AJ65,AJ67)</f>
        <v>0</v>
      </c>
      <c r="AK69" s="87">
        <f>SUM(AK7,AK9,AK11,AK13,AK15,AK17,AK19,AK21,AK23,AK25,AK27,AK29,AK31,AK33,AK35,AK37,AK39,AK41,AK43,AK45,AK47,AK49,AK51,AK53,AK55,AK57,AK59,AK61,AK63,AK65,AK67)</f>
        <v>0</v>
      </c>
      <c r="AL69" s="87">
        <f t="shared" si="63"/>
        <v>0</v>
      </c>
      <c r="AM69" s="87">
        <f t="shared" si="63"/>
        <v>0</v>
      </c>
      <c r="AN69" s="87">
        <f t="shared" si="63"/>
        <v>0</v>
      </c>
      <c r="AO69" s="87">
        <f t="shared" si="63"/>
        <v>0</v>
      </c>
      <c r="AP69" s="92" t="s">
        <v>155</v>
      </c>
      <c r="AQ69" s="87">
        <f t="shared" si="63"/>
        <v>0</v>
      </c>
      <c r="AR69" s="87">
        <f t="shared" si="63"/>
        <v>0</v>
      </c>
      <c r="AS69" s="87">
        <f t="shared" si="63"/>
        <v>0</v>
      </c>
      <c r="AT69" s="87">
        <f t="shared" si="63"/>
        <v>0</v>
      </c>
      <c r="AU69" s="87">
        <f t="shared" si="63"/>
        <v>0</v>
      </c>
      <c r="AV69" s="87">
        <f t="shared" si="63"/>
        <v>0</v>
      </c>
      <c r="AW69" s="473"/>
      <c r="AX69" s="211"/>
      <c r="AY69" s="473"/>
      <c r="BC69" s="470" t="s">
        <v>169</v>
      </c>
      <c r="BD69" s="470"/>
      <c r="BE69" s="470"/>
      <c r="BF69" s="470"/>
      <c r="BG69" s="470"/>
      <c r="BH69" s="470"/>
      <c r="BI69" s="470"/>
      <c r="BJ69" s="470"/>
      <c r="BK69" s="470"/>
      <c r="BL69" s="470">
        <f>SUM(BL6:BL61)</f>
        <v>2</v>
      </c>
      <c r="BM69" s="470"/>
      <c r="BN69" s="470"/>
      <c r="BO69" s="470"/>
      <c r="BP69" s="470"/>
      <c r="BQ69" s="470"/>
      <c r="BR69" s="470"/>
      <c r="BS69" s="470"/>
      <c r="BT69" s="470"/>
      <c r="BU69" s="470"/>
      <c r="BV69" s="470"/>
    </row>
    <row r="70" spans="1:74" ht="15" customHeight="1" thickTop="1" thickBot="1" x14ac:dyDescent="0.35">
      <c r="A70" s="437" t="s">
        <v>180</v>
      </c>
      <c r="B70" s="437"/>
      <c r="C70" s="437"/>
      <c r="D70" s="437"/>
      <c r="E70" s="437"/>
      <c r="F70" s="437"/>
      <c r="G70" s="437"/>
      <c r="H70" s="438">
        <f ca="1">SUMIF($F$6:$F$69,"HUILE",H8:H69)</f>
        <v>0</v>
      </c>
      <c r="I70" s="438">
        <f ca="1">SUMIF($F$6:$F$69,"HUILE",I8:I69)</f>
        <v>0</v>
      </c>
      <c r="J70" s="438">
        <f ca="1">SUMIF($F$6:$F$69,"HUILE",J8:J69)</f>
        <v>0</v>
      </c>
      <c r="K70" s="438">
        <f ca="1">SUMIF($F$6:$F$69,"HUILE",K8:K69)</f>
        <v>0</v>
      </c>
      <c r="L70" s="438">
        <f ca="1">SUMIF($F$6:$F$69,"HUILE",L8:L69)</f>
        <v>0</v>
      </c>
      <c r="M70" s="438">
        <f ca="1">SUMIF($F$6:$F$69,"HUILE",M8:M69)</f>
        <v>0</v>
      </c>
      <c r="N70" s="438">
        <f ca="1">SUMIF($F$6:$F$69,"HUILE",N8:N69)</f>
        <v>0</v>
      </c>
      <c r="O70" s="401" t="e">
        <f>(($I$5*#REF!)/100)+((#REF!*$J$5)/100)+(($K$5*#REF!)/100)+($L$5*#REF!)+($M$5*#REF!)</f>
        <v>#REF!</v>
      </c>
      <c r="P70" s="401"/>
      <c r="Q70" s="401"/>
      <c r="R70" s="401"/>
      <c r="S70" s="401"/>
      <c r="T70" s="231"/>
      <c r="U70" s="159" t="e">
        <f t="shared" ref="U70:U88" si="64">VLOOKUP(V70,BASE1,2,0)</f>
        <v>#N/A</v>
      </c>
      <c r="V70" s="41"/>
      <c r="W70" s="70" t="e">
        <f t="shared" ref="W70:W88" si="65">VLOOKUP(V70,BASE1,3,0)</f>
        <v>#N/A</v>
      </c>
      <c r="X70" s="70"/>
      <c r="Y70" s="159"/>
      <c r="Z70" s="159"/>
      <c r="AA70" s="160"/>
      <c r="AB70" s="158" t="e">
        <f t="shared" ref="AB70:AB88" si="66">VLOOKUP(V70,BASE1,4,0)</f>
        <v>#N/A</v>
      </c>
      <c r="AC70" s="94" t="e">
        <f t="shared" si="15"/>
        <v>#N/A</v>
      </c>
      <c r="AD70" s="95" t="e">
        <f t="shared" ref="AD70:AD88" si="67">VLOOKUP(V70,BASE1,6,0)*AA70/100</f>
        <v>#N/A</v>
      </c>
      <c r="AE70" s="95" t="e">
        <f t="shared" ref="AE70:AE88" si="68">VLOOKUP(V70,BASE1,7,0)*AA70/100</f>
        <v>#N/A</v>
      </c>
      <c r="AF70" s="95" t="e">
        <f t="shared" ref="AF70:AF88" si="69">VLOOKUP(V70,BASE1,8,0)*AA70/100</f>
        <v>#N/A</v>
      </c>
      <c r="AG70" s="96" t="e">
        <f t="shared" si="16"/>
        <v>#N/A</v>
      </c>
      <c r="AH70" s="457" t="s">
        <v>64</v>
      </c>
      <c r="AI70" s="451"/>
      <c r="AJ70" s="458"/>
      <c r="AK70" s="462">
        <f>AY68</f>
        <v>0</v>
      </c>
      <c r="AL70" s="463"/>
      <c r="AM70" s="463"/>
      <c r="AN70" s="464"/>
      <c r="AO70" s="88"/>
      <c r="AP70" s="88"/>
      <c r="AQ70" s="88"/>
      <c r="AR70" s="88"/>
      <c r="AS70" s="88"/>
      <c r="AT70" s="88"/>
      <c r="AU70" s="104"/>
      <c r="AV70" s="104"/>
      <c r="AW70" s="105"/>
      <c r="AX70" s="105"/>
      <c r="AY70" s="105"/>
      <c r="BC70" s="471" t="s">
        <v>170</v>
      </c>
      <c r="BD70" s="471"/>
      <c r="BE70" s="471"/>
      <c r="BF70" s="471"/>
      <c r="BG70" s="471"/>
      <c r="BH70" s="471"/>
      <c r="BI70" s="471"/>
      <c r="BJ70" s="471"/>
      <c r="BK70" s="471"/>
      <c r="BL70" s="471"/>
      <c r="BM70" s="471">
        <f>SUM(BM6:BM61)</f>
        <v>0</v>
      </c>
      <c r="BN70" s="471"/>
      <c r="BO70" s="471"/>
      <c r="BP70" s="471"/>
      <c r="BQ70" s="471"/>
      <c r="BR70" s="471"/>
      <c r="BS70" s="471"/>
      <c r="BT70" s="471"/>
      <c r="BU70" s="471"/>
      <c r="BV70" s="471"/>
    </row>
    <row r="71" spans="1:74" ht="15" customHeight="1" thickBot="1" x14ac:dyDescent="0.35">
      <c r="A71" s="391"/>
      <c r="B71" s="391"/>
      <c r="C71" s="391"/>
      <c r="D71" s="391"/>
      <c r="E71" s="391"/>
      <c r="F71" s="391"/>
      <c r="G71" s="391"/>
      <c r="H71" s="404"/>
      <c r="I71" s="404"/>
      <c r="J71" s="404"/>
      <c r="K71" s="404"/>
      <c r="L71" s="404"/>
      <c r="M71" s="404"/>
      <c r="N71" s="404"/>
      <c r="O71" s="402"/>
      <c r="P71" s="402"/>
      <c r="Q71" s="402"/>
      <c r="R71" s="402"/>
      <c r="S71" s="402"/>
      <c r="T71" s="231"/>
      <c r="U71" s="159" t="e">
        <f t="shared" si="64"/>
        <v>#N/A</v>
      </c>
      <c r="V71" s="41"/>
      <c r="W71" s="70" t="e">
        <f t="shared" si="65"/>
        <v>#N/A</v>
      </c>
      <c r="X71" s="70"/>
      <c r="Y71" s="159"/>
      <c r="Z71" s="159"/>
      <c r="AA71" s="160"/>
      <c r="AB71" s="158" t="e">
        <f t="shared" si="66"/>
        <v>#N/A</v>
      </c>
      <c r="AC71" s="94" t="e">
        <f t="shared" ref="AC71:AC90" si="70">(AA71*AB71)/100</f>
        <v>#N/A</v>
      </c>
      <c r="AD71" s="95" t="e">
        <f t="shared" si="67"/>
        <v>#N/A</v>
      </c>
      <c r="AE71" s="95" t="e">
        <f t="shared" si="68"/>
        <v>#N/A</v>
      </c>
      <c r="AF71" s="95" t="e">
        <f t="shared" si="69"/>
        <v>#N/A</v>
      </c>
      <c r="AG71" s="96" t="e">
        <f t="shared" ref="AG71:AG90" si="71">AC71+AD71+AE71+AF71</f>
        <v>#N/A</v>
      </c>
      <c r="AH71" s="459"/>
      <c r="AI71" s="460"/>
      <c r="AJ71" s="461"/>
      <c r="AK71" s="465"/>
      <c r="AL71" s="466"/>
      <c r="AM71" s="466"/>
      <c r="AN71" s="467"/>
      <c r="AO71" s="89"/>
      <c r="AP71" s="89"/>
      <c r="AQ71" s="89"/>
      <c r="AR71" s="89"/>
      <c r="AS71" s="89"/>
      <c r="AT71" s="89"/>
      <c r="AU71" s="104"/>
      <c r="AV71" s="104"/>
      <c r="AW71" s="105"/>
      <c r="AX71" s="105"/>
      <c r="AY71" s="105"/>
      <c r="BC71" s="471" t="s">
        <v>162</v>
      </c>
      <c r="BD71" s="471"/>
      <c r="BE71" s="471"/>
      <c r="BF71" s="471"/>
      <c r="BG71" s="471"/>
      <c r="BH71" s="471"/>
      <c r="BI71" s="471"/>
      <c r="BJ71" s="471"/>
      <c r="BK71" s="471"/>
      <c r="BL71" s="471"/>
      <c r="BM71" s="471"/>
      <c r="BN71" s="226"/>
      <c r="BO71" s="226"/>
      <c r="BP71" s="226"/>
      <c r="BQ71" s="471">
        <f>SUM(BQ6:BQ61)</f>
        <v>4</v>
      </c>
      <c r="BR71" s="471"/>
      <c r="BS71" s="471"/>
      <c r="BT71" s="471"/>
      <c r="BU71" s="471"/>
      <c r="BV71" s="471"/>
    </row>
    <row r="72" spans="1:74" ht="15" customHeight="1" thickBot="1" x14ac:dyDescent="0.35">
      <c r="A72" s="391" t="s">
        <v>181</v>
      </c>
      <c r="B72" s="391"/>
      <c r="C72" s="391"/>
      <c r="D72" s="391"/>
      <c r="E72" s="391"/>
      <c r="F72" s="391"/>
      <c r="G72" s="391"/>
      <c r="H72" s="404">
        <f ca="1">SUMIF($F$6:$F$69,"LAIT",H10:H69)</f>
        <v>0</v>
      </c>
      <c r="I72" s="404">
        <f ca="1">SUMIF($F$6:$F$69,"LAIT",I10:I71)</f>
        <v>0</v>
      </c>
      <c r="J72" s="404">
        <f ca="1">SUMIF($F$6:$F$69,"LAIT",J10:J71)</f>
        <v>0</v>
      </c>
      <c r="K72" s="404">
        <f ca="1">SUMIF($F$6:$F$69,"LAIT",K10:K71)</f>
        <v>0</v>
      </c>
      <c r="L72" s="404">
        <f ca="1">SUMIF($F$6:$F$69,"LAIT",L10:L71)</f>
        <v>0</v>
      </c>
      <c r="M72" s="404">
        <f ca="1">SUMIF($F$6:$F$69,"LAIT",M10:M71)</f>
        <v>0</v>
      </c>
      <c r="N72" s="404">
        <f ca="1">SUMIF($F$6:$F$69,"LAIT",N10:N71)</f>
        <v>0</v>
      </c>
      <c r="O72" s="402">
        <f ca="1">(($I$5*I70)/100)+((J70*$J$5)/100)+(($K$5*K70)/100)+($L$5*L70)+($M$5*M70)</f>
        <v>0</v>
      </c>
      <c r="P72" s="402"/>
      <c r="Q72" s="402"/>
      <c r="R72" s="402"/>
      <c r="S72" s="402"/>
      <c r="T72" s="231"/>
      <c r="U72" s="159" t="e">
        <f t="shared" si="64"/>
        <v>#N/A</v>
      </c>
      <c r="V72" s="41"/>
      <c r="W72" s="70" t="e">
        <f t="shared" si="65"/>
        <v>#N/A</v>
      </c>
      <c r="X72" s="70"/>
      <c r="Y72" s="159"/>
      <c r="Z72" s="159"/>
      <c r="AA72" s="160"/>
      <c r="AB72" s="158" t="e">
        <f t="shared" si="66"/>
        <v>#N/A</v>
      </c>
      <c r="AC72" s="94" t="e">
        <f t="shared" si="70"/>
        <v>#N/A</v>
      </c>
      <c r="AD72" s="95" t="e">
        <f t="shared" si="67"/>
        <v>#N/A</v>
      </c>
      <c r="AE72" s="95" t="e">
        <f t="shared" si="68"/>
        <v>#N/A</v>
      </c>
      <c r="AF72" s="95" t="e">
        <f t="shared" si="69"/>
        <v>#N/A</v>
      </c>
      <c r="AG72" s="96" t="e">
        <f t="shared" si="71"/>
        <v>#N/A</v>
      </c>
      <c r="AU72" s="104"/>
      <c r="AV72" s="104"/>
      <c r="AW72" s="105"/>
      <c r="AX72" s="105"/>
      <c r="AY72" s="105"/>
      <c r="BC72" s="471" t="s">
        <v>163</v>
      </c>
      <c r="BD72" s="471"/>
      <c r="BE72" s="471"/>
      <c r="BF72" s="471"/>
      <c r="BG72" s="471"/>
      <c r="BH72" s="471"/>
      <c r="BI72" s="471"/>
      <c r="BJ72" s="471"/>
      <c r="BK72" s="471"/>
      <c r="BL72" s="471"/>
      <c r="BM72" s="471"/>
      <c r="BN72" s="471"/>
      <c r="BO72" s="471"/>
      <c r="BP72" s="471"/>
      <c r="BQ72" s="471"/>
      <c r="BR72" s="471">
        <f>SUM(BR6:BR61)</f>
        <v>0</v>
      </c>
      <c r="BS72" s="471"/>
      <c r="BT72" s="471"/>
      <c r="BU72" s="471"/>
      <c r="BV72" s="471"/>
    </row>
    <row r="73" spans="1:74" ht="15" customHeight="1" thickBot="1" x14ac:dyDescent="0.35">
      <c r="A73" s="391"/>
      <c r="B73" s="391"/>
      <c r="C73" s="391"/>
      <c r="D73" s="391"/>
      <c r="E73" s="391"/>
      <c r="F73" s="391"/>
      <c r="G73" s="391"/>
      <c r="H73" s="404"/>
      <c r="I73" s="404"/>
      <c r="J73" s="404"/>
      <c r="K73" s="404"/>
      <c r="L73" s="404"/>
      <c r="M73" s="404"/>
      <c r="N73" s="404"/>
      <c r="O73" s="402"/>
      <c r="P73" s="402"/>
      <c r="Q73" s="402"/>
      <c r="R73" s="402"/>
      <c r="S73" s="402"/>
      <c r="T73" s="231"/>
      <c r="U73" s="159" t="e">
        <f t="shared" si="64"/>
        <v>#N/A</v>
      </c>
      <c r="V73" s="41"/>
      <c r="W73" s="70" t="e">
        <f t="shared" si="65"/>
        <v>#N/A</v>
      </c>
      <c r="X73" s="70"/>
      <c r="Y73" s="159"/>
      <c r="Z73" s="159"/>
      <c r="AA73" s="160"/>
      <c r="AB73" s="158" t="e">
        <f t="shared" si="66"/>
        <v>#N/A</v>
      </c>
      <c r="AC73" s="94" t="e">
        <f t="shared" si="70"/>
        <v>#N/A</v>
      </c>
      <c r="AD73" s="95" t="e">
        <f t="shared" si="67"/>
        <v>#N/A</v>
      </c>
      <c r="AE73" s="95" t="e">
        <f t="shared" si="68"/>
        <v>#N/A</v>
      </c>
      <c r="AF73" s="95" t="e">
        <f t="shared" si="69"/>
        <v>#N/A</v>
      </c>
      <c r="AG73" s="96" t="e">
        <f t="shared" si="71"/>
        <v>#N/A</v>
      </c>
      <c r="AU73" s="104"/>
      <c r="AV73" s="104"/>
      <c r="AW73" s="105"/>
      <c r="AX73" s="105"/>
      <c r="AY73" s="105"/>
      <c r="BC73" s="471" t="s">
        <v>164</v>
      </c>
      <c r="BD73" s="471"/>
      <c r="BE73" s="471"/>
      <c r="BF73" s="471"/>
      <c r="BG73" s="471"/>
      <c r="BH73" s="471"/>
      <c r="BI73" s="471"/>
      <c r="BJ73" s="471"/>
      <c r="BK73" s="471"/>
      <c r="BL73" s="471"/>
      <c r="BM73" s="471"/>
      <c r="BN73" s="471"/>
      <c r="BO73" s="471"/>
      <c r="BP73" s="471"/>
      <c r="BQ73" s="471"/>
      <c r="BR73" s="471"/>
      <c r="BS73" s="471">
        <f>SUM(BS6:BS61)</f>
        <v>6</v>
      </c>
      <c r="BT73" s="471"/>
      <c r="BU73" s="471"/>
      <c r="BV73" s="471"/>
    </row>
    <row r="74" spans="1:74" ht="15" customHeight="1" thickBot="1" x14ac:dyDescent="0.35">
      <c r="A74" s="391" t="s">
        <v>226</v>
      </c>
      <c r="B74" s="391"/>
      <c r="C74" s="391"/>
      <c r="D74" s="391"/>
      <c r="E74" s="391"/>
      <c r="F74" s="391"/>
      <c r="G74" s="391"/>
      <c r="H74" s="404">
        <f ca="1">SUMIF($F$6:$F$69,"EAU",H12:H69)</f>
        <v>0</v>
      </c>
      <c r="I74" s="404">
        <f ca="1">SUMIF($F$6:$F$69,"EAU",I12:I69)</f>
        <v>0</v>
      </c>
      <c r="J74" s="404">
        <f ca="1">SUMIF($F$6:$F$69,"EAU",J12:J69)</f>
        <v>0</v>
      </c>
      <c r="K74" s="404">
        <f ca="1">SUMIF($F$6:$F$69,"EAU",K12:K69)</f>
        <v>0</v>
      </c>
      <c r="L74" s="404">
        <f ca="1">SUMIF($F$6:$F$69,"EAU",L12:L69)</f>
        <v>0</v>
      </c>
      <c r="M74" s="404">
        <f ca="1">SUMIF($F$6:$F$69,"EAU",M12:M69)</f>
        <v>0</v>
      </c>
      <c r="N74" s="404">
        <f ca="1">SUMIF($F$6:$F$69,"EAU",N12:N69)</f>
        <v>0</v>
      </c>
      <c r="O74" s="403"/>
      <c r="P74" s="403"/>
      <c r="Q74" s="403"/>
      <c r="R74" s="403"/>
      <c r="S74" s="403"/>
      <c r="T74" s="231"/>
      <c r="U74" s="159" t="e">
        <f t="shared" si="64"/>
        <v>#N/A</v>
      </c>
      <c r="V74" s="41"/>
      <c r="W74" s="70" t="e">
        <f t="shared" si="65"/>
        <v>#N/A</v>
      </c>
      <c r="X74" s="70"/>
      <c r="Y74" s="159"/>
      <c r="Z74" s="159"/>
      <c r="AA74" s="160"/>
      <c r="AB74" s="158" t="e">
        <f t="shared" si="66"/>
        <v>#N/A</v>
      </c>
      <c r="AC74" s="94" t="e">
        <f t="shared" si="70"/>
        <v>#N/A</v>
      </c>
      <c r="AD74" s="95" t="e">
        <f t="shared" si="67"/>
        <v>#N/A</v>
      </c>
      <c r="AE74" s="95" t="e">
        <f t="shared" si="68"/>
        <v>#N/A</v>
      </c>
      <c r="AF74" s="95" t="e">
        <f t="shared" si="69"/>
        <v>#N/A</v>
      </c>
      <c r="AG74" s="96" t="e">
        <f t="shared" si="71"/>
        <v>#N/A</v>
      </c>
      <c r="AU74" s="65"/>
      <c r="AV74" s="12"/>
      <c r="AW74" s="12"/>
      <c r="AX74" s="12"/>
      <c r="AY74" s="12"/>
      <c r="BC74" s="471" t="s">
        <v>161</v>
      </c>
      <c r="BD74" s="471"/>
      <c r="BE74" s="471"/>
      <c r="BF74" s="471"/>
      <c r="BG74" s="471"/>
      <c r="BH74" s="471"/>
      <c r="BI74" s="471"/>
      <c r="BJ74" s="471"/>
      <c r="BK74" s="471"/>
      <c r="BL74" s="471"/>
      <c r="BM74" s="471"/>
      <c r="BN74" s="471"/>
      <c r="BO74" s="471"/>
      <c r="BP74" s="471"/>
      <c r="BQ74" s="471"/>
      <c r="BR74" s="471"/>
      <c r="BS74" s="471"/>
      <c r="BT74" s="471">
        <f>SUM(BU6:BU61)</f>
        <v>7</v>
      </c>
      <c r="BU74" s="471"/>
      <c r="BV74" s="471"/>
    </row>
    <row r="75" spans="1:74" ht="15" customHeight="1" thickBot="1" x14ac:dyDescent="0.35">
      <c r="A75" s="391"/>
      <c r="B75" s="391"/>
      <c r="C75" s="391"/>
      <c r="D75" s="391"/>
      <c r="E75" s="391"/>
      <c r="F75" s="391"/>
      <c r="G75" s="391"/>
      <c r="H75" s="404"/>
      <c r="I75" s="404"/>
      <c r="J75" s="404"/>
      <c r="K75" s="404"/>
      <c r="L75" s="404"/>
      <c r="M75" s="404"/>
      <c r="N75" s="404"/>
      <c r="O75" s="403"/>
      <c r="P75" s="403"/>
      <c r="Q75" s="403"/>
      <c r="R75" s="403"/>
      <c r="S75" s="403"/>
      <c r="T75" s="231"/>
      <c r="U75" s="159" t="e">
        <f t="shared" si="64"/>
        <v>#N/A</v>
      </c>
      <c r="V75" s="41"/>
      <c r="W75" s="70" t="e">
        <f t="shared" si="65"/>
        <v>#N/A</v>
      </c>
      <c r="X75" s="70"/>
      <c r="Y75" s="159"/>
      <c r="Z75" s="159"/>
      <c r="AA75" s="160"/>
      <c r="AB75" s="158" t="e">
        <f t="shared" si="66"/>
        <v>#N/A</v>
      </c>
      <c r="AC75" s="94" t="e">
        <f t="shared" si="70"/>
        <v>#N/A</v>
      </c>
      <c r="AD75" s="95" t="e">
        <f t="shared" si="67"/>
        <v>#N/A</v>
      </c>
      <c r="AE75" s="95" t="e">
        <f t="shared" si="68"/>
        <v>#N/A</v>
      </c>
      <c r="AF75" s="95" t="e">
        <f t="shared" si="69"/>
        <v>#N/A</v>
      </c>
      <c r="AG75" s="96" t="e">
        <f t="shared" si="71"/>
        <v>#N/A</v>
      </c>
      <c r="AU75" s="65"/>
      <c r="AV75" s="12"/>
      <c r="AW75" s="12"/>
      <c r="AX75" s="12"/>
      <c r="AY75" s="12"/>
      <c r="BC75" s="470" t="s">
        <v>160</v>
      </c>
      <c r="BD75" s="470"/>
      <c r="BE75" s="470"/>
      <c r="BF75" s="470"/>
      <c r="BG75" s="470"/>
      <c r="BH75" s="470"/>
      <c r="BI75" s="470"/>
      <c r="BJ75" s="470"/>
      <c r="BK75" s="470"/>
      <c r="BL75" s="470"/>
      <c r="BM75" s="470"/>
      <c r="BN75" s="470"/>
      <c r="BO75" s="470"/>
      <c r="BP75" s="470"/>
      <c r="BQ75" s="470"/>
      <c r="BR75" s="470"/>
      <c r="BS75" s="470"/>
      <c r="BT75" s="470">
        <f>SUM(BT6:BT61)</f>
        <v>3.85</v>
      </c>
      <c r="BU75" s="470"/>
      <c r="BV75" s="470"/>
    </row>
    <row r="76" spans="1:74" ht="15" thickBot="1" x14ac:dyDescent="0.35">
      <c r="A76" s="405" t="s">
        <v>227</v>
      </c>
      <c r="B76" s="405"/>
      <c r="C76" s="405"/>
      <c r="D76" s="391" t="str">
        <f>AUTRE</f>
        <v>AUTRE</v>
      </c>
      <c r="E76" s="391"/>
      <c r="F76" s="391"/>
      <c r="G76" s="391"/>
      <c r="H76" s="404"/>
      <c r="I76" s="404"/>
      <c r="J76" s="404"/>
      <c r="K76" s="404"/>
      <c r="L76" s="404">
        <f ca="1">SUMIF($F$6:$F$69,AUTRE,L14:L69)</f>
        <v>0</v>
      </c>
      <c r="M76" s="404"/>
      <c r="N76" s="404"/>
      <c r="O76" s="403"/>
      <c r="P76" s="403"/>
      <c r="Q76" s="403"/>
      <c r="R76" s="403"/>
      <c r="S76" s="403"/>
      <c r="T76" s="231"/>
      <c r="U76" s="159" t="e">
        <f t="shared" si="64"/>
        <v>#N/A</v>
      </c>
      <c r="V76" s="41"/>
      <c r="W76" s="70" t="e">
        <f t="shared" si="65"/>
        <v>#N/A</v>
      </c>
      <c r="X76" s="70"/>
      <c r="Y76" s="159"/>
      <c r="Z76" s="159"/>
      <c r="AA76" s="160"/>
      <c r="AB76" s="158" t="e">
        <f t="shared" si="66"/>
        <v>#N/A</v>
      </c>
      <c r="AC76" s="94" t="e">
        <f t="shared" si="70"/>
        <v>#N/A</v>
      </c>
      <c r="AD76" s="95" t="e">
        <f t="shared" si="67"/>
        <v>#N/A</v>
      </c>
      <c r="AE76" s="95" t="e">
        <f t="shared" si="68"/>
        <v>#N/A</v>
      </c>
      <c r="AF76" s="95" t="e">
        <f t="shared" si="69"/>
        <v>#N/A</v>
      </c>
      <c r="AG76" s="96" t="e">
        <f t="shared" si="71"/>
        <v>#N/A</v>
      </c>
    </row>
    <row r="77" spans="1:74" ht="15" thickBot="1" x14ac:dyDescent="0.35">
      <c r="A77" s="405"/>
      <c r="B77" s="405"/>
      <c r="C77" s="405"/>
      <c r="D77" s="391"/>
      <c r="E77" s="391"/>
      <c r="F77" s="391"/>
      <c r="G77" s="391"/>
      <c r="H77" s="404"/>
      <c r="I77" s="404"/>
      <c r="J77" s="404"/>
      <c r="K77" s="404"/>
      <c r="L77" s="404"/>
      <c r="M77" s="404"/>
      <c r="N77" s="404"/>
      <c r="O77" s="403"/>
      <c r="P77" s="403"/>
      <c r="Q77" s="403"/>
      <c r="R77" s="403"/>
      <c r="S77" s="403"/>
      <c r="T77" s="231"/>
      <c r="U77" s="159" t="e">
        <f t="shared" si="64"/>
        <v>#N/A</v>
      </c>
      <c r="V77" s="41"/>
      <c r="W77" s="70" t="e">
        <f t="shared" si="65"/>
        <v>#N/A</v>
      </c>
      <c r="X77" s="70"/>
      <c r="Y77" s="159"/>
      <c r="Z77" s="159"/>
      <c r="AA77" s="160"/>
      <c r="AB77" s="158" t="e">
        <f t="shared" si="66"/>
        <v>#N/A</v>
      </c>
      <c r="AC77" s="94" t="e">
        <f t="shared" si="70"/>
        <v>#N/A</v>
      </c>
      <c r="AD77" s="95" t="e">
        <f t="shared" si="67"/>
        <v>#N/A</v>
      </c>
      <c r="AE77" s="95" t="e">
        <f t="shared" si="68"/>
        <v>#N/A</v>
      </c>
      <c r="AF77" s="95" t="e">
        <f t="shared" si="69"/>
        <v>#N/A</v>
      </c>
      <c r="AG77" s="96" t="e">
        <f t="shared" si="71"/>
        <v>#N/A</v>
      </c>
    </row>
    <row r="78" spans="1:74" ht="15" thickBot="1" x14ac:dyDescent="0.35">
      <c r="A78" s="391" t="s">
        <v>28</v>
      </c>
      <c r="B78" s="391"/>
      <c r="C78" s="391"/>
      <c r="D78" s="391"/>
      <c r="E78" s="391"/>
      <c r="F78" s="391"/>
      <c r="G78" s="391"/>
      <c r="H78" s="391"/>
      <c r="I78" s="391"/>
      <c r="J78" s="391"/>
      <c r="K78" s="391"/>
      <c r="L78" s="391"/>
      <c r="M78" s="391"/>
      <c r="N78" s="391"/>
      <c r="O78" s="390">
        <f>SUMIF(O6:O69,"&lt;&gt;#N/A")</f>
        <v>0</v>
      </c>
      <c r="P78" s="390"/>
      <c r="Q78" s="390"/>
      <c r="R78" s="390"/>
      <c r="S78" s="390"/>
      <c r="T78" s="231"/>
      <c r="U78" s="159" t="e">
        <f t="shared" si="64"/>
        <v>#N/A</v>
      </c>
      <c r="V78" s="41"/>
      <c r="W78" s="70" t="e">
        <f t="shared" si="65"/>
        <v>#N/A</v>
      </c>
      <c r="X78" s="70"/>
      <c r="Y78" s="159"/>
      <c r="Z78" s="159"/>
      <c r="AA78" s="160"/>
      <c r="AB78" s="158" t="e">
        <f t="shared" si="66"/>
        <v>#N/A</v>
      </c>
      <c r="AC78" s="94" t="e">
        <f t="shared" si="70"/>
        <v>#N/A</v>
      </c>
      <c r="AD78" s="95" t="e">
        <f t="shared" si="67"/>
        <v>#N/A</v>
      </c>
      <c r="AE78" s="95" t="e">
        <f t="shared" si="68"/>
        <v>#N/A</v>
      </c>
      <c r="AF78" s="95" t="e">
        <f t="shared" si="69"/>
        <v>#N/A</v>
      </c>
      <c r="AG78" s="96" t="e">
        <f t="shared" si="71"/>
        <v>#N/A</v>
      </c>
    </row>
    <row r="79" spans="1:74" ht="15" thickBot="1" x14ac:dyDescent="0.35">
      <c r="A79" s="391"/>
      <c r="B79" s="391"/>
      <c r="C79" s="391"/>
      <c r="D79" s="391"/>
      <c r="E79" s="391"/>
      <c r="F79" s="391"/>
      <c r="G79" s="391"/>
      <c r="H79" s="391"/>
      <c r="I79" s="391"/>
      <c r="J79" s="391"/>
      <c r="K79" s="391"/>
      <c r="L79" s="391"/>
      <c r="M79" s="391"/>
      <c r="N79" s="391"/>
      <c r="O79" s="390"/>
      <c r="P79" s="390"/>
      <c r="Q79" s="390"/>
      <c r="R79" s="390"/>
      <c r="S79" s="390"/>
      <c r="T79" s="231"/>
      <c r="U79" s="159" t="e">
        <f t="shared" si="64"/>
        <v>#N/A</v>
      </c>
      <c r="V79" s="41"/>
      <c r="W79" s="70" t="e">
        <f t="shared" si="65"/>
        <v>#N/A</v>
      </c>
      <c r="X79" s="70"/>
      <c r="Y79" s="159"/>
      <c r="Z79" s="159"/>
      <c r="AA79" s="160"/>
      <c r="AB79" s="158" t="e">
        <f t="shared" si="66"/>
        <v>#N/A</v>
      </c>
      <c r="AC79" s="94" t="e">
        <f t="shared" si="70"/>
        <v>#N/A</v>
      </c>
      <c r="AD79" s="95" t="e">
        <f t="shared" si="67"/>
        <v>#N/A</v>
      </c>
      <c r="AE79" s="95" t="e">
        <f t="shared" si="68"/>
        <v>#N/A</v>
      </c>
      <c r="AF79" s="95" t="e">
        <f t="shared" si="69"/>
        <v>#N/A</v>
      </c>
      <c r="AG79" s="96" t="e">
        <f t="shared" si="71"/>
        <v>#N/A</v>
      </c>
    </row>
    <row r="80" spans="1:74" ht="15" thickBot="1" x14ac:dyDescent="0.35">
      <c r="A80" s="391" t="s">
        <v>29</v>
      </c>
      <c r="B80" s="391"/>
      <c r="C80" s="391"/>
      <c r="D80" s="391"/>
      <c r="E80" s="391"/>
      <c r="F80" s="391"/>
      <c r="G80" s="391"/>
      <c r="H80" s="391"/>
      <c r="I80" s="391"/>
      <c r="J80" s="391"/>
      <c r="K80" s="391"/>
      <c r="L80" s="391"/>
      <c r="M80" s="391"/>
      <c r="N80" s="391"/>
      <c r="O80" s="390">
        <f>SUMIF(P6:P69,"&lt;&gt;#N/A")</f>
        <v>0</v>
      </c>
      <c r="P80" s="390"/>
      <c r="Q80" s="390"/>
      <c r="R80" s="390"/>
      <c r="S80" s="390"/>
      <c r="T80" s="231"/>
      <c r="U80" s="159" t="e">
        <f t="shared" si="64"/>
        <v>#N/A</v>
      </c>
      <c r="V80" s="41"/>
      <c r="W80" s="70" t="e">
        <f t="shared" si="65"/>
        <v>#N/A</v>
      </c>
      <c r="X80" s="70"/>
      <c r="Y80" s="159"/>
      <c r="Z80" s="159"/>
      <c r="AA80" s="160"/>
      <c r="AB80" s="158" t="e">
        <f t="shared" si="66"/>
        <v>#N/A</v>
      </c>
      <c r="AC80" s="94" t="e">
        <f t="shared" si="70"/>
        <v>#N/A</v>
      </c>
      <c r="AD80" s="95" t="e">
        <f t="shared" si="67"/>
        <v>#N/A</v>
      </c>
      <c r="AE80" s="95" t="e">
        <f t="shared" si="68"/>
        <v>#N/A</v>
      </c>
      <c r="AF80" s="95" t="e">
        <f t="shared" si="69"/>
        <v>#N/A</v>
      </c>
      <c r="AG80" s="96" t="e">
        <f t="shared" si="71"/>
        <v>#N/A</v>
      </c>
    </row>
    <row r="81" spans="1:33" ht="15" thickBot="1" x14ac:dyDescent="0.35">
      <c r="A81" s="391"/>
      <c r="B81" s="391"/>
      <c r="C81" s="391"/>
      <c r="D81" s="391"/>
      <c r="E81" s="391"/>
      <c r="F81" s="391"/>
      <c r="G81" s="391"/>
      <c r="H81" s="391"/>
      <c r="I81" s="391"/>
      <c r="J81" s="391"/>
      <c r="K81" s="391"/>
      <c r="L81" s="391"/>
      <c r="M81" s="391"/>
      <c r="N81" s="391"/>
      <c r="O81" s="390"/>
      <c r="P81" s="390"/>
      <c r="Q81" s="390"/>
      <c r="R81" s="390"/>
      <c r="S81" s="390"/>
      <c r="T81" s="231"/>
      <c r="U81" s="159" t="e">
        <f t="shared" si="64"/>
        <v>#N/A</v>
      </c>
      <c r="V81" s="41"/>
      <c r="W81" s="70" t="e">
        <f t="shared" si="65"/>
        <v>#N/A</v>
      </c>
      <c r="X81" s="70"/>
      <c r="Y81" s="159"/>
      <c r="Z81" s="159"/>
      <c r="AA81" s="160"/>
      <c r="AB81" s="158" t="e">
        <f t="shared" si="66"/>
        <v>#N/A</v>
      </c>
      <c r="AC81" s="94" t="e">
        <f t="shared" si="70"/>
        <v>#N/A</v>
      </c>
      <c r="AD81" s="95" t="e">
        <f t="shared" si="67"/>
        <v>#N/A</v>
      </c>
      <c r="AE81" s="95" t="e">
        <f t="shared" si="68"/>
        <v>#N/A</v>
      </c>
      <c r="AF81" s="95" t="e">
        <f t="shared" si="69"/>
        <v>#N/A</v>
      </c>
      <c r="AG81" s="96" t="e">
        <f t="shared" si="71"/>
        <v>#N/A</v>
      </c>
    </row>
    <row r="82" spans="1:33" ht="15" thickBot="1" x14ac:dyDescent="0.35">
      <c r="A82" s="391" t="s">
        <v>237</v>
      </c>
      <c r="B82" s="391"/>
      <c r="C82" s="391"/>
      <c r="D82" s="391"/>
      <c r="E82" s="391"/>
      <c r="F82" s="391"/>
      <c r="G82" s="391"/>
      <c r="H82" s="391"/>
      <c r="I82" s="391"/>
      <c r="J82" s="391"/>
      <c r="K82" s="391"/>
      <c r="L82" s="391"/>
      <c r="M82" s="391"/>
      <c r="N82" s="391"/>
      <c r="O82" s="391"/>
      <c r="P82" s="390">
        <f>SUMIF($D$6:$D$69,CLEX,$Q$6:$Q$69)</f>
        <v>0</v>
      </c>
      <c r="Q82" s="390"/>
      <c r="R82" s="390"/>
      <c r="S82" s="390"/>
      <c r="T82" s="231"/>
      <c r="U82" s="159" t="e">
        <f t="shared" si="64"/>
        <v>#N/A</v>
      </c>
      <c r="V82" s="41"/>
      <c r="W82" s="70" t="e">
        <f t="shared" si="65"/>
        <v>#N/A</v>
      </c>
      <c r="X82" s="70"/>
      <c r="Y82" s="159"/>
      <c r="Z82" s="159"/>
      <c r="AA82" s="160"/>
      <c r="AB82" s="158" t="e">
        <f t="shared" si="66"/>
        <v>#N/A</v>
      </c>
      <c r="AC82" s="94" t="e">
        <f t="shared" si="70"/>
        <v>#N/A</v>
      </c>
      <c r="AD82" s="95" t="e">
        <f t="shared" si="67"/>
        <v>#N/A</v>
      </c>
      <c r="AE82" s="95" t="e">
        <f t="shared" si="68"/>
        <v>#N/A</v>
      </c>
      <c r="AF82" s="95" t="e">
        <f t="shared" si="69"/>
        <v>#N/A</v>
      </c>
      <c r="AG82" s="96" t="e">
        <f t="shared" si="71"/>
        <v>#N/A</v>
      </c>
    </row>
    <row r="83" spans="1:33" ht="15" thickBot="1" x14ac:dyDescent="0.35">
      <c r="A83" s="391"/>
      <c r="B83" s="391"/>
      <c r="C83" s="391"/>
      <c r="D83" s="391"/>
      <c r="E83" s="391"/>
      <c r="F83" s="391"/>
      <c r="G83" s="391"/>
      <c r="H83" s="391"/>
      <c r="I83" s="391"/>
      <c r="J83" s="391"/>
      <c r="K83" s="391"/>
      <c r="L83" s="391"/>
      <c r="M83" s="391"/>
      <c r="N83" s="391"/>
      <c r="O83" s="391"/>
      <c r="P83" s="390"/>
      <c r="Q83" s="390"/>
      <c r="R83" s="390"/>
      <c r="S83" s="390"/>
      <c r="T83" s="231"/>
      <c r="U83" s="159" t="e">
        <f t="shared" si="64"/>
        <v>#N/A</v>
      </c>
      <c r="V83" s="41"/>
      <c r="W83" s="70" t="e">
        <f t="shared" si="65"/>
        <v>#N/A</v>
      </c>
      <c r="X83" s="70"/>
      <c r="Y83" s="159"/>
      <c r="Z83" s="159"/>
      <c r="AA83" s="160"/>
      <c r="AB83" s="158" t="e">
        <f t="shared" si="66"/>
        <v>#N/A</v>
      </c>
      <c r="AC83" s="94" t="e">
        <f t="shared" si="70"/>
        <v>#N/A</v>
      </c>
      <c r="AD83" s="95" t="e">
        <f t="shared" si="67"/>
        <v>#N/A</v>
      </c>
      <c r="AE83" s="95" t="e">
        <f t="shared" si="68"/>
        <v>#N/A</v>
      </c>
      <c r="AF83" s="95" t="e">
        <f t="shared" si="69"/>
        <v>#N/A</v>
      </c>
      <c r="AG83" s="96" t="e">
        <f t="shared" si="71"/>
        <v>#N/A</v>
      </c>
    </row>
    <row r="84" spans="1:33" ht="15" thickBot="1" x14ac:dyDescent="0.35">
      <c r="A84" s="505" t="s">
        <v>238</v>
      </c>
      <c r="B84" s="506"/>
      <c r="C84" s="506"/>
      <c r="D84" s="506"/>
      <c r="E84" s="506"/>
      <c r="F84" s="506"/>
      <c r="G84" s="506"/>
      <c r="H84" s="506"/>
      <c r="I84" s="506"/>
      <c r="J84" s="506"/>
      <c r="K84" s="506"/>
      <c r="L84" s="506"/>
      <c r="M84" s="506"/>
      <c r="N84" s="506"/>
      <c r="O84" s="507"/>
      <c r="P84" s="390">
        <f>SUMIF($D$6:$D$69,CLD,$Q$6:$Q$69)+SUMIF($D$6:$D$69,CLS,$Q$6:$Q$69)+SUMIF($D$6:$D$69,CLL,$Q$6:$Q$69)+SUMIF($D$6:$D$69,CLSD,$Q$6:$Q$69)+SUMIF($D$6:$D$69,CLSL,$Q$6:$Q$69)</f>
        <v>0</v>
      </c>
      <c r="Q84" s="390"/>
      <c r="R84" s="390"/>
      <c r="S84" s="390"/>
      <c r="T84" s="231"/>
      <c r="U84" s="159" t="e">
        <f t="shared" si="64"/>
        <v>#N/A</v>
      </c>
      <c r="V84" s="41"/>
      <c r="W84" s="70" t="e">
        <f t="shared" si="65"/>
        <v>#N/A</v>
      </c>
      <c r="X84" s="70"/>
      <c r="Y84" s="159"/>
      <c r="Z84" s="159"/>
      <c r="AA84" s="160"/>
      <c r="AB84" s="158" t="e">
        <f t="shared" si="66"/>
        <v>#N/A</v>
      </c>
      <c r="AC84" s="94" t="e">
        <f t="shared" si="70"/>
        <v>#N/A</v>
      </c>
      <c r="AD84" s="95" t="e">
        <f t="shared" si="67"/>
        <v>#N/A</v>
      </c>
      <c r="AE84" s="95" t="e">
        <f t="shared" si="68"/>
        <v>#N/A</v>
      </c>
      <c r="AF84" s="95" t="e">
        <f t="shared" si="69"/>
        <v>#N/A</v>
      </c>
      <c r="AG84" s="96" t="e">
        <f t="shared" si="71"/>
        <v>#N/A</v>
      </c>
    </row>
    <row r="85" spans="1:33" ht="15" thickBot="1" x14ac:dyDescent="0.35">
      <c r="A85" s="508"/>
      <c r="B85" s="509"/>
      <c r="C85" s="509"/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10"/>
      <c r="P85" s="390"/>
      <c r="Q85" s="390"/>
      <c r="R85" s="390"/>
      <c r="S85" s="390"/>
      <c r="T85" s="231"/>
      <c r="U85" s="159" t="e">
        <f t="shared" si="64"/>
        <v>#N/A</v>
      </c>
      <c r="V85" s="41"/>
      <c r="W85" s="70" t="e">
        <f t="shared" si="65"/>
        <v>#N/A</v>
      </c>
      <c r="X85" s="70"/>
      <c r="Y85" s="159"/>
      <c r="Z85" s="159"/>
      <c r="AA85" s="160"/>
      <c r="AB85" s="158" t="e">
        <f t="shared" si="66"/>
        <v>#N/A</v>
      </c>
      <c r="AC85" s="94" t="e">
        <f t="shared" si="70"/>
        <v>#N/A</v>
      </c>
      <c r="AD85" s="95" t="e">
        <f t="shared" si="67"/>
        <v>#N/A</v>
      </c>
      <c r="AE85" s="95" t="e">
        <f t="shared" si="68"/>
        <v>#N/A</v>
      </c>
      <c r="AF85" s="95" t="e">
        <f t="shared" si="69"/>
        <v>#N/A</v>
      </c>
      <c r="AG85" s="96" t="e">
        <f t="shared" si="71"/>
        <v>#N/A</v>
      </c>
    </row>
    <row r="86" spans="1:33" x14ac:dyDescent="0.3">
      <c r="T86" s="231"/>
      <c r="U86" s="159" t="e">
        <f t="shared" si="64"/>
        <v>#N/A</v>
      </c>
      <c r="V86" s="41"/>
      <c r="W86" s="70" t="e">
        <f t="shared" si="65"/>
        <v>#N/A</v>
      </c>
      <c r="X86" s="70"/>
      <c r="Y86" s="159"/>
      <c r="Z86" s="159"/>
      <c r="AA86" s="160"/>
      <c r="AB86" s="158" t="e">
        <f t="shared" si="66"/>
        <v>#N/A</v>
      </c>
      <c r="AC86" s="94" t="e">
        <f t="shared" si="70"/>
        <v>#N/A</v>
      </c>
      <c r="AD86" s="95" t="e">
        <f t="shared" si="67"/>
        <v>#N/A</v>
      </c>
      <c r="AE86" s="95" t="e">
        <f t="shared" si="68"/>
        <v>#N/A</v>
      </c>
      <c r="AF86" s="95" t="e">
        <f t="shared" si="69"/>
        <v>#N/A</v>
      </c>
      <c r="AG86" s="96" t="e">
        <f t="shared" si="71"/>
        <v>#N/A</v>
      </c>
    </row>
    <row r="87" spans="1:33" x14ac:dyDescent="0.3">
      <c r="T87" s="231"/>
      <c r="U87" s="159" t="e">
        <f t="shared" si="64"/>
        <v>#N/A</v>
      </c>
      <c r="V87" s="41"/>
      <c r="W87" s="70" t="e">
        <f t="shared" si="65"/>
        <v>#N/A</v>
      </c>
      <c r="X87" s="70"/>
      <c r="Y87" s="159"/>
      <c r="Z87" s="159"/>
      <c r="AA87" s="160"/>
      <c r="AB87" s="158" t="e">
        <f t="shared" si="66"/>
        <v>#N/A</v>
      </c>
      <c r="AC87" s="94" t="e">
        <f t="shared" si="70"/>
        <v>#N/A</v>
      </c>
      <c r="AD87" s="95" t="e">
        <f t="shared" si="67"/>
        <v>#N/A</v>
      </c>
      <c r="AE87" s="95" t="e">
        <f t="shared" si="68"/>
        <v>#N/A</v>
      </c>
      <c r="AF87" s="95" t="e">
        <f t="shared" si="69"/>
        <v>#N/A</v>
      </c>
      <c r="AG87" s="96" t="e">
        <f t="shared" si="71"/>
        <v>#N/A</v>
      </c>
    </row>
    <row r="88" spans="1:33" x14ac:dyDescent="0.3">
      <c r="T88" s="231"/>
      <c r="U88" s="159" t="e">
        <f t="shared" si="64"/>
        <v>#N/A</v>
      </c>
      <c r="V88" s="41"/>
      <c r="W88" s="70" t="e">
        <f t="shared" si="65"/>
        <v>#N/A</v>
      </c>
      <c r="X88" s="70"/>
      <c r="Y88" s="159"/>
      <c r="Z88" s="159"/>
      <c r="AA88" s="160"/>
      <c r="AB88" s="158" t="e">
        <f t="shared" si="66"/>
        <v>#N/A</v>
      </c>
      <c r="AC88" s="94" t="e">
        <f t="shared" si="70"/>
        <v>#N/A</v>
      </c>
      <c r="AD88" s="95" t="e">
        <f t="shared" si="67"/>
        <v>#N/A</v>
      </c>
      <c r="AE88" s="95" t="e">
        <f t="shared" si="68"/>
        <v>#N/A</v>
      </c>
      <c r="AF88" s="95" t="e">
        <f t="shared" si="69"/>
        <v>#N/A</v>
      </c>
      <c r="AG88" s="96" t="e">
        <f t="shared" si="71"/>
        <v>#N/A</v>
      </c>
    </row>
    <row r="89" spans="1:33" x14ac:dyDescent="0.3">
      <c r="T89" s="231"/>
      <c r="U89" s="159" t="e">
        <f t="shared" ref="U89" si="72">VLOOKUP(V89,BASE1,2,0)</f>
        <v>#N/A</v>
      </c>
      <c r="V89" s="41"/>
      <c r="W89" s="70" t="e">
        <f t="shared" ref="W89" si="73">VLOOKUP(V89,BASE1,3,0)</f>
        <v>#N/A</v>
      </c>
      <c r="X89" s="70"/>
      <c r="Y89" s="159"/>
      <c r="Z89" s="159"/>
      <c r="AA89" s="160"/>
      <c r="AB89" s="158" t="e">
        <f t="shared" ref="AB89" si="74">VLOOKUP(V89,BASE1,4,0)</f>
        <v>#N/A</v>
      </c>
      <c r="AC89" s="94" t="e">
        <f t="shared" si="70"/>
        <v>#N/A</v>
      </c>
      <c r="AD89" s="95" t="e">
        <f t="shared" ref="AD89" si="75">VLOOKUP(V89,BASE1,6,0)*AA89/100</f>
        <v>#N/A</v>
      </c>
      <c r="AE89" s="95" t="e">
        <f t="shared" ref="AE89" si="76">VLOOKUP(V89,BASE1,7,0)*AA89/100</f>
        <v>#N/A</v>
      </c>
      <c r="AF89" s="95" t="e">
        <f t="shared" ref="AF89" si="77">VLOOKUP(V89,BASE1,8,0)*AA89/100</f>
        <v>#N/A</v>
      </c>
      <c r="AG89" s="96" t="e">
        <f t="shared" si="71"/>
        <v>#N/A</v>
      </c>
    </row>
    <row r="90" spans="1:33" x14ac:dyDescent="0.3">
      <c r="T90" s="231"/>
      <c r="U90" s="159" t="e">
        <f t="shared" ref="U90:U100" si="78">VLOOKUP(V90,BASE1,2,0)</f>
        <v>#N/A</v>
      </c>
      <c r="V90" s="41"/>
      <c r="W90" s="70" t="e">
        <f t="shared" ref="W90:W100" si="79">VLOOKUP(V90,BASE1,3,0)</f>
        <v>#N/A</v>
      </c>
      <c r="X90" s="70"/>
      <c r="Y90" s="159"/>
      <c r="Z90" s="159"/>
      <c r="AA90" s="160"/>
      <c r="AB90" s="158" t="e">
        <f t="shared" ref="AB90:AB100" si="80">VLOOKUP(V90,BASE1,4,0)</f>
        <v>#N/A</v>
      </c>
      <c r="AC90" s="94" t="e">
        <f t="shared" si="70"/>
        <v>#N/A</v>
      </c>
      <c r="AD90" s="95" t="e">
        <f t="shared" ref="AD90:AD100" si="81">VLOOKUP(V90,BASE1,6,0)*AA90/100</f>
        <v>#N/A</v>
      </c>
      <c r="AE90" s="95" t="e">
        <f t="shared" ref="AE90:AE100" si="82">VLOOKUP(V90,BASE1,7,0)*AA90/100</f>
        <v>#N/A</v>
      </c>
      <c r="AF90" s="95" t="e">
        <f t="shared" ref="AF90:AF100" si="83">VLOOKUP(V90,BASE1,8,0)*AA90/100</f>
        <v>#N/A</v>
      </c>
      <c r="AG90" s="96" t="e">
        <f t="shared" si="71"/>
        <v>#N/A</v>
      </c>
    </row>
    <row r="91" spans="1:33" x14ac:dyDescent="0.3">
      <c r="T91" s="231"/>
      <c r="U91" s="159" t="e">
        <f t="shared" si="78"/>
        <v>#N/A</v>
      </c>
      <c r="V91" s="41"/>
      <c r="W91" s="70" t="e">
        <f t="shared" si="79"/>
        <v>#N/A</v>
      </c>
      <c r="X91" s="70"/>
      <c r="Y91" s="159"/>
      <c r="Z91" s="159"/>
      <c r="AA91" s="160"/>
      <c r="AB91" s="158" t="e">
        <f t="shared" si="80"/>
        <v>#N/A</v>
      </c>
      <c r="AC91" s="94" t="e">
        <f t="shared" ref="AC91:AC100" si="84">(AA91*AB91)/100</f>
        <v>#N/A</v>
      </c>
      <c r="AD91" s="95" t="e">
        <f t="shared" si="81"/>
        <v>#N/A</v>
      </c>
      <c r="AE91" s="95" t="e">
        <f t="shared" si="82"/>
        <v>#N/A</v>
      </c>
      <c r="AF91" s="95" t="e">
        <f t="shared" si="83"/>
        <v>#N/A</v>
      </c>
      <c r="AG91" s="96" t="e">
        <f t="shared" ref="AG91:AG100" si="85">AC91+AD91+AE91+AF91</f>
        <v>#N/A</v>
      </c>
    </row>
    <row r="92" spans="1:33" x14ac:dyDescent="0.3">
      <c r="T92" s="231"/>
      <c r="U92" s="159" t="e">
        <f t="shared" si="78"/>
        <v>#N/A</v>
      </c>
      <c r="V92" s="41"/>
      <c r="W92" s="70" t="e">
        <f t="shared" si="79"/>
        <v>#N/A</v>
      </c>
      <c r="X92" s="70"/>
      <c r="Y92" s="159"/>
      <c r="Z92" s="159"/>
      <c r="AA92" s="160"/>
      <c r="AB92" s="158" t="e">
        <f t="shared" si="80"/>
        <v>#N/A</v>
      </c>
      <c r="AC92" s="94" t="e">
        <f t="shared" si="84"/>
        <v>#N/A</v>
      </c>
      <c r="AD92" s="95" t="e">
        <f t="shared" si="81"/>
        <v>#N/A</v>
      </c>
      <c r="AE92" s="95" t="e">
        <f t="shared" si="82"/>
        <v>#N/A</v>
      </c>
      <c r="AF92" s="95" t="e">
        <f t="shared" si="83"/>
        <v>#N/A</v>
      </c>
      <c r="AG92" s="96" t="e">
        <f t="shared" si="85"/>
        <v>#N/A</v>
      </c>
    </row>
    <row r="93" spans="1:33" x14ac:dyDescent="0.3">
      <c r="T93" s="231"/>
      <c r="U93" s="159" t="e">
        <f t="shared" si="78"/>
        <v>#N/A</v>
      </c>
      <c r="V93" s="41"/>
      <c r="W93" s="70" t="e">
        <f t="shared" si="79"/>
        <v>#N/A</v>
      </c>
      <c r="X93" s="70"/>
      <c r="Y93" s="159"/>
      <c r="Z93" s="159"/>
      <c r="AA93" s="160"/>
      <c r="AB93" s="158" t="e">
        <f t="shared" si="80"/>
        <v>#N/A</v>
      </c>
      <c r="AC93" s="94" t="e">
        <f t="shared" si="84"/>
        <v>#N/A</v>
      </c>
      <c r="AD93" s="95" t="e">
        <f t="shared" si="81"/>
        <v>#N/A</v>
      </c>
      <c r="AE93" s="95" t="e">
        <f t="shared" si="82"/>
        <v>#N/A</v>
      </c>
      <c r="AF93" s="95" t="e">
        <f t="shared" si="83"/>
        <v>#N/A</v>
      </c>
      <c r="AG93" s="96" t="e">
        <f t="shared" si="85"/>
        <v>#N/A</v>
      </c>
    </row>
    <row r="94" spans="1:33" x14ac:dyDescent="0.3">
      <c r="T94" s="231"/>
      <c r="U94" s="159" t="e">
        <f t="shared" si="78"/>
        <v>#N/A</v>
      </c>
      <c r="V94" s="41"/>
      <c r="W94" s="70" t="e">
        <f t="shared" si="79"/>
        <v>#N/A</v>
      </c>
      <c r="X94" s="70"/>
      <c r="Y94" s="159"/>
      <c r="Z94" s="159"/>
      <c r="AA94" s="160"/>
      <c r="AB94" s="158" t="e">
        <f t="shared" si="80"/>
        <v>#N/A</v>
      </c>
      <c r="AC94" s="94" t="e">
        <f t="shared" si="84"/>
        <v>#N/A</v>
      </c>
      <c r="AD94" s="95" t="e">
        <f t="shared" si="81"/>
        <v>#N/A</v>
      </c>
      <c r="AE94" s="95" t="e">
        <f t="shared" si="82"/>
        <v>#N/A</v>
      </c>
      <c r="AF94" s="95" t="e">
        <f t="shared" si="83"/>
        <v>#N/A</v>
      </c>
      <c r="AG94" s="96" t="e">
        <f t="shared" si="85"/>
        <v>#N/A</v>
      </c>
    </row>
    <row r="95" spans="1:33" x14ac:dyDescent="0.3">
      <c r="T95" s="231"/>
      <c r="U95" s="159" t="e">
        <f t="shared" si="78"/>
        <v>#N/A</v>
      </c>
      <c r="V95" s="41"/>
      <c r="W95" s="70" t="e">
        <f t="shared" si="79"/>
        <v>#N/A</v>
      </c>
      <c r="X95" s="70"/>
      <c r="Y95" s="159"/>
      <c r="Z95" s="159"/>
      <c r="AA95" s="160"/>
      <c r="AB95" s="158" t="e">
        <f t="shared" si="80"/>
        <v>#N/A</v>
      </c>
      <c r="AC95" s="94" t="e">
        <f t="shared" si="84"/>
        <v>#N/A</v>
      </c>
      <c r="AD95" s="95" t="e">
        <f t="shared" si="81"/>
        <v>#N/A</v>
      </c>
      <c r="AE95" s="95" t="e">
        <f t="shared" si="82"/>
        <v>#N/A</v>
      </c>
      <c r="AF95" s="95" t="e">
        <f t="shared" si="83"/>
        <v>#N/A</v>
      </c>
      <c r="AG95" s="96" t="e">
        <f t="shared" si="85"/>
        <v>#N/A</v>
      </c>
    </row>
    <row r="96" spans="1:33" x14ac:dyDescent="0.3">
      <c r="T96" s="231"/>
      <c r="U96" s="159" t="e">
        <f t="shared" si="78"/>
        <v>#N/A</v>
      </c>
      <c r="V96" s="41"/>
      <c r="W96" s="70" t="e">
        <f t="shared" si="79"/>
        <v>#N/A</v>
      </c>
      <c r="X96" s="70"/>
      <c r="Y96" s="159"/>
      <c r="Z96" s="159"/>
      <c r="AA96" s="160"/>
      <c r="AB96" s="158" t="e">
        <f t="shared" si="80"/>
        <v>#N/A</v>
      </c>
      <c r="AC96" s="94" t="e">
        <f t="shared" si="84"/>
        <v>#N/A</v>
      </c>
      <c r="AD96" s="95" t="e">
        <f t="shared" si="81"/>
        <v>#N/A</v>
      </c>
      <c r="AE96" s="95" t="e">
        <f t="shared" si="82"/>
        <v>#N/A</v>
      </c>
      <c r="AF96" s="95" t="e">
        <f t="shared" si="83"/>
        <v>#N/A</v>
      </c>
      <c r="AG96" s="96" t="e">
        <f t="shared" si="85"/>
        <v>#N/A</v>
      </c>
    </row>
    <row r="97" spans="20:33" x14ac:dyDescent="0.3">
      <c r="T97" s="231"/>
      <c r="U97" s="159" t="e">
        <f t="shared" si="78"/>
        <v>#N/A</v>
      </c>
      <c r="V97" s="41"/>
      <c r="W97" s="70" t="e">
        <f t="shared" si="79"/>
        <v>#N/A</v>
      </c>
      <c r="X97" s="70"/>
      <c r="Y97" s="159"/>
      <c r="Z97" s="159"/>
      <c r="AA97" s="160"/>
      <c r="AB97" s="158" t="e">
        <f t="shared" si="80"/>
        <v>#N/A</v>
      </c>
      <c r="AC97" s="94" t="e">
        <f t="shared" si="84"/>
        <v>#N/A</v>
      </c>
      <c r="AD97" s="95" t="e">
        <f t="shared" si="81"/>
        <v>#N/A</v>
      </c>
      <c r="AE97" s="95" t="e">
        <f t="shared" si="82"/>
        <v>#N/A</v>
      </c>
      <c r="AF97" s="95" t="e">
        <f t="shared" si="83"/>
        <v>#N/A</v>
      </c>
      <c r="AG97" s="96" t="e">
        <f t="shared" si="85"/>
        <v>#N/A</v>
      </c>
    </row>
    <row r="98" spans="20:33" x14ac:dyDescent="0.3">
      <c r="T98" s="231"/>
      <c r="U98" s="159" t="e">
        <f t="shared" si="78"/>
        <v>#N/A</v>
      </c>
      <c r="V98" s="41"/>
      <c r="W98" s="70" t="e">
        <f t="shared" si="79"/>
        <v>#N/A</v>
      </c>
      <c r="X98" s="70"/>
      <c r="Y98" s="159"/>
      <c r="Z98" s="159"/>
      <c r="AA98" s="160"/>
      <c r="AB98" s="158" t="e">
        <f t="shared" si="80"/>
        <v>#N/A</v>
      </c>
      <c r="AC98" s="94" t="e">
        <f t="shared" si="84"/>
        <v>#N/A</v>
      </c>
      <c r="AD98" s="95" t="e">
        <f t="shared" si="81"/>
        <v>#N/A</v>
      </c>
      <c r="AE98" s="95" t="e">
        <f t="shared" si="82"/>
        <v>#N/A</v>
      </c>
      <c r="AF98" s="95" t="e">
        <f t="shared" si="83"/>
        <v>#N/A</v>
      </c>
      <c r="AG98" s="96" t="e">
        <f t="shared" si="85"/>
        <v>#N/A</v>
      </c>
    </row>
    <row r="99" spans="20:33" x14ac:dyDescent="0.3">
      <c r="T99" s="231"/>
      <c r="U99" s="159" t="e">
        <f t="shared" si="78"/>
        <v>#N/A</v>
      </c>
      <c r="V99" s="41"/>
      <c r="W99" s="70" t="e">
        <f t="shared" si="79"/>
        <v>#N/A</v>
      </c>
      <c r="X99" s="70"/>
      <c r="Y99" s="159"/>
      <c r="Z99" s="159"/>
      <c r="AA99" s="160"/>
      <c r="AB99" s="158" t="e">
        <f t="shared" si="80"/>
        <v>#N/A</v>
      </c>
      <c r="AC99" s="94" t="e">
        <f t="shared" si="84"/>
        <v>#N/A</v>
      </c>
      <c r="AD99" s="95" t="e">
        <f t="shared" si="81"/>
        <v>#N/A</v>
      </c>
      <c r="AE99" s="95" t="e">
        <f t="shared" si="82"/>
        <v>#N/A</v>
      </c>
      <c r="AF99" s="95" t="e">
        <f t="shared" si="83"/>
        <v>#N/A</v>
      </c>
      <c r="AG99" s="96" t="e">
        <f t="shared" si="85"/>
        <v>#N/A</v>
      </c>
    </row>
    <row r="100" spans="20:33" ht="15" thickBot="1" x14ac:dyDescent="0.35">
      <c r="T100" s="232"/>
      <c r="U100" s="163" t="e">
        <f t="shared" si="78"/>
        <v>#N/A</v>
      </c>
      <c r="V100" s="185"/>
      <c r="W100" s="97" t="e">
        <f t="shared" si="79"/>
        <v>#N/A</v>
      </c>
      <c r="X100" s="97"/>
      <c r="Y100" s="163"/>
      <c r="Z100" s="163"/>
      <c r="AA100" s="164"/>
      <c r="AB100" s="98" t="e">
        <f t="shared" si="80"/>
        <v>#N/A</v>
      </c>
      <c r="AC100" s="99" t="e">
        <f t="shared" si="84"/>
        <v>#N/A</v>
      </c>
      <c r="AD100" s="100" t="e">
        <f t="shared" si="81"/>
        <v>#N/A</v>
      </c>
      <c r="AE100" s="100" t="e">
        <f t="shared" si="82"/>
        <v>#N/A</v>
      </c>
      <c r="AF100" s="100" t="e">
        <f t="shared" si="83"/>
        <v>#N/A</v>
      </c>
      <c r="AG100" s="101" t="e">
        <f t="shared" si="85"/>
        <v>#N/A</v>
      </c>
    </row>
    <row r="101" spans="20:33" ht="15.6" thickTop="1" thickBot="1" x14ac:dyDescent="0.35">
      <c r="T101" s="412" t="s">
        <v>48</v>
      </c>
      <c r="U101" s="412"/>
      <c r="V101" s="413"/>
      <c r="W101" s="413"/>
      <c r="X101" s="413"/>
      <c r="Y101" s="413"/>
      <c r="Z101" s="413"/>
      <c r="AA101" s="414">
        <f>SUMIF(AA6:AA100,"&lt;&gt;#N/A")</f>
        <v>0</v>
      </c>
      <c r="AB101" s="414"/>
      <c r="AC101" s="414"/>
      <c r="AD101" s="414"/>
      <c r="AE101" s="414"/>
      <c r="AF101" s="414"/>
      <c r="AG101" s="414"/>
    </row>
    <row r="102" spans="20:33" ht="15" thickBot="1" x14ac:dyDescent="0.35">
      <c r="T102" s="406" t="s">
        <v>43</v>
      </c>
      <c r="U102" s="406"/>
      <c r="V102" s="407"/>
      <c r="W102" s="407"/>
      <c r="X102" s="407"/>
      <c r="Y102" s="407"/>
      <c r="Z102" s="407"/>
      <c r="AA102" s="407"/>
      <c r="AB102" s="407"/>
      <c r="AC102" s="416">
        <f>SUMIF(AC6:AC100,"&lt;&gt;#N/A")</f>
        <v>0</v>
      </c>
      <c r="AD102" s="416"/>
      <c r="AE102" s="416"/>
      <c r="AF102" s="416"/>
      <c r="AG102" s="416"/>
    </row>
    <row r="103" spans="20:33" ht="15" thickBot="1" x14ac:dyDescent="0.35">
      <c r="T103" s="406" t="s">
        <v>47</v>
      </c>
      <c r="U103" s="406"/>
      <c r="V103" s="407"/>
      <c r="W103" s="407"/>
      <c r="X103" s="407"/>
      <c r="Y103" s="407"/>
      <c r="Z103" s="407"/>
      <c r="AA103" s="407"/>
      <c r="AB103" s="407"/>
      <c r="AC103" s="408">
        <f>SUMIF(AD6:AD100,"&lt;&gt;#N/A")</f>
        <v>0</v>
      </c>
      <c r="AD103" s="408"/>
      <c r="AE103" s="408"/>
      <c r="AF103" s="408"/>
      <c r="AG103" s="408"/>
    </row>
    <row r="104" spans="20:33" ht="15" thickBot="1" x14ac:dyDescent="0.35">
      <c r="T104" s="406" t="s">
        <v>46</v>
      </c>
      <c r="U104" s="406"/>
      <c r="V104" s="407"/>
      <c r="W104" s="407"/>
      <c r="X104" s="407"/>
      <c r="Y104" s="407"/>
      <c r="Z104" s="407"/>
      <c r="AA104" s="407"/>
      <c r="AB104" s="407"/>
      <c r="AC104" s="407"/>
      <c r="AD104" s="415">
        <f>SUMIF(AE6:AE100,"&lt;&gt;#N/A")</f>
        <v>0</v>
      </c>
      <c r="AE104" s="415"/>
      <c r="AF104" s="415"/>
      <c r="AG104" s="415"/>
    </row>
    <row r="105" spans="20:33" ht="15" thickBot="1" x14ac:dyDescent="0.35">
      <c r="T105" s="406" t="s">
        <v>45</v>
      </c>
      <c r="U105" s="406"/>
      <c r="V105" s="407"/>
      <c r="W105" s="407"/>
      <c r="X105" s="407"/>
      <c r="Y105" s="407"/>
      <c r="Z105" s="407"/>
      <c r="AA105" s="407"/>
      <c r="AB105" s="407"/>
      <c r="AC105" s="407"/>
      <c r="AD105" s="407"/>
      <c r="AE105" s="415">
        <f>SUMIF(AF6:AF100,"&lt;&gt;#N/A")</f>
        <v>0</v>
      </c>
      <c r="AF105" s="415"/>
      <c r="AG105" s="415"/>
    </row>
    <row r="106" spans="20:33" ht="15" thickBot="1" x14ac:dyDescent="0.35">
      <c r="T106" s="406" t="s">
        <v>44</v>
      </c>
      <c r="U106" s="406"/>
      <c r="V106" s="407"/>
      <c r="W106" s="407"/>
      <c r="X106" s="407"/>
      <c r="Y106" s="407"/>
      <c r="Z106" s="407"/>
      <c r="AA106" s="407"/>
      <c r="AB106" s="407"/>
      <c r="AC106" s="407"/>
      <c r="AD106" s="407"/>
      <c r="AE106" s="407"/>
      <c r="AF106" s="408">
        <f>SUMIF($U$6:$U$100,ACHAT1,$AG$6:$AG$100)+SUMIF($U$6:$U$100,ACHAT2,$AG$6:$AG$100)+SUMIF($U$6:$U$100,ACHAT3,$AG$6:$AG$100)+SUMIF($U$6:$U$100,ACHAT4,$AG$6:$AG$100)+SUMIF($U$6:$U$100,ACHAT5,$AG$6:$AG$100)+SUMIF($U$6:$U$100,ACHAT6,$AG$6:$AG$100)+SUMIF($U$6:$U$100,ACHAT7,$AG$6:$AG$100)+SUMIF($U$6:$U$100,ACHAT8,$AG$6:$AG$100)</f>
        <v>0</v>
      </c>
      <c r="AG106" s="408"/>
    </row>
    <row r="107" spans="20:33" ht="15" thickBot="1" x14ac:dyDescent="0.35">
      <c r="T107" s="406" t="s">
        <v>234</v>
      </c>
      <c r="U107" s="406"/>
      <c r="V107" s="407"/>
      <c r="W107" s="407"/>
      <c r="X107" s="407"/>
      <c r="Y107" s="407"/>
      <c r="Z107" s="407"/>
      <c r="AA107" s="407"/>
      <c r="AB107" s="407"/>
      <c r="AC107" s="407"/>
      <c r="AD107" s="407"/>
      <c r="AE107" s="407"/>
      <c r="AF107" s="408">
        <f>SUMIF($U$6:$U$100,ACHAT9,$AG$6:$AG$100)</f>
        <v>0</v>
      </c>
      <c r="AG107" s="408"/>
    </row>
  </sheetData>
  <mergeCells count="352">
    <mergeCell ref="BZ3:CB3"/>
    <mergeCell ref="BZ5:BZ6"/>
    <mergeCell ref="CA5:CA6"/>
    <mergeCell ref="BZ7:BZ8"/>
    <mergeCell ref="CA7:CA8"/>
    <mergeCell ref="BZ9:BZ10"/>
    <mergeCell ref="CA9:CA10"/>
    <mergeCell ref="BZ11:BZ12"/>
    <mergeCell ref="CA11:CA12"/>
    <mergeCell ref="CH25:CH26"/>
    <mergeCell ref="CH27:CH28"/>
    <mergeCell ref="CI23:CI24"/>
    <mergeCell ref="CJ23:CJ24"/>
    <mergeCell ref="CK23:CK24"/>
    <mergeCell ref="CE19:CE20"/>
    <mergeCell ref="CG23:CG28"/>
    <mergeCell ref="CA21:CA22"/>
    <mergeCell ref="BZ23:BZ24"/>
    <mergeCell ref="CA23:CA24"/>
    <mergeCell ref="BZ25:BZ26"/>
    <mergeCell ref="CA25:CA26"/>
    <mergeCell ref="CD25:CD26"/>
    <mergeCell ref="CE25:CE26"/>
    <mergeCell ref="CF25:CF26"/>
    <mergeCell ref="CM23:CM24"/>
    <mergeCell ref="CI25:CI26"/>
    <mergeCell ref="CJ25:CJ26"/>
    <mergeCell ref="CK25:CK26"/>
    <mergeCell ref="CL25:CL26"/>
    <mergeCell ref="CM25:CM26"/>
    <mergeCell ref="CI27:CI28"/>
    <mergeCell ref="CJ27:CJ28"/>
    <mergeCell ref="CK27:CK28"/>
    <mergeCell ref="CL27:CL28"/>
    <mergeCell ref="CM27:CM28"/>
    <mergeCell ref="CD3:CD4"/>
    <mergeCell ref="CD5:CD6"/>
    <mergeCell ref="CD7:CD8"/>
    <mergeCell ref="CD9:CD10"/>
    <mergeCell ref="CD11:CD12"/>
    <mergeCell ref="CD13:CD14"/>
    <mergeCell ref="CD15:CD16"/>
    <mergeCell ref="CD17:CD18"/>
    <mergeCell ref="CL23:CL24"/>
    <mergeCell ref="CH23:CH24"/>
    <mergeCell ref="A84:O85"/>
    <mergeCell ref="P84:S85"/>
    <mergeCell ref="BD3:BD5"/>
    <mergeCell ref="BY1:CM2"/>
    <mergeCell ref="CM29:CM30"/>
    <mergeCell ref="BY27:CE28"/>
    <mergeCell ref="CF27:CF28"/>
    <mergeCell ref="CH29:CL30"/>
    <mergeCell ref="CM5:CM6"/>
    <mergeCell ref="CM7:CM8"/>
    <mergeCell ref="CM9:CM10"/>
    <mergeCell ref="CM11:CM12"/>
    <mergeCell ref="CM13:CM14"/>
    <mergeCell ref="CM15:CM16"/>
    <mergeCell ref="CF11:CF12"/>
    <mergeCell ref="CF13:CF14"/>
    <mergeCell ref="CL5:CL6"/>
    <mergeCell ref="CH7:CH8"/>
    <mergeCell ref="CI7:CI8"/>
    <mergeCell ref="CL7:CL8"/>
    <mergeCell ref="CL15:CL16"/>
    <mergeCell ref="CH17:CH18"/>
    <mergeCell ref="CC3:CC4"/>
    <mergeCell ref="CC5:CC6"/>
    <mergeCell ref="CL13:CL14"/>
    <mergeCell ref="CH15:CH16"/>
    <mergeCell ref="CI15:CI16"/>
    <mergeCell ref="CG5:CG16"/>
    <mergeCell ref="CK7:CK8"/>
    <mergeCell ref="CM19:CM20"/>
    <mergeCell ref="CM21:CM22"/>
    <mergeCell ref="CK9:CK10"/>
    <mergeCell ref="CL9:CL10"/>
    <mergeCell ref="CL11:CL12"/>
    <mergeCell ref="CI11:CI12"/>
    <mergeCell ref="CI17:CI18"/>
    <mergeCell ref="CJ5:CJ6"/>
    <mergeCell ref="CH5:CH6"/>
    <mergeCell ref="CI5:CI6"/>
    <mergeCell ref="CK5:CK6"/>
    <mergeCell ref="CG17:CG22"/>
    <mergeCell ref="CH19:CH20"/>
    <mergeCell ref="CI19:CI20"/>
    <mergeCell ref="CH21:CH22"/>
    <mergeCell ref="CI21:CI22"/>
    <mergeCell ref="CJ19:CJ20"/>
    <mergeCell ref="CJ21:CJ22"/>
    <mergeCell ref="CM31:CM32"/>
    <mergeCell ref="CL17:CL18"/>
    <mergeCell ref="CL19:CL20"/>
    <mergeCell ref="CL21:CL22"/>
    <mergeCell ref="CM17:CM18"/>
    <mergeCell ref="CF9:CF10"/>
    <mergeCell ref="CF15:CF16"/>
    <mergeCell ref="BY5:BY6"/>
    <mergeCell ref="BY7:BY8"/>
    <mergeCell ref="BY9:BY10"/>
    <mergeCell ref="BY11:BY12"/>
    <mergeCell ref="BY13:BY14"/>
    <mergeCell ref="BY15:BY16"/>
    <mergeCell ref="CJ7:CJ8"/>
    <mergeCell ref="CJ9:CJ10"/>
    <mergeCell ref="CJ11:CJ12"/>
    <mergeCell ref="CJ13:CJ14"/>
    <mergeCell ref="CJ15:CJ16"/>
    <mergeCell ref="CJ17:CJ18"/>
    <mergeCell ref="CH13:CH14"/>
    <mergeCell ref="CI13:CI14"/>
    <mergeCell ref="CH9:CH10"/>
    <mergeCell ref="CI9:CI10"/>
    <mergeCell ref="CH11:CH12"/>
    <mergeCell ref="BC1:BX2"/>
    <mergeCell ref="BC3:BC5"/>
    <mergeCell ref="BE3:BE5"/>
    <mergeCell ref="BF3:BF5"/>
    <mergeCell ref="BG3:BG5"/>
    <mergeCell ref="BH3:BM4"/>
    <mergeCell ref="BT3:BT5"/>
    <mergeCell ref="BV3:BV5"/>
    <mergeCell ref="BN3:BP4"/>
    <mergeCell ref="BQ3:BS4"/>
    <mergeCell ref="CK11:CK12"/>
    <mergeCell ref="CK13:CK14"/>
    <mergeCell ref="CK15:CK16"/>
    <mergeCell ref="CK17:CK18"/>
    <mergeCell ref="CK19:CK20"/>
    <mergeCell ref="CK21:CK22"/>
    <mergeCell ref="BY3:BY4"/>
    <mergeCell ref="CE3:CE4"/>
    <mergeCell ref="CF3:CF4"/>
    <mergeCell ref="CG3:CG4"/>
    <mergeCell ref="CH3:CH4"/>
    <mergeCell ref="CI3:CI4"/>
    <mergeCell ref="CJ3:CJ4"/>
    <mergeCell ref="CE5:CE6"/>
    <mergeCell ref="CE7:CE8"/>
    <mergeCell ref="CF5:CF6"/>
    <mergeCell ref="CF7:CF8"/>
    <mergeCell ref="CB5:CB6"/>
    <mergeCell ref="CB7:CB8"/>
    <mergeCell ref="CB9:CB10"/>
    <mergeCell ref="CE9:CE10"/>
    <mergeCell ref="CE17:CE18"/>
    <mergeCell ref="CC7:CC8"/>
    <mergeCell ref="CC9:CC10"/>
    <mergeCell ref="BC75:BS75"/>
    <mergeCell ref="BC74:BS74"/>
    <mergeCell ref="BT74:BV74"/>
    <mergeCell ref="BT75:BV75"/>
    <mergeCell ref="BC73:BR73"/>
    <mergeCell ref="BS73:BV73"/>
    <mergeCell ref="BC66:BH66"/>
    <mergeCell ref="BI66:BV66"/>
    <mergeCell ref="BC68:BJ68"/>
    <mergeCell ref="BK68:BV68"/>
    <mergeCell ref="BC67:BI67"/>
    <mergeCell ref="BJ67:BV67"/>
    <mergeCell ref="CE11:CE12"/>
    <mergeCell ref="CE13:CE14"/>
    <mergeCell ref="CE15:CE16"/>
    <mergeCell ref="BY17:BY18"/>
    <mergeCell ref="BY19:BY20"/>
    <mergeCell ref="CD19:CD20"/>
    <mergeCell ref="CC19:CC20"/>
    <mergeCell ref="BY21:BY22"/>
    <mergeCell ref="BC72:BQ72"/>
    <mergeCell ref="BQ71:BV71"/>
    <mergeCell ref="BR72:BV72"/>
    <mergeCell ref="BC69:BK69"/>
    <mergeCell ref="BC64:BF64"/>
    <mergeCell ref="BG64:BV64"/>
    <mergeCell ref="BC65:BG65"/>
    <mergeCell ref="BH65:BV65"/>
    <mergeCell ref="BY25:BY26"/>
    <mergeCell ref="CB25:CB26"/>
    <mergeCell ref="CC25:CC26"/>
    <mergeCell ref="CC11:CC12"/>
    <mergeCell ref="CC13:CC14"/>
    <mergeCell ref="CC15:CC16"/>
    <mergeCell ref="CC17:CC18"/>
    <mergeCell ref="BZ19:BZ20"/>
    <mergeCell ref="CF17:CF18"/>
    <mergeCell ref="CF19:CF20"/>
    <mergeCell ref="CB21:CB22"/>
    <mergeCell ref="CC21:CC22"/>
    <mergeCell ref="CD21:CD22"/>
    <mergeCell ref="CE21:CE22"/>
    <mergeCell ref="CF21:CF22"/>
    <mergeCell ref="BY23:BY24"/>
    <mergeCell ref="CB23:CB24"/>
    <mergeCell ref="CC23:CC24"/>
    <mergeCell ref="CD23:CD24"/>
    <mergeCell ref="CE23:CE24"/>
    <mergeCell ref="CF23:CF24"/>
    <mergeCell ref="CA19:CA20"/>
    <mergeCell ref="BZ21:BZ22"/>
    <mergeCell ref="BZ17:BZ18"/>
    <mergeCell ref="CA17:CA18"/>
    <mergeCell ref="AK70:AN71"/>
    <mergeCell ref="CB11:CB12"/>
    <mergeCell ref="CB13:CB14"/>
    <mergeCell ref="CB15:CB16"/>
    <mergeCell ref="CB17:CB18"/>
    <mergeCell ref="CB19:CB20"/>
    <mergeCell ref="BE62:BV62"/>
    <mergeCell ref="BC63:BE63"/>
    <mergeCell ref="BF63:BV63"/>
    <mergeCell ref="BL69:BV69"/>
    <mergeCell ref="BC70:BL70"/>
    <mergeCell ref="BM70:BV70"/>
    <mergeCell ref="AW68:AW69"/>
    <mergeCell ref="AY68:AY69"/>
    <mergeCell ref="BC71:BM71"/>
    <mergeCell ref="BZ13:BZ14"/>
    <mergeCell ref="CA13:CA14"/>
    <mergeCell ref="BZ15:BZ16"/>
    <mergeCell ref="CA15:CA16"/>
    <mergeCell ref="AH68:AH69"/>
    <mergeCell ref="AH70:AJ71"/>
    <mergeCell ref="AC103:AG103"/>
    <mergeCell ref="AD104:AG104"/>
    <mergeCell ref="J70:J71"/>
    <mergeCell ref="K70:K71"/>
    <mergeCell ref="L70:L71"/>
    <mergeCell ref="M70:M71"/>
    <mergeCell ref="N70:N71"/>
    <mergeCell ref="T107:AE107"/>
    <mergeCell ref="AF107:AG107"/>
    <mergeCell ref="T1:AG2"/>
    <mergeCell ref="AC3:AC5"/>
    <mergeCell ref="AD3:AD5"/>
    <mergeCell ref="AE3:AE5"/>
    <mergeCell ref="AF3:AF5"/>
    <mergeCell ref="AG3:AG5"/>
    <mergeCell ref="T3:T5"/>
    <mergeCell ref="V3:V5"/>
    <mergeCell ref="W3:W5"/>
    <mergeCell ref="Z3:Z5"/>
    <mergeCell ref="AA3:AA5"/>
    <mergeCell ref="AB3:AB5"/>
    <mergeCell ref="N72:N73"/>
    <mergeCell ref="O80:S81"/>
    <mergeCell ref="A3:A5"/>
    <mergeCell ref="B3:B5"/>
    <mergeCell ref="C3:C5"/>
    <mergeCell ref="D3:D5"/>
    <mergeCell ref="F3:F5"/>
    <mergeCell ref="G3:G5"/>
    <mergeCell ref="H3:M4"/>
    <mergeCell ref="N3:N5"/>
    <mergeCell ref="O3:O5"/>
    <mergeCell ref="P3:P5"/>
    <mergeCell ref="Q3:Q5"/>
    <mergeCell ref="AW3:AW5"/>
    <mergeCell ref="AH46:AH47"/>
    <mergeCell ref="A82:O83"/>
    <mergeCell ref="A80:N81"/>
    <mergeCell ref="T103:AB103"/>
    <mergeCell ref="T104:AC104"/>
    <mergeCell ref="A74:G75"/>
    <mergeCell ref="H72:H73"/>
    <mergeCell ref="I74:I75"/>
    <mergeCell ref="J74:J75"/>
    <mergeCell ref="K74:K75"/>
    <mergeCell ref="L74:L75"/>
    <mergeCell ref="M74:M75"/>
    <mergeCell ref="N74:N75"/>
    <mergeCell ref="H74:H75"/>
    <mergeCell ref="A70:G71"/>
    <mergeCell ref="A72:G73"/>
    <mergeCell ref="H70:H71"/>
    <mergeCell ref="I70:I71"/>
    <mergeCell ref="I72:I73"/>
    <mergeCell ref="J72:J73"/>
    <mergeCell ref="K72:K73"/>
    <mergeCell ref="L72:L73"/>
    <mergeCell ref="M72:M73"/>
    <mergeCell ref="AH62:AH63"/>
    <mergeCell ref="AH64:AH65"/>
    <mergeCell ref="AH66:AH67"/>
    <mergeCell ref="AH6:AH7"/>
    <mergeCell ref="AH8:AH9"/>
    <mergeCell ref="AH10:AH11"/>
    <mergeCell ref="AH12:AH13"/>
    <mergeCell ref="AH14:AH15"/>
    <mergeCell ref="AH16:AH17"/>
    <mergeCell ref="AH18:AH19"/>
    <mergeCell ref="AH20:AH21"/>
    <mergeCell ref="AH22:AH23"/>
    <mergeCell ref="AH24:AH25"/>
    <mergeCell ref="AH26:AH27"/>
    <mergeCell ref="AH28:AH29"/>
    <mergeCell ref="AH30:AH31"/>
    <mergeCell ref="AH32:AH33"/>
    <mergeCell ref="AH34:AH35"/>
    <mergeCell ref="AH36:AH37"/>
    <mergeCell ref="AH42:AH43"/>
    <mergeCell ref="AH44:AH45"/>
    <mergeCell ref="AH40:AH41"/>
    <mergeCell ref="AY3:AY5"/>
    <mergeCell ref="U3:U5"/>
    <mergeCell ref="CK3:CK4"/>
    <mergeCell ref="CL3:CL4"/>
    <mergeCell ref="CM3:CM4"/>
    <mergeCell ref="T101:Z101"/>
    <mergeCell ref="AA101:AG101"/>
    <mergeCell ref="T105:AD105"/>
    <mergeCell ref="AE105:AG105"/>
    <mergeCell ref="T102:AB102"/>
    <mergeCell ref="AC102:AG102"/>
    <mergeCell ref="AH3:AH5"/>
    <mergeCell ref="AI3:AO4"/>
    <mergeCell ref="AP3:AV4"/>
    <mergeCell ref="Y3:Y5"/>
    <mergeCell ref="BU3:BU5"/>
    <mergeCell ref="AH48:AH49"/>
    <mergeCell ref="AH50:AH51"/>
    <mergeCell ref="AH52:AH53"/>
    <mergeCell ref="AH54:AH55"/>
    <mergeCell ref="AH56:AH57"/>
    <mergeCell ref="AH58:AH59"/>
    <mergeCell ref="AH60:AH61"/>
    <mergeCell ref="AH38:AH39"/>
    <mergeCell ref="P82:S83"/>
    <mergeCell ref="A78:N79"/>
    <mergeCell ref="AX3:AX5"/>
    <mergeCell ref="E3:E5"/>
    <mergeCell ref="X3:X5"/>
    <mergeCell ref="R3:S5"/>
    <mergeCell ref="A1:S2"/>
    <mergeCell ref="O70:S71"/>
    <mergeCell ref="O72:S73"/>
    <mergeCell ref="O74:S75"/>
    <mergeCell ref="O76:S77"/>
    <mergeCell ref="O78:S79"/>
    <mergeCell ref="H76:H77"/>
    <mergeCell ref="I76:I77"/>
    <mergeCell ref="J76:J77"/>
    <mergeCell ref="K76:K77"/>
    <mergeCell ref="L76:L77"/>
    <mergeCell ref="M76:M77"/>
    <mergeCell ref="N76:N77"/>
    <mergeCell ref="A76:C77"/>
    <mergeCell ref="D76:G77"/>
    <mergeCell ref="T106:AE106"/>
    <mergeCell ref="AF106:AG106"/>
    <mergeCell ref="AH1:AY2"/>
  </mergeCells>
  <phoneticPr fontId="13" type="noConversion"/>
  <dataValidations count="1">
    <dataValidation type="list" allowBlank="1" showInputMessage="1" showErrorMessage="1" sqref="D6:D69" xr:uid="{82032DAA-179B-4F94-AB32-BC409FE7EF11}">
      <formula1>SPECIALE</formula1>
    </dataValidation>
  </dataValidations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86" orientation="landscape" r:id="rId1"/>
  <colBreaks count="5" manualBreakCount="5">
    <brk id="19" max="1048575" man="1"/>
    <brk id="33" max="1048575" man="1"/>
    <brk id="54" max="1048575" man="1"/>
    <brk id="74" max="1048575" man="1"/>
    <brk id="91" max="1048575" man="1"/>
  </colBreak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1E60D4C-7F4A-4C04-B9B6-9A9BE0B87AAF}">
          <x14:formula1>
            <xm:f>'BASE '!$O$112:$O$120</xm:f>
          </x14:formula1>
          <xm:sqref>Y1:Z1</xm:sqref>
        </x14:dataValidation>
        <x14:dataValidation type="list" allowBlank="1" showInputMessage="1" showErrorMessage="1" xr:uid="{EFAEA2AA-A707-44A9-A6CA-058ED8560F7E}">
          <x14:formula1>
            <xm:f>'BASE '!$O$112:$O$123</xm:f>
          </x14:formula1>
          <xm:sqref>D74:E75</xm:sqref>
        </x14:dataValidation>
        <x14:dataValidation type="list" allowBlank="1" showInputMessage="1" showErrorMessage="1" xr:uid="{8011513D-B62B-406B-8E22-DE891D3417CA}">
          <x14:formula1>
            <xm:f>'BASE '!$P$112:$P$118</xm:f>
          </x14:formula1>
          <xm:sqref>F74:F75</xm:sqref>
        </x14:dataValidation>
        <x14:dataValidation type="list" allowBlank="1" showInputMessage="1" showErrorMessage="1" xr:uid="{A53C0980-6CFA-480A-9399-3398D5A96B81}">
          <x14:formula1>
            <xm:f>'BASE '!$A$5:$A$144</xm:f>
          </x14:formula1>
          <xm:sqref>V6:V100</xm:sqref>
        </x14:dataValidation>
        <x14:dataValidation type="list" allowBlank="1" showInputMessage="1" showErrorMessage="1" xr:uid="{AC12CE42-FCDA-4132-B179-872AE8E79662}">
          <x14:formula1>
            <xm:f>'BASE '!$K$6:$K$11</xm:f>
          </x14:formula1>
          <xm:sqref>F6:F69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5278-800E-4022-B946-8848C3414466}">
  <sheetPr codeName="Feuil5"/>
  <dimension ref="B1:DY176"/>
  <sheetViews>
    <sheetView view="pageLayout" topLeftCell="AF1" zoomScaleNormal="100" workbookViewId="0">
      <selection activeCell="AH7" sqref="AH7"/>
    </sheetView>
  </sheetViews>
  <sheetFormatPr baseColWidth="10" defaultColWidth="0" defaultRowHeight="14.4" x14ac:dyDescent="0.3"/>
  <cols>
    <col min="1" max="1" width="4.88671875" customWidth="1"/>
    <col min="2" max="2" width="8.5546875" customWidth="1"/>
    <col min="3" max="3" width="10" customWidth="1"/>
    <col min="4" max="4" width="20.109375" customWidth="1"/>
    <col min="5" max="5" width="10" customWidth="1"/>
    <col min="6" max="6" width="7" customWidth="1"/>
    <col min="7" max="7" width="4.88671875" customWidth="1"/>
    <col min="8" max="13" width="3.5546875" customWidth="1"/>
    <col min="14" max="14" width="4.6640625" customWidth="1"/>
    <col min="15" max="18" width="12.5546875" customWidth="1"/>
    <col min="19" max="19" width="4.88671875" customWidth="1"/>
    <col min="20" max="20" width="8" customWidth="1"/>
    <col min="21" max="21" width="12" customWidth="1"/>
    <col min="22" max="22" width="15" customWidth="1"/>
    <col min="23" max="23" width="10" customWidth="1"/>
    <col min="24" max="24" width="12" customWidth="1"/>
    <col min="25" max="25" width="13.5546875" customWidth="1"/>
    <col min="26" max="26" width="6.88671875" customWidth="1"/>
    <col min="27" max="31" width="12" customWidth="1"/>
    <col min="32" max="32" width="20" customWidth="1"/>
    <col min="33" max="46" width="6" customWidth="1"/>
    <col min="47" max="48" width="15" customWidth="1"/>
    <col min="52" max="52" width="10" customWidth="1"/>
    <col min="53" max="55" width="12.5546875" customWidth="1"/>
    <col min="56" max="64" width="5" customWidth="1"/>
    <col min="65" max="66" width="9.6640625" customWidth="1"/>
    <col min="67" max="67" width="15" customWidth="1"/>
    <col min="70" max="70" width="20" customWidth="1"/>
    <col min="71" max="73" width="12.5546875" customWidth="1"/>
    <col min="74" max="75" width="15" customWidth="1"/>
    <col min="76" max="80" width="12.33203125" customWidth="1"/>
    <col min="81" max="81" width="15" customWidth="1"/>
    <col min="99" max="99" width="4.88671875" customWidth="1"/>
    <col min="100" max="100" width="8.5546875" customWidth="1"/>
    <col min="101" max="101" width="10" customWidth="1"/>
    <col min="102" max="102" width="15" customWidth="1"/>
    <col min="103" max="104" width="10" customWidth="1"/>
    <col min="105" max="105" width="6" customWidth="1"/>
    <col min="106" max="106" width="4.88671875" customWidth="1"/>
    <col min="107" max="112" width="3.5546875" customWidth="1"/>
    <col min="113" max="113" width="4.6640625" customWidth="1"/>
    <col min="114" max="117" width="12.5546875" customWidth="1"/>
    <col min="118" max="118" width="4.88671875" customWidth="1"/>
    <col min="119" max="119" width="10" customWidth="1"/>
    <col min="120" max="121" width="20" customWidth="1"/>
    <col min="122" max="122" width="12.5546875" customWidth="1"/>
    <col min="123" max="123" width="10" customWidth="1"/>
    <col min="124" max="129" width="15" customWidth="1"/>
  </cols>
  <sheetData>
    <row r="1" spans="2:129" ht="14.1" customHeight="1" thickTop="1" thickBot="1" x14ac:dyDescent="0.35">
      <c r="B1" s="546" t="s">
        <v>27</v>
      </c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8"/>
      <c r="S1" s="165"/>
      <c r="T1" s="443" t="s">
        <v>22</v>
      </c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5"/>
      <c r="AF1" s="400" t="s">
        <v>21</v>
      </c>
      <c r="AG1" s="400"/>
      <c r="AH1" s="400"/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76"/>
      <c r="AX1" s="76"/>
      <c r="AY1" s="93"/>
      <c r="AZ1" s="482" t="s">
        <v>55</v>
      </c>
      <c r="BA1" s="482"/>
      <c r="BB1" s="482"/>
      <c r="BC1" s="482"/>
      <c r="BD1" s="482"/>
      <c r="BE1" s="482"/>
      <c r="BF1" s="482"/>
      <c r="BG1" s="482"/>
      <c r="BH1" s="482"/>
      <c r="BI1" s="482"/>
      <c r="BJ1" s="482"/>
      <c r="BK1" s="482"/>
      <c r="BL1" s="482"/>
      <c r="BM1" s="482"/>
      <c r="BN1" s="482"/>
      <c r="BO1" s="482"/>
      <c r="BP1" s="482"/>
      <c r="BQ1" s="482"/>
      <c r="BR1" s="145"/>
      <c r="BS1" s="511" t="s">
        <v>24</v>
      </c>
      <c r="BT1" s="511"/>
      <c r="BU1" s="511"/>
      <c r="BV1" s="511"/>
      <c r="BW1" s="511"/>
      <c r="BX1" s="511"/>
      <c r="BY1" s="511"/>
      <c r="BZ1" s="511"/>
      <c r="CA1" s="511"/>
      <c r="CB1" s="511"/>
      <c r="CC1" s="511"/>
      <c r="CD1" s="133"/>
      <c r="CE1" s="133"/>
      <c r="CF1" s="133"/>
      <c r="CG1" s="133"/>
      <c r="CH1" s="133"/>
      <c r="CI1" s="133"/>
      <c r="CJ1" s="133"/>
      <c r="CK1" s="133"/>
      <c r="CL1" s="133"/>
      <c r="CM1" s="133"/>
      <c r="CN1" s="133"/>
      <c r="CO1" s="133"/>
      <c r="CP1" s="133"/>
      <c r="CQ1" s="133"/>
      <c r="CR1" s="133"/>
      <c r="CS1" s="133"/>
      <c r="CT1" s="133"/>
      <c r="CU1" s="136"/>
      <c r="CV1" s="546" t="s">
        <v>179</v>
      </c>
      <c r="CW1" s="547"/>
      <c r="CX1" s="547"/>
      <c r="CY1" s="547"/>
      <c r="CZ1" s="547"/>
      <c r="DA1" s="547"/>
      <c r="DB1" s="547"/>
      <c r="DC1" s="547"/>
      <c r="DD1" s="547"/>
      <c r="DE1" s="547"/>
      <c r="DF1" s="547"/>
      <c r="DG1" s="547"/>
      <c r="DH1" s="547"/>
      <c r="DI1" s="547"/>
      <c r="DJ1" s="547"/>
      <c r="DK1" s="547"/>
      <c r="DL1" s="547"/>
      <c r="DM1" s="548"/>
      <c r="DO1" s="443" t="s">
        <v>23</v>
      </c>
      <c r="DP1" s="444"/>
      <c r="DQ1" s="444"/>
      <c r="DR1" s="444"/>
      <c r="DS1" s="444"/>
      <c r="DT1" s="444"/>
      <c r="DU1" s="444"/>
      <c r="DV1" s="444"/>
      <c r="DW1" s="444"/>
      <c r="DX1" s="444"/>
      <c r="DY1" s="445"/>
    </row>
    <row r="2" spans="2:129" ht="14.1" customHeight="1" thickBot="1" x14ac:dyDescent="0.35">
      <c r="B2" s="446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8"/>
      <c r="S2" s="165"/>
      <c r="T2" s="446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8"/>
      <c r="AF2" s="400"/>
      <c r="AG2" s="400"/>
      <c r="AH2" s="400"/>
      <c r="AI2" s="400"/>
      <c r="AJ2" s="400"/>
      <c r="AK2" s="400"/>
      <c r="AL2" s="400"/>
      <c r="AM2" s="400"/>
      <c r="AN2" s="400"/>
      <c r="AO2" s="400"/>
      <c r="AP2" s="400"/>
      <c r="AQ2" s="400"/>
      <c r="AR2" s="400"/>
      <c r="AS2" s="400"/>
      <c r="AT2" s="400"/>
      <c r="AU2" s="400"/>
      <c r="AV2" s="400"/>
      <c r="AW2" s="77"/>
      <c r="AX2" s="77"/>
      <c r="AY2" s="77"/>
      <c r="AZ2" s="482"/>
      <c r="BA2" s="482"/>
      <c r="BB2" s="482"/>
      <c r="BC2" s="482"/>
      <c r="BD2" s="482"/>
      <c r="BE2" s="482"/>
      <c r="BF2" s="482"/>
      <c r="BG2" s="482"/>
      <c r="BH2" s="482"/>
      <c r="BI2" s="482"/>
      <c r="BJ2" s="482"/>
      <c r="BK2" s="482"/>
      <c r="BL2" s="482"/>
      <c r="BM2" s="482"/>
      <c r="BN2" s="482"/>
      <c r="BO2" s="482"/>
      <c r="BP2" s="482"/>
      <c r="BQ2" s="482"/>
      <c r="BR2" s="145"/>
      <c r="BS2" s="511"/>
      <c r="BT2" s="511"/>
      <c r="BU2" s="511"/>
      <c r="BV2" s="511"/>
      <c r="BW2" s="511"/>
      <c r="BX2" s="511"/>
      <c r="BY2" s="511"/>
      <c r="BZ2" s="511"/>
      <c r="CA2" s="511"/>
      <c r="CB2" s="511"/>
      <c r="CC2" s="511"/>
      <c r="CD2" s="133"/>
      <c r="CE2" s="133"/>
      <c r="CF2" s="133"/>
      <c r="CG2" s="133"/>
      <c r="CH2" s="133"/>
      <c r="CI2" s="133"/>
      <c r="CJ2" s="133"/>
      <c r="CK2" s="133"/>
      <c r="CL2" s="133"/>
      <c r="CM2" s="133"/>
      <c r="CN2" s="133"/>
      <c r="CO2" s="133"/>
      <c r="CP2" s="133"/>
      <c r="CQ2" s="133"/>
      <c r="CR2" s="133"/>
      <c r="CS2" s="133"/>
      <c r="CT2" s="133"/>
      <c r="CU2" s="136"/>
      <c r="CV2" s="446"/>
      <c r="CW2" s="447"/>
      <c r="CX2" s="447"/>
      <c r="CY2" s="447"/>
      <c r="CZ2" s="447"/>
      <c r="DA2" s="447"/>
      <c r="DB2" s="447"/>
      <c r="DC2" s="447"/>
      <c r="DD2" s="447"/>
      <c r="DE2" s="447"/>
      <c r="DF2" s="447"/>
      <c r="DG2" s="447"/>
      <c r="DH2" s="447"/>
      <c r="DI2" s="447"/>
      <c r="DJ2" s="447"/>
      <c r="DK2" s="447"/>
      <c r="DL2" s="447"/>
      <c r="DM2" s="448"/>
      <c r="DN2" s="130"/>
      <c r="DO2" s="446"/>
      <c r="DP2" s="447"/>
      <c r="DQ2" s="447"/>
      <c r="DR2" s="447"/>
      <c r="DS2" s="447"/>
      <c r="DT2" s="447"/>
      <c r="DU2" s="447"/>
      <c r="DV2" s="447"/>
      <c r="DW2" s="447"/>
      <c r="DX2" s="447"/>
      <c r="DY2" s="448"/>
    </row>
    <row r="3" spans="2:129" ht="14.1" customHeight="1" thickBot="1" x14ac:dyDescent="0.35">
      <c r="B3" s="395" t="s">
        <v>0</v>
      </c>
      <c r="C3" s="395" t="s">
        <v>174</v>
      </c>
      <c r="D3" s="550" t="s">
        <v>1</v>
      </c>
      <c r="E3" s="395" t="s">
        <v>25</v>
      </c>
      <c r="F3" s="560" t="s">
        <v>154</v>
      </c>
      <c r="G3" s="440" t="s">
        <v>26</v>
      </c>
      <c r="H3" s="562" t="s">
        <v>2</v>
      </c>
      <c r="I3" s="563"/>
      <c r="J3" s="563"/>
      <c r="K3" s="563"/>
      <c r="L3" s="563"/>
      <c r="M3" s="564"/>
      <c r="N3" s="568" t="s">
        <v>119</v>
      </c>
      <c r="O3" s="442" t="s">
        <v>92</v>
      </c>
      <c r="P3" s="441" t="s">
        <v>159</v>
      </c>
      <c r="Q3" s="395" t="s">
        <v>49</v>
      </c>
      <c r="R3" s="399" t="s">
        <v>106</v>
      </c>
      <c r="S3" s="69"/>
      <c r="T3" s="451" t="s">
        <v>89</v>
      </c>
      <c r="U3" s="409" t="s">
        <v>2</v>
      </c>
      <c r="V3" s="396" t="s">
        <v>30</v>
      </c>
      <c r="W3" s="426" t="s">
        <v>33</v>
      </c>
      <c r="X3" s="449" t="s">
        <v>91</v>
      </c>
      <c r="Y3" s="453" t="s">
        <v>92</v>
      </c>
      <c r="Z3" s="453" t="s">
        <v>31</v>
      </c>
      <c r="AA3" s="426" t="s">
        <v>90</v>
      </c>
      <c r="AB3" s="396" t="s">
        <v>18</v>
      </c>
      <c r="AC3" s="396" t="s">
        <v>32</v>
      </c>
      <c r="AD3" s="396" t="s">
        <v>19</v>
      </c>
      <c r="AE3" s="449" t="s">
        <v>34</v>
      </c>
      <c r="AF3" s="558" t="s">
        <v>3</v>
      </c>
      <c r="AG3" s="558" t="s">
        <v>123</v>
      </c>
      <c r="AH3" s="558"/>
      <c r="AI3" s="558"/>
      <c r="AJ3" s="558"/>
      <c r="AK3" s="558"/>
      <c r="AL3" s="558"/>
      <c r="AM3" s="558"/>
      <c r="AN3" s="558" t="s">
        <v>10</v>
      </c>
      <c r="AO3" s="558"/>
      <c r="AP3" s="558"/>
      <c r="AQ3" s="558"/>
      <c r="AR3" s="558"/>
      <c r="AS3" s="558"/>
      <c r="AT3" s="558"/>
      <c r="AU3" s="554" t="s">
        <v>92</v>
      </c>
      <c r="AV3" s="554" t="s">
        <v>49</v>
      </c>
      <c r="AW3" s="43"/>
      <c r="AX3" s="43"/>
      <c r="AY3" s="43"/>
      <c r="AZ3" s="483" t="s">
        <v>0</v>
      </c>
      <c r="BA3" s="486" t="s">
        <v>57</v>
      </c>
      <c r="BB3" s="428" t="s">
        <v>56</v>
      </c>
      <c r="BC3" s="428" t="s">
        <v>58</v>
      </c>
      <c r="BD3" s="486" t="s">
        <v>172</v>
      </c>
      <c r="BE3" s="489"/>
      <c r="BF3" s="489"/>
      <c r="BG3" s="489"/>
      <c r="BH3" s="489"/>
      <c r="BI3" s="490"/>
      <c r="BJ3" s="486" t="s">
        <v>173</v>
      </c>
      <c r="BK3" s="489"/>
      <c r="BL3" s="490"/>
      <c r="BM3" s="428" t="s">
        <v>171</v>
      </c>
      <c r="BN3" s="428" t="s">
        <v>161</v>
      </c>
      <c r="BO3" s="483" t="s">
        <v>59</v>
      </c>
      <c r="BP3" s="167"/>
      <c r="BQ3" s="12"/>
      <c r="BR3" s="12"/>
      <c r="BS3" s="376" t="s">
        <v>11</v>
      </c>
      <c r="BT3" s="376" t="s">
        <v>4</v>
      </c>
      <c r="BU3" s="376" t="s">
        <v>187</v>
      </c>
      <c r="BV3" s="376" t="s">
        <v>188</v>
      </c>
      <c r="BW3" s="376"/>
      <c r="BX3" s="376" t="s">
        <v>11</v>
      </c>
      <c r="BY3" s="376" t="s">
        <v>189</v>
      </c>
      <c r="BZ3" s="376" t="s">
        <v>190</v>
      </c>
      <c r="CA3" s="376" t="s">
        <v>191</v>
      </c>
      <c r="CB3" s="376" t="s">
        <v>187</v>
      </c>
      <c r="CC3" s="376" t="s">
        <v>188</v>
      </c>
      <c r="CV3" s="395" t="s">
        <v>0</v>
      </c>
      <c r="CW3" s="395" t="s">
        <v>174</v>
      </c>
      <c r="CX3" s="550" t="s">
        <v>1</v>
      </c>
      <c r="CY3" s="550" t="s">
        <v>185</v>
      </c>
      <c r="CZ3" s="395" t="s">
        <v>25</v>
      </c>
      <c r="DA3" s="560" t="s">
        <v>154</v>
      </c>
      <c r="DB3" s="440" t="s">
        <v>26</v>
      </c>
      <c r="DC3" s="562" t="s">
        <v>2</v>
      </c>
      <c r="DD3" s="563"/>
      <c r="DE3" s="563"/>
      <c r="DF3" s="563"/>
      <c r="DG3" s="563"/>
      <c r="DH3" s="564"/>
      <c r="DI3" s="568" t="s">
        <v>119</v>
      </c>
      <c r="DJ3" s="442" t="s">
        <v>92</v>
      </c>
      <c r="DK3" s="441" t="s">
        <v>159</v>
      </c>
      <c r="DL3" s="395" t="s">
        <v>49</v>
      </c>
      <c r="DM3" s="399" t="s">
        <v>106</v>
      </c>
      <c r="DN3" s="69"/>
      <c r="DO3" s="409" t="s">
        <v>89</v>
      </c>
      <c r="DP3" s="409" t="s">
        <v>2</v>
      </c>
      <c r="DQ3" s="396" t="s">
        <v>30</v>
      </c>
      <c r="DR3" s="426" t="s">
        <v>33</v>
      </c>
      <c r="DS3" s="426" t="s">
        <v>185</v>
      </c>
      <c r="DT3" s="449" t="s">
        <v>91</v>
      </c>
      <c r="DU3" s="453" t="s">
        <v>92</v>
      </c>
      <c r="DV3" s="396" t="s">
        <v>18</v>
      </c>
      <c r="DW3" s="396" t="s">
        <v>32</v>
      </c>
      <c r="DX3" s="396" t="s">
        <v>19</v>
      </c>
      <c r="DY3" s="449" t="s">
        <v>34</v>
      </c>
    </row>
    <row r="4" spans="2:129" ht="14.1" customHeight="1" thickBot="1" x14ac:dyDescent="0.35">
      <c r="B4" s="395"/>
      <c r="C4" s="395"/>
      <c r="D4" s="559"/>
      <c r="E4" s="395"/>
      <c r="F4" s="561"/>
      <c r="G4" s="440"/>
      <c r="H4" s="565"/>
      <c r="I4" s="566"/>
      <c r="J4" s="566"/>
      <c r="K4" s="566"/>
      <c r="L4" s="566"/>
      <c r="M4" s="567"/>
      <c r="N4" s="569"/>
      <c r="O4" s="442"/>
      <c r="P4" s="441"/>
      <c r="Q4" s="395"/>
      <c r="R4" s="399"/>
      <c r="S4" s="69"/>
      <c r="T4" s="452"/>
      <c r="U4" s="410"/>
      <c r="V4" s="397"/>
      <c r="W4" s="427"/>
      <c r="X4" s="450"/>
      <c r="Y4" s="454"/>
      <c r="Z4" s="454"/>
      <c r="AA4" s="427"/>
      <c r="AB4" s="397"/>
      <c r="AC4" s="397"/>
      <c r="AD4" s="397"/>
      <c r="AE4" s="450"/>
      <c r="AF4" s="558"/>
      <c r="AG4" s="558"/>
      <c r="AH4" s="558"/>
      <c r="AI4" s="558"/>
      <c r="AJ4" s="558"/>
      <c r="AK4" s="558"/>
      <c r="AL4" s="558"/>
      <c r="AM4" s="558"/>
      <c r="AN4" s="558"/>
      <c r="AO4" s="558"/>
      <c r="AP4" s="558"/>
      <c r="AQ4" s="558"/>
      <c r="AR4" s="558"/>
      <c r="AS4" s="558"/>
      <c r="AT4" s="558"/>
      <c r="AU4" s="554"/>
      <c r="AV4" s="554"/>
      <c r="AW4" s="12"/>
      <c r="AX4" s="12"/>
      <c r="AY4" s="12"/>
      <c r="AZ4" s="484"/>
      <c r="BA4" s="487"/>
      <c r="BB4" s="429"/>
      <c r="BC4" s="429"/>
      <c r="BD4" s="488"/>
      <c r="BE4" s="491"/>
      <c r="BF4" s="491"/>
      <c r="BG4" s="491"/>
      <c r="BH4" s="491"/>
      <c r="BI4" s="492"/>
      <c r="BJ4" s="488"/>
      <c r="BK4" s="491"/>
      <c r="BL4" s="492"/>
      <c r="BM4" s="429"/>
      <c r="BN4" s="429"/>
      <c r="BO4" s="484"/>
      <c r="BP4" s="167"/>
      <c r="BQ4" s="12"/>
      <c r="BR4" s="12"/>
      <c r="BS4" s="376"/>
      <c r="BT4" s="376"/>
      <c r="BU4" s="376"/>
      <c r="BV4" s="376"/>
      <c r="BW4" s="376"/>
      <c r="BX4" s="376"/>
      <c r="BY4" s="376"/>
      <c r="BZ4" s="376"/>
      <c r="CA4" s="376"/>
      <c r="CB4" s="376"/>
      <c r="CC4" s="376"/>
      <c r="CV4" s="395"/>
      <c r="CW4" s="395"/>
      <c r="CX4" s="559"/>
      <c r="CY4" s="559"/>
      <c r="CZ4" s="395"/>
      <c r="DA4" s="561"/>
      <c r="DB4" s="440"/>
      <c r="DC4" s="565"/>
      <c r="DD4" s="566"/>
      <c r="DE4" s="566"/>
      <c r="DF4" s="566"/>
      <c r="DG4" s="566"/>
      <c r="DH4" s="567"/>
      <c r="DI4" s="569"/>
      <c r="DJ4" s="442"/>
      <c r="DK4" s="441"/>
      <c r="DL4" s="395"/>
      <c r="DM4" s="399"/>
      <c r="DN4" s="69"/>
      <c r="DO4" s="410"/>
      <c r="DP4" s="410"/>
      <c r="DQ4" s="397"/>
      <c r="DR4" s="427"/>
      <c r="DS4" s="427"/>
      <c r="DT4" s="450"/>
      <c r="DU4" s="454"/>
      <c r="DV4" s="397"/>
      <c r="DW4" s="397"/>
      <c r="DX4" s="397"/>
      <c r="DY4" s="450"/>
    </row>
    <row r="5" spans="2:129" ht="14.1" customHeight="1" thickBot="1" x14ac:dyDescent="0.35">
      <c r="B5" s="550"/>
      <c r="C5" s="550"/>
      <c r="D5" s="559"/>
      <c r="E5" s="550"/>
      <c r="F5" s="561"/>
      <c r="G5" s="551"/>
      <c r="H5" s="170">
        <v>10</v>
      </c>
      <c r="I5" s="171">
        <v>25</v>
      </c>
      <c r="J5" s="171">
        <v>50</v>
      </c>
      <c r="K5" s="170">
        <v>75</v>
      </c>
      <c r="L5" s="171">
        <v>1</v>
      </c>
      <c r="M5" s="172">
        <v>5</v>
      </c>
      <c r="N5" s="569"/>
      <c r="O5" s="549"/>
      <c r="P5" s="552"/>
      <c r="Q5" s="550"/>
      <c r="R5" s="553"/>
      <c r="S5" s="69"/>
      <c r="T5" s="452"/>
      <c r="U5" s="410"/>
      <c r="V5" s="397"/>
      <c r="W5" s="427"/>
      <c r="X5" s="450"/>
      <c r="Y5" s="454"/>
      <c r="Z5" s="454"/>
      <c r="AA5" s="427"/>
      <c r="AB5" s="397"/>
      <c r="AC5" s="397"/>
      <c r="AD5" s="397"/>
      <c r="AE5" s="450"/>
      <c r="AF5" s="558"/>
      <c r="AG5" s="558"/>
      <c r="AH5" s="558"/>
      <c r="AI5" s="558"/>
      <c r="AJ5" s="558"/>
      <c r="AK5" s="558"/>
      <c r="AL5" s="558"/>
      <c r="AM5" s="558"/>
      <c r="AN5" s="558"/>
      <c r="AO5" s="558"/>
      <c r="AP5" s="558"/>
      <c r="AQ5" s="558"/>
      <c r="AR5" s="558"/>
      <c r="AS5" s="558"/>
      <c r="AT5" s="558"/>
      <c r="AU5" s="554"/>
      <c r="AV5" s="554"/>
      <c r="AW5" s="12"/>
      <c r="AX5" s="12"/>
      <c r="AY5" s="12"/>
      <c r="AZ5" s="485"/>
      <c r="BA5" s="488"/>
      <c r="BB5" s="430"/>
      <c r="BC5" s="430"/>
      <c r="BD5" s="45">
        <v>10</v>
      </c>
      <c r="BE5" s="45">
        <v>25</v>
      </c>
      <c r="BF5" s="45">
        <v>50</v>
      </c>
      <c r="BG5" s="45">
        <v>75</v>
      </c>
      <c r="BH5" s="45">
        <v>1</v>
      </c>
      <c r="BI5" s="146">
        <v>5</v>
      </c>
      <c r="BJ5" s="146">
        <v>25</v>
      </c>
      <c r="BK5" s="146">
        <v>50</v>
      </c>
      <c r="BL5" s="146">
        <v>1</v>
      </c>
      <c r="BM5" s="430"/>
      <c r="BN5" s="430"/>
      <c r="BO5" s="485"/>
      <c r="BP5" s="167"/>
      <c r="BQ5" s="12"/>
      <c r="BR5" s="12"/>
      <c r="BS5" s="577" t="s">
        <v>12</v>
      </c>
      <c r="BT5" s="504"/>
      <c r="BU5" s="525">
        <v>69</v>
      </c>
      <c r="BV5" s="578">
        <f>BU5*BT5</f>
        <v>0</v>
      </c>
      <c r="BW5" s="579" t="s">
        <v>157</v>
      </c>
      <c r="BX5" s="582">
        <v>10</v>
      </c>
      <c r="BY5" s="503">
        <f>BD65</f>
        <v>0</v>
      </c>
      <c r="BZ5" s="583" t="e">
        <f>H166</f>
        <v>#NAME?</v>
      </c>
      <c r="CA5" s="575"/>
      <c r="CB5" s="525">
        <v>800</v>
      </c>
      <c r="CC5" s="574">
        <f>BY5*CB5</f>
        <v>0</v>
      </c>
      <c r="CV5" s="395"/>
      <c r="CW5" s="395"/>
      <c r="CX5" s="570"/>
      <c r="CY5" s="570"/>
      <c r="CZ5" s="395"/>
      <c r="DA5" s="571"/>
      <c r="DB5" s="440"/>
      <c r="DC5" s="58">
        <v>10</v>
      </c>
      <c r="DD5" s="57">
        <v>25</v>
      </c>
      <c r="DE5" s="57">
        <v>50</v>
      </c>
      <c r="DF5" s="58">
        <v>75</v>
      </c>
      <c r="DG5" s="57">
        <v>1</v>
      </c>
      <c r="DH5" s="38">
        <v>5</v>
      </c>
      <c r="DI5" s="572"/>
      <c r="DJ5" s="442"/>
      <c r="DK5" s="441"/>
      <c r="DL5" s="395"/>
      <c r="DM5" s="399"/>
      <c r="DN5" s="69"/>
      <c r="DO5" s="411"/>
      <c r="DP5" s="410"/>
      <c r="DQ5" s="397"/>
      <c r="DR5" s="427"/>
      <c r="DS5" s="573"/>
      <c r="DT5" s="450"/>
      <c r="DU5" s="454"/>
      <c r="DV5" s="397"/>
      <c r="DW5" s="397"/>
      <c r="DX5" s="397"/>
      <c r="DY5" s="450"/>
    </row>
    <row r="6" spans="2:129" ht="15" customHeight="1" thickBot="1" x14ac:dyDescent="0.35">
      <c r="B6" s="173"/>
      <c r="C6" s="154"/>
      <c r="D6" s="174"/>
      <c r="E6" s="62"/>
      <c r="F6" s="175"/>
      <c r="G6" s="176"/>
      <c r="H6" s="9"/>
      <c r="I6" s="9"/>
      <c r="J6" s="9"/>
      <c r="K6" s="9"/>
      <c r="L6" s="9"/>
      <c r="M6" s="46"/>
      <c r="N6" s="32">
        <f t="shared" ref="N6:N69" si="0">((($H$5*H6)/100)+($I$5*I6)/100)+((J6*$J$5)/100)+(($K$5*K6)/100)+($L$5*L6)+($M$5*M6)</f>
        <v>0</v>
      </c>
      <c r="O6" s="177" t="b">
        <f>IF(AND(E6="CLIENT S+L",F6="HUILE"),(S6*3333.33+(VLOOKUP(H6,'BASE '!$I$112:$J$142,2,0)))-((S6*3333.33)*G6),IF(AND(E6="CLIENT S+L",F6="LAIT"),((S6*952.4)-(S6*952.4)*G6),IF(E6="CLIENT O","OFFERT",IF(AND(F6="HUILE",E6="CLIENT L"),(((VLOOKUP(H6,'BASE '!$I$112:$J$142,2,0))+(VLOOKUP(S6,'BASE '!#REF!,2,0)))),IF(AND(F6="LAIT",E6="CLIENT L"),(S6*952.4),IF(AND(F6="HUILE",E6="CLIENT D"),(S6*3809.53+(VLOOKUP(H6,'BASE '!$I$112:$J$142,2,0))),IF(AND(F6="LAIT",E6="CLIENT D"),(S6*952.4),IF(AND(F6="HUILE",E6="CLIENT S+D"),((S6*3809.53+(VLOOKUP(H6,'BASE '!$I$112:$J$142,2,0)))-((S6*3809.53)*G6)),IF(AND(F6="LAIT",E6="CLIENT S+D"),((S6*952.4)-((S6*952.4)*G6)),IF(AND(E6="CLIENT S",F6="LAIT"),((S6*952.4)-((S6*952.4)*G6)),IF(AND(F6="HUILE",E6="CLIENT S"),(VLOOKUP(H6,'BASE '!$I$112:$J$142,2,0)+(VLOOKUP(S6,'BASE '!#REF!,2,0)))-(G6*((VLOOKUP(S6,'BASE '!#REF!,2,0)+(VLOOKUP(H6,'BASE '!$I$112:$J$142,2,0))))))))))))))))</f>
        <v>0</v>
      </c>
      <c r="P6" s="177" t="b">
        <f t="shared" ref="P6:P69" si="1">IF(E6="CLIENT S+L",(O6*0.05),IF(E6="CLIENT S",(O6*0.05),IF(E6="CLIENT D",(O6*5/100),IF(E6="CLIENT L",(O6*5)/100,IF(E6="CLIENT S+D",(O6*0.05),IF(E6="CLIENT O",O6))))))</f>
        <v>0</v>
      </c>
      <c r="Q6" s="178" t="b">
        <f t="shared" ref="Q6:Q69" si="2">IF(E6="CLIENT S+L",(O6+P6),IF(E6="CLIENT D",O6+P6,IF(E6="CLIENT S",(O6+P6),IF(E6="CLIENT L",O6+P6,IF(E6="CLIENT S+D",(O6+P6),IF(E6="CLIENT O",P6))))))</f>
        <v>0</v>
      </c>
      <c r="R6" s="153" t="s">
        <v>175</v>
      </c>
      <c r="S6" s="184">
        <f>(($I$5*I6)/100)+((J6*$J$5)/100)+(($K$5*K6)/100)+($L$5*L6)+($M$5*M6)</f>
        <v>0</v>
      </c>
      <c r="T6" s="117"/>
      <c r="U6" s="118" t="s">
        <v>175</v>
      </c>
      <c r="V6" s="119" t="e">
        <f>VLOOKUP(U6,'BASE '!$A$4:$H$144,2,0)</f>
        <v>#N/A</v>
      </c>
      <c r="W6" s="161"/>
      <c r="X6" s="161"/>
      <c r="Y6" s="162"/>
      <c r="Z6" s="120" t="e">
        <f>VLOOKUP(U6,'BASE '!$A$4:$H$144,3,0)</f>
        <v>#N/A</v>
      </c>
      <c r="AA6" s="121" t="e">
        <f t="shared" ref="AA6:AA69" si="3">(Y6*Z6)/100</f>
        <v>#N/A</v>
      </c>
      <c r="AB6" s="122" t="e">
        <f>VLOOKUP(U6,'BASE '!$A$4:$H$144,6,0)*Y6/100</f>
        <v>#N/A</v>
      </c>
      <c r="AC6" s="122" t="e">
        <f>VLOOKUP(U6,'BASE '!$A$4:$H$144,7,0)*Y6/100</f>
        <v>#N/A</v>
      </c>
      <c r="AD6" s="122" t="e">
        <f>VLOOKUP(U6,'BASE '!$A$4:$H$144,8,0)*Y6/100</f>
        <v>#N/A</v>
      </c>
      <c r="AE6" s="123" t="e">
        <f>AA6+AB6+AC6+AD6</f>
        <v>#N/A</v>
      </c>
      <c r="AF6" s="558"/>
      <c r="AG6" s="144"/>
      <c r="AH6" s="144">
        <v>10</v>
      </c>
      <c r="AI6" s="144">
        <v>25</v>
      </c>
      <c r="AJ6" s="144">
        <v>50</v>
      </c>
      <c r="AK6" s="144">
        <v>75</v>
      </c>
      <c r="AL6" s="144">
        <v>1</v>
      </c>
      <c r="AM6" s="144">
        <v>5</v>
      </c>
      <c r="AN6" s="144"/>
      <c r="AO6" s="144">
        <v>10</v>
      </c>
      <c r="AP6" s="144">
        <v>25</v>
      </c>
      <c r="AQ6" s="144">
        <v>50</v>
      </c>
      <c r="AR6" s="144">
        <v>75</v>
      </c>
      <c r="AS6" s="144">
        <v>1</v>
      </c>
      <c r="AT6" s="144">
        <v>5</v>
      </c>
      <c r="AU6" s="554"/>
      <c r="AV6" s="554"/>
      <c r="AW6" s="12"/>
      <c r="AX6" s="12"/>
      <c r="AY6" s="12"/>
      <c r="AZ6" s="8"/>
      <c r="BA6" s="148"/>
      <c r="BB6" s="148"/>
      <c r="BC6" s="148"/>
      <c r="BD6" s="10"/>
      <c r="BE6" s="10"/>
      <c r="BF6" s="10"/>
      <c r="BG6" s="10"/>
      <c r="BH6" s="10"/>
      <c r="BI6" s="10"/>
      <c r="BJ6" s="10"/>
      <c r="BK6" s="10"/>
      <c r="BL6" s="10"/>
      <c r="BM6" s="147">
        <f>(BD6*0.1)+(BE6*0.25)+(BF6*0.5)+(BG6*0.75)+(BH6*1)+(BI6*5)</f>
        <v>0</v>
      </c>
      <c r="BN6" s="147">
        <f>(BJ6*0.25)+(BK6*0.5)+(BL6*1)</f>
        <v>0</v>
      </c>
      <c r="BO6" s="149"/>
      <c r="BP6" s="166"/>
      <c r="BQ6" s="12"/>
      <c r="BR6" s="12"/>
      <c r="BS6" s="476"/>
      <c r="BT6" s="481"/>
      <c r="BU6" s="475"/>
      <c r="BV6" s="545"/>
      <c r="BW6" s="580"/>
      <c r="BX6" s="576"/>
      <c r="BY6" s="497"/>
      <c r="BZ6" s="584"/>
      <c r="CA6" s="543"/>
      <c r="CB6" s="475"/>
      <c r="CC6" s="544"/>
      <c r="CV6" s="64"/>
      <c r="CW6" s="148"/>
      <c r="CX6" s="115"/>
      <c r="CY6" s="131"/>
      <c r="CZ6" s="143"/>
      <c r="DA6" s="127"/>
      <c r="DB6" s="50"/>
      <c r="DC6" s="10"/>
      <c r="DD6" s="10"/>
      <c r="DE6" s="10"/>
      <c r="DF6" s="10"/>
      <c r="DG6" s="10"/>
      <c r="DH6" s="39"/>
      <c r="DI6" s="33">
        <f t="shared" ref="DI6:DI29" si="4">((($H$5*DC6)/100)+($I$5*DD6)/100)+((DE6*$J$5)/100)+(($K$5*DF6)/100)+($L$5*DG6)+($M$5*DH6)</f>
        <v>0</v>
      </c>
      <c r="DJ6" s="52" t="b">
        <f>IF(AND(CZ6="CLIENT S+L",DA6="HUILE"),(DN6*3333.33+(VLOOKUP(DC6,'BASE '!$I$112:$J$142,2,0)))-((DN6*3333.33)*DB6),IF(AND(CZ6="CLIENT S+L",DA6="LAIT"),((DN6*952.4)-(DN6*952.4)*DB6),IF(CZ6="CLIENT O","OFFERT",IF(AND(DA6="HUILE",CZ6="CLIENT L"),(((VLOOKUP(DC6,'BASE '!$I$112:$J$142,2,0))+(VLOOKUP(DN6,'BASE '!#REF!,2,0)))),IF(AND(DA6="LAIT",CZ6="CLIENT L"),(DN6*952.4),IF(AND(DA6="HUILE",CZ6="CLIENT D"),(DN6*3809.53+(VLOOKUP(DC6,'BASE '!$I$112:$J$142,2,0))),IF(AND(DA6="LAIT",CZ6="CLIENT D"),(DN6*952.4),IF(AND(DA6="HUILE",CZ6="CLIENT S+D"),((DN6*3809.53+(VLOOKUP(DC6,'BASE '!$I$112:$J$142,2,0)))-((DN6*3809.53)*DB6)),IF(AND(DA6="LAIT",CZ6="CLIENT S+D"),((DN6*952.4)-((DN6*952.4)*DB6)),IF(AND(CZ6="CLIENT S",DA6="LAIT"),((DN6*952.4)-((DN6*952.4)*DB6)),IF(AND(DA6="HUILE",CZ6="CLIENT S"),(VLOOKUP(DC6,'BASE '!$I$112:$J$142,2,0)+(VLOOKUP(DN6,'BASE '!#REF!,2,0)))-(DB6*((VLOOKUP(DN6,'BASE '!#REF!,2,0)+(VLOOKUP(DC6,'BASE '!$I$112:$J$142,2,0))))))))))))))))</f>
        <v>0</v>
      </c>
      <c r="DK6" s="52" t="b">
        <f t="shared" ref="DK6:DK29" si="5">IF(CZ6="CLIENT S+L",(DJ6*0.05),IF(CZ6="CLIENT S",(DJ6*0.05),IF(CZ6="CLIENT D",(DJ6*5/100),IF(CZ6="CLIENT L",(DJ6*5)/100,IF(CZ6="CLIENT S+D",(DJ6*0.05),IF(CZ6="CLIENT O",DJ6))))))</f>
        <v>0</v>
      </c>
      <c r="DL6" s="53" t="b">
        <f>IF(CZ6="CLIENT S+L",(DJ6+DK6+CY6),IF(CZ6="CLIENT D",(DJ6+DK6+CY6),IF(CZ6="CLIENT S",(DJ6+DK6+CY6),IF(CZ6="CLIENT L",(DJ6+DK6+CY6),IF(CZ6="CLIENT S+D",(DJ6+DK6+CY6),IF(CZ6="CLIENT O",DK6))))))</f>
        <v>0</v>
      </c>
      <c r="DM6" s="149" t="s">
        <v>175</v>
      </c>
      <c r="DN6" s="116">
        <f>(($I$5*DD6)/100)+((DE6*$J$5)/100)+(($K$5*DF6)/100)+($L$5*DG6)+($M$5*DH6)</f>
        <v>0</v>
      </c>
      <c r="DO6" s="117"/>
      <c r="DP6" s="118" t="s">
        <v>175</v>
      </c>
      <c r="DQ6" s="119"/>
      <c r="DR6" s="161"/>
      <c r="DS6" s="161"/>
      <c r="DT6" s="161"/>
      <c r="DU6" s="162"/>
      <c r="DV6" s="122"/>
      <c r="DW6" s="122"/>
      <c r="DX6" s="122"/>
      <c r="DY6" s="123"/>
    </row>
    <row r="7" spans="2:129" ht="15" customHeight="1" x14ac:dyDescent="0.3">
      <c r="B7" s="64"/>
      <c r="C7" s="148"/>
      <c r="D7" s="109"/>
      <c r="E7" s="63"/>
      <c r="F7" s="127"/>
      <c r="G7" s="50"/>
      <c r="H7" s="10"/>
      <c r="I7" s="10"/>
      <c r="J7" s="10"/>
      <c r="K7" s="10"/>
      <c r="L7" s="10"/>
      <c r="M7" s="39"/>
      <c r="N7" s="33">
        <f t="shared" si="0"/>
        <v>0</v>
      </c>
      <c r="O7" s="52" t="b">
        <f>IF(AND(E7="CLIENT S+L",F7="HUILE"),(S7*3333.33+(VLOOKUP(H7,'BASE '!$I$112:$J$142,2,0)))-((S7*3333.33)*G7),IF(AND(E7="CLIENT S+L",F7="LAIT"),((S7*952.4)-(S7*952.4)*G7),IF(E7="CLIENT O","OFFERT",IF(AND(F7="HUILE",E7="CLIENT L"),(((VLOOKUP(H7,'BASE '!$I$112:$J$142,2,0))+(VLOOKUP(S7,'BASE '!#REF!,2,0)))),IF(AND(F7="LAIT",E7="CLIENT L"),(S7*952.4),IF(AND(F7="HUILE",E7="CLIENT D"),(S7*3809.53+(VLOOKUP(H7,'BASE '!$I$112:$J$142,2,0))),IF(AND(F7="LAIT",E7="CLIENT D"),(S7*952.4),IF(AND(F7="HUILE",E7="CLIENT S+D"),((S7*3809.53+(VLOOKUP(H7,'BASE '!$I$112:$J$142,2,0)))-((S7*3809.53)*G7)),IF(AND(F7="LAIT",E7="CLIENT S+D"),((S7*952.4)-((S7*952.4)*G7)),IF(AND(E7="CLIENT S",F7="LAIT"),((S7*952.4)-((S7*952.4)*G7)),IF(AND(F7="HUILE",E7="CLIENT S"),(VLOOKUP(H7,'BASE '!$I$112:$J$142,2,0)+(VLOOKUP(S7,'BASE '!#REF!,2,0)))-(G7*((VLOOKUP(S7,'BASE '!#REF!,2,0)+(VLOOKUP(H7,'BASE '!$I$112:$J$142,2,0))))))))))))))))</f>
        <v>0</v>
      </c>
      <c r="P7" s="52" t="b">
        <f t="shared" si="1"/>
        <v>0</v>
      </c>
      <c r="Q7" s="53" t="b">
        <f t="shared" si="2"/>
        <v>0</v>
      </c>
      <c r="R7" s="152" t="s">
        <v>175</v>
      </c>
      <c r="S7" s="184">
        <f t="shared" ref="S7:S70" si="6">(($I$5*I7)/100)+((J7*$J$5)/100)+(($K$5*K7)/100)+($L$5*L7)+($M$5*M7)</f>
        <v>0</v>
      </c>
      <c r="T7" s="124"/>
      <c r="U7" s="41" t="s">
        <v>175</v>
      </c>
      <c r="V7" s="70" t="e">
        <f>VLOOKUP(U7,'BASE '!$A$4:$H$144,2,0)</f>
        <v>#N/A</v>
      </c>
      <c r="W7" s="159"/>
      <c r="X7" s="159"/>
      <c r="Y7" s="160"/>
      <c r="Z7" s="158" t="e">
        <f>VLOOKUP(U7,'BASE '!$A$4:$H$144,3,0)</f>
        <v>#N/A</v>
      </c>
      <c r="AA7" s="94" t="e">
        <f t="shared" si="3"/>
        <v>#N/A</v>
      </c>
      <c r="AB7" s="95" t="e">
        <f>VLOOKUP(U7,'BASE '!$A$4:$H$144,6,0)*Y7/100</f>
        <v>#N/A</v>
      </c>
      <c r="AC7" s="95" t="e">
        <f>VLOOKUP(U7,'BASE '!$A$4:$H$144,7,0)*Y7/100</f>
        <v>#N/A</v>
      </c>
      <c r="AD7" s="95" t="e">
        <f>VLOOKUP(U7,'BASE '!$A$4:$H$144,8,0)*Y7/100</f>
        <v>#N/A</v>
      </c>
      <c r="AE7" s="96" t="e">
        <f t="shared" ref="AE7:AE70" si="7">AA7+AB7+AC7+AD7</f>
        <v>#N/A</v>
      </c>
      <c r="AF7" s="433" t="s">
        <v>5</v>
      </c>
      <c r="AG7" s="129" t="s">
        <v>157</v>
      </c>
      <c r="AH7" s="35" t="e">
        <f>SUMIFS($H$6:$H$165,$D$6:$D$165,AF7,CHOIX,AG7)</f>
        <v>#NAME?</v>
      </c>
      <c r="AI7" s="35" t="e">
        <f>SUMIFS($I$6:$I$165,$D$6:$D$165,AF7,CHOIX,AG7)</f>
        <v>#NAME?</v>
      </c>
      <c r="AJ7" s="35" t="e">
        <f>SUMIFS($J$6:$J$165,$D$6:$D$165,AF7,CHOIX,AG7)</f>
        <v>#NAME?</v>
      </c>
      <c r="AK7" s="35" t="e">
        <f>SUMIFS($K$6:$K$165,$D$6:$D$165,AF7,CHOIX,AG7)</f>
        <v>#NAME?</v>
      </c>
      <c r="AL7" s="35" t="e">
        <f>SUMIFS($L$6:$L$165,$D$6:$D$165,AF7,CHOIX,AG7)</f>
        <v>#NAME?</v>
      </c>
      <c r="AM7" s="35" t="e">
        <f>SUMIFS($M$6:$M$165,$D$6:$D$165,AF7,CHOIX,AG7)</f>
        <v>#NAME?</v>
      </c>
      <c r="AN7" s="90" t="s">
        <v>157</v>
      </c>
      <c r="AO7" s="81"/>
      <c r="AP7" s="62"/>
      <c r="AQ7" s="62"/>
      <c r="AR7" s="62"/>
      <c r="AS7" s="78"/>
      <c r="AT7" s="78"/>
      <c r="AU7" s="54" t="e">
        <f>SUMIFS($O$6:$O$165,$D$6:$D$165,AF7,CHOIX,AG7)</f>
        <v>#NAME?</v>
      </c>
      <c r="AV7" s="82" t="e">
        <f>SUMIFS($Q$6:$Q$165,$D$6:$D$165,AF7,CHOIX,AG7)</f>
        <v>#NAME?</v>
      </c>
      <c r="AW7" s="12"/>
      <c r="AX7" s="12"/>
      <c r="AY7" s="12"/>
      <c r="AZ7" s="8"/>
      <c r="BA7" s="148"/>
      <c r="BB7" s="148"/>
      <c r="BC7" s="148"/>
      <c r="BD7" s="10"/>
      <c r="BE7" s="10"/>
      <c r="BF7" s="10"/>
      <c r="BG7" s="10"/>
      <c r="BH7" s="10"/>
      <c r="BI7" s="10"/>
      <c r="BJ7" s="10"/>
      <c r="BK7" s="10"/>
      <c r="BL7" s="10"/>
      <c r="BM7" s="147">
        <f t="shared" ref="BM7:BM61" si="8">(BD7*0.1)+(BE7*0.25)+(BF7*0.5)+(BG7*0.75)+(BH7*1)+(BI7*5)</f>
        <v>0</v>
      </c>
      <c r="BN7" s="147">
        <f t="shared" ref="BN7:BN61" si="9">(BJ7*0.25)+(BK7*0.5)+(BL7*1)</f>
        <v>0</v>
      </c>
      <c r="BO7" s="149"/>
      <c r="BP7" s="166"/>
      <c r="BQ7" s="12"/>
      <c r="BR7" s="12"/>
      <c r="BS7" s="476" t="s">
        <v>120</v>
      </c>
      <c r="BT7" s="481"/>
      <c r="BU7" s="475">
        <v>184</v>
      </c>
      <c r="BV7" s="545">
        <f t="shared" ref="BV7" si="10">BU7*BT7</f>
        <v>0</v>
      </c>
      <c r="BW7" s="580"/>
      <c r="BX7" s="576">
        <v>25</v>
      </c>
      <c r="BY7" s="497">
        <f>BE66</f>
        <v>0</v>
      </c>
      <c r="BZ7" s="496" t="e">
        <f>I166</f>
        <v>#NAME?</v>
      </c>
      <c r="CA7" s="542"/>
      <c r="CB7" s="475">
        <v>1000</v>
      </c>
      <c r="CC7" s="544">
        <f t="shared" ref="CC7" si="11">BY7*CB7</f>
        <v>0</v>
      </c>
      <c r="CV7" s="64"/>
      <c r="CW7" s="148"/>
      <c r="CX7" s="109"/>
      <c r="CY7" s="132"/>
      <c r="CZ7" s="143"/>
      <c r="DA7" s="127"/>
      <c r="DB7" s="50"/>
      <c r="DC7" s="113"/>
      <c r="DD7" s="113"/>
      <c r="DE7" s="113"/>
      <c r="DF7" s="113"/>
      <c r="DG7" s="113"/>
      <c r="DH7" s="112"/>
      <c r="DI7" s="33">
        <f t="shared" si="4"/>
        <v>0</v>
      </c>
      <c r="DJ7" s="52" t="b">
        <f>IF(AND(CZ7="CLIENT S+L",DA7="HUILE"),(DN7*3333.33+(VLOOKUP(DC7,'BASE '!$I$112:$J$142,2,0)))-((DN7*3333.33)*DB7),IF(AND(CZ7="CLIENT S+L",DA7="LAIT"),((DN7*952.4)-(DN7*952.4)*DB7),IF(CZ7="CLIENT O","OFFERT",IF(AND(DA7="HUILE",CZ7="CLIENT L"),(((VLOOKUP(DC7,'BASE '!$I$112:$J$142,2,0))+(VLOOKUP(DN7,'BASE '!#REF!,2,0)))),IF(AND(DA7="LAIT",CZ7="CLIENT L"),(DN7*952.4),IF(AND(DA7="HUILE",CZ7="CLIENT D"),(DN7*3809.53+(VLOOKUP(DC7,'BASE '!$I$112:$J$142,2,0))),IF(AND(DA7="LAIT",CZ7="CLIENT D"),(DN7*952.4),IF(AND(DA7="HUILE",CZ7="CLIENT S+D"),((DN7*3809.53+(VLOOKUP(DC7,'BASE '!$I$112:$J$142,2,0)))-((DN7*3809.53)*DB7)),IF(AND(DA7="LAIT",CZ7="CLIENT S+D"),((DN7*952.4)-((DN7*952.4)*DB7)),IF(AND(CZ7="CLIENT S",DA7="LAIT"),((DN7*952.4)-((DN7*952.4)*DB7)),IF(AND(DA7="HUILE",CZ7="CLIENT S"),(VLOOKUP(DC7,'BASE '!$I$112:$J$142,2,0)+(VLOOKUP(DN7,'BASE '!#REF!,2,0)))-(DB7*((VLOOKUP(DN7,'BASE '!#REF!,2,0)+(VLOOKUP(DC7,'BASE '!$I$112:$J$142,2,0))))))))))))))))</f>
        <v>0</v>
      </c>
      <c r="DK7" s="52" t="b">
        <f t="shared" si="5"/>
        <v>0</v>
      </c>
      <c r="DL7" s="53" t="b">
        <f t="shared" ref="DL7:DL29" si="12">IF(CZ7="CLIENT S+L",(DJ7+DK7+CY7),IF(CZ7="CLIENT D",(DJ7+DK7+CY7),IF(CZ7="CLIENT S",(DJ7+DK7+CY7),IF(CZ7="CLIENT L",(DJ7+DK7+CY7),IF(CZ7="CLIENT S+D",(DJ7+DK7+CY7),IF(CZ7="CLIENT O",DK7))))))</f>
        <v>0</v>
      </c>
      <c r="DM7" s="149" t="s">
        <v>175</v>
      </c>
      <c r="DN7" s="116">
        <f t="shared" ref="DN7:DN28" si="13">(($I$5*DD7)/100)+((DE7*$J$5)/100)+(($K$5*DF7)/100)+($L$5*DG7)+($M$5*DH7)</f>
        <v>0</v>
      </c>
      <c r="DO7" s="124"/>
      <c r="DP7" s="41" t="s">
        <v>175</v>
      </c>
      <c r="DQ7" s="70"/>
      <c r="DR7" s="159"/>
      <c r="DS7" s="159"/>
      <c r="DT7" s="159"/>
      <c r="DU7" s="160"/>
      <c r="DV7" s="95"/>
      <c r="DW7" s="95"/>
      <c r="DX7" s="95"/>
      <c r="DY7" s="96"/>
    </row>
    <row r="8" spans="2:129" ht="15" customHeight="1" x14ac:dyDescent="0.3">
      <c r="B8" s="64"/>
      <c r="C8" s="148"/>
      <c r="D8" s="109"/>
      <c r="E8" s="63"/>
      <c r="F8" s="127"/>
      <c r="G8" s="50"/>
      <c r="H8" s="10"/>
      <c r="I8" s="10"/>
      <c r="J8" s="10"/>
      <c r="K8" s="10"/>
      <c r="L8" s="10"/>
      <c r="M8" s="39"/>
      <c r="N8" s="33">
        <f t="shared" si="0"/>
        <v>0</v>
      </c>
      <c r="O8" s="52" t="b">
        <f>IF(AND(E8="CLIENT S+L",F8="HUILE"),(S8*3333.33+(VLOOKUP(H8,'BASE '!$I$112:$J$142,2,0)))-((S8*3333.33)*G8),IF(AND(E8="CLIENT S+L",F8="LAIT"),((S8*952.4)-(S8*952.4)*G8),IF(E8="CLIENT O","OFFERT",IF(AND(F8="HUILE",E8="CLIENT L"),(((VLOOKUP(H8,'BASE '!$I$112:$J$142,2,0))+(VLOOKUP(S8,'BASE '!#REF!,2,0)))),IF(AND(F8="LAIT",E8="CLIENT L"),(S8*952.4),IF(AND(F8="HUILE",E8="CLIENT D"),(S8*3809.53+(VLOOKUP(H8,'BASE '!$I$112:$J$142,2,0))),IF(AND(F8="LAIT",E8="CLIENT D"),(S8*952.4),IF(AND(F8="HUILE",E8="CLIENT S+D"),((S8*3809.53+(VLOOKUP(H8,'BASE '!$I$112:$J$142,2,0)))-((S8*3809.53)*G8)),IF(AND(F8="LAIT",E8="CLIENT S+D"),((S8*952.4)-((S8*952.4)*G8)),IF(AND(E8="CLIENT S",F8="LAIT"),((S8*952.4)-((S8*952.4)*G8)),IF(AND(F8="HUILE",E8="CLIENT S"),(VLOOKUP(H8,'BASE '!$I$112:$J$142,2,0)+(VLOOKUP(S8,'BASE '!#REF!,2,0)))-(G8*((VLOOKUP(S8,'BASE '!#REF!,2,0)+(VLOOKUP(H8,'BASE '!$I$112:$J$142,2,0))))))))))))))))</f>
        <v>0</v>
      </c>
      <c r="P8" s="52" t="b">
        <f t="shared" si="1"/>
        <v>0</v>
      </c>
      <c r="Q8" s="53" t="b">
        <f t="shared" si="2"/>
        <v>0</v>
      </c>
      <c r="R8" s="152" t="s">
        <v>175</v>
      </c>
      <c r="S8" s="184">
        <f t="shared" si="6"/>
        <v>0</v>
      </c>
      <c r="T8" s="124"/>
      <c r="U8" s="41" t="s">
        <v>175</v>
      </c>
      <c r="V8" s="70" t="e">
        <f>VLOOKUP(U8,'BASE '!$A$4:$H$144,2,0)</f>
        <v>#N/A</v>
      </c>
      <c r="W8" s="159"/>
      <c r="X8" s="159"/>
      <c r="Y8" s="160"/>
      <c r="Z8" s="158" t="e">
        <f>VLOOKUP(U8,'BASE '!$A$4:$H$144,3,0)</f>
        <v>#N/A</v>
      </c>
      <c r="AA8" s="94" t="e">
        <f t="shared" si="3"/>
        <v>#N/A</v>
      </c>
      <c r="AB8" s="95" t="e">
        <f>VLOOKUP(U8,'BASE '!$A$4:$H$144,6,0)*Y8/100</f>
        <v>#N/A</v>
      </c>
      <c r="AC8" s="95" t="e">
        <f>VLOOKUP(U8,'BASE '!$A$4:$H$144,7,0)*Y8/100</f>
        <v>#N/A</v>
      </c>
      <c r="AD8" s="95" t="e">
        <f>VLOOKUP(U8,'BASE '!$A$4:$H$144,8,0)*Y8/100</f>
        <v>#N/A</v>
      </c>
      <c r="AE8" s="96" t="e">
        <f t="shared" si="7"/>
        <v>#N/A</v>
      </c>
      <c r="AF8" s="434"/>
      <c r="AG8" s="1" t="s">
        <v>155</v>
      </c>
      <c r="AH8" s="36" t="e">
        <f>SUMIFS($H$6:$H$165,$D$6:$D$165,AF7,CHOIX,AG8)</f>
        <v>#NAME?</v>
      </c>
      <c r="AI8" s="36" t="e">
        <f>SUMIFS($I$6:$I$165,$D$6:$D$165,AF7,CHOIX,AG8)</f>
        <v>#NAME?</v>
      </c>
      <c r="AJ8" s="36" t="e">
        <f>SUMIFS($J$6:$J$165,$D$6:$D$165,AF7,CHOIX,AG8)</f>
        <v>#NAME?</v>
      </c>
      <c r="AK8" s="36" t="e">
        <f>SUMIFS($K$6:$K$165,$D$6:$D$165,AF7,CHOIX,AG8)</f>
        <v>#NAME?</v>
      </c>
      <c r="AL8" s="36" t="e">
        <f>SUMIFS($L$6:$L$165,$D$6:$D$165,AF7,CHOIX,AG8)</f>
        <v>#NAME?</v>
      </c>
      <c r="AM8" s="36" t="e">
        <f>SUMIFS($M$6:$M$165,$D$6:$D$165,AF7,CHOIX,AG8)</f>
        <v>#NAME?</v>
      </c>
      <c r="AN8" s="1" t="s">
        <v>155</v>
      </c>
      <c r="AO8" s="83"/>
      <c r="AP8" s="63"/>
      <c r="AQ8" s="63"/>
      <c r="AR8" s="63"/>
      <c r="AS8" s="79"/>
      <c r="AT8" s="79"/>
      <c r="AU8" s="55" t="e">
        <f>SUMIFS($O$6:$O$165,$D$6:$D$165,AF7,CHOIX,AG8)</f>
        <v>#NAME?</v>
      </c>
      <c r="AV8" s="80" t="e">
        <f>SUMIFS($Q$6:$Q$165,$D$6:$D$165,AF7,CHOIX,AG8)</f>
        <v>#NAME?</v>
      </c>
      <c r="AW8" s="12"/>
      <c r="AX8" s="12"/>
      <c r="AY8" s="12"/>
      <c r="AZ8" s="8"/>
      <c r="BA8" s="148"/>
      <c r="BB8" s="148"/>
      <c r="BC8" s="148"/>
      <c r="BD8" s="10"/>
      <c r="BE8" s="10"/>
      <c r="BF8" s="10"/>
      <c r="BG8" s="10"/>
      <c r="BH8" s="10"/>
      <c r="BI8" s="10"/>
      <c r="BJ8" s="10"/>
      <c r="BK8" s="10"/>
      <c r="BL8" s="10"/>
      <c r="BM8" s="147">
        <f t="shared" si="8"/>
        <v>0</v>
      </c>
      <c r="BN8" s="147">
        <f t="shared" si="9"/>
        <v>0</v>
      </c>
      <c r="BO8" s="149"/>
      <c r="BP8" s="166"/>
      <c r="BQ8" s="12"/>
      <c r="BR8" s="12"/>
      <c r="BS8" s="476"/>
      <c r="BT8" s="481"/>
      <c r="BU8" s="475"/>
      <c r="BV8" s="545"/>
      <c r="BW8" s="580"/>
      <c r="BX8" s="576"/>
      <c r="BY8" s="497"/>
      <c r="BZ8" s="497"/>
      <c r="CA8" s="543"/>
      <c r="CB8" s="475"/>
      <c r="CC8" s="544"/>
      <c r="CV8" s="64"/>
      <c r="CW8" s="148"/>
      <c r="CX8" s="109"/>
      <c r="CY8" s="132"/>
      <c r="CZ8" s="143"/>
      <c r="DA8" s="127"/>
      <c r="DB8" s="50"/>
      <c r="DC8" s="128"/>
      <c r="DD8" s="114"/>
      <c r="DE8" s="114"/>
      <c r="DF8" s="114"/>
      <c r="DG8" s="114"/>
      <c r="DH8" s="112"/>
      <c r="DI8" s="33">
        <f t="shared" si="4"/>
        <v>0</v>
      </c>
      <c r="DJ8" s="52" t="b">
        <f>IF(AND(CZ8="CLIENT S+L",DA8="HUILE"),(DN8*3333.33+(VLOOKUP(DC8,'BASE '!$I$112:$J$142,2,0)))-((DN8*3333.33)*DB8),IF(AND(CZ8="CLIENT S+L",DA8="LAIT"),((DN8*952.4)-(DN8*952.4)*DB8),IF(CZ8="CLIENT O","OFFERT",IF(AND(DA8="HUILE",CZ8="CLIENT L"),(((VLOOKUP(DC8,'BASE '!$I$112:$J$142,2,0))+(VLOOKUP(DN8,'BASE '!#REF!,2,0)))),IF(AND(DA8="LAIT",CZ8="CLIENT L"),(DN8*952.4),IF(AND(DA8="HUILE",CZ8="CLIENT D"),(DN8*3809.53+(VLOOKUP(DC8,'BASE '!$I$112:$J$142,2,0))),IF(AND(DA8="LAIT",CZ8="CLIENT D"),(DN8*952.4),IF(AND(DA8="HUILE",CZ8="CLIENT S+D"),((DN8*3809.53+(VLOOKUP(DC8,'BASE '!$I$112:$J$142,2,0)))-((DN8*3809.53)*DB8)),IF(AND(DA8="LAIT",CZ8="CLIENT S+D"),((DN8*952.4)-((DN8*952.4)*DB8)),IF(AND(CZ8="CLIENT S",DA8="LAIT"),((DN8*952.4)-((DN8*952.4)*DB8)),IF(AND(DA8="HUILE",CZ8="CLIENT S"),(VLOOKUP(DC8,'BASE '!$I$112:$J$142,2,0)+(VLOOKUP(DN8,'BASE '!#REF!,2,0)))-(DB8*((VLOOKUP(DN8,'BASE '!#REF!,2,0)+(VLOOKUP(DC8,'BASE '!$I$112:$J$142,2,0))))))))))))))))</f>
        <v>0</v>
      </c>
      <c r="DK8" s="52" t="b">
        <f t="shared" si="5"/>
        <v>0</v>
      </c>
      <c r="DL8" s="53" t="b">
        <f t="shared" si="12"/>
        <v>0</v>
      </c>
      <c r="DM8" s="149" t="s">
        <v>175</v>
      </c>
      <c r="DN8" s="116">
        <f t="shared" si="13"/>
        <v>0</v>
      </c>
      <c r="DO8" s="124"/>
      <c r="DP8" s="42" t="s">
        <v>175</v>
      </c>
      <c r="DQ8" s="70"/>
      <c r="DR8" s="159"/>
      <c r="DS8" s="159"/>
      <c r="DT8" s="159"/>
      <c r="DU8" s="160"/>
      <c r="DV8" s="95"/>
      <c r="DW8" s="95"/>
      <c r="DX8" s="95"/>
      <c r="DY8" s="96"/>
    </row>
    <row r="9" spans="2:129" ht="15" customHeight="1" x14ac:dyDescent="0.3">
      <c r="B9" s="64"/>
      <c r="C9" s="148"/>
      <c r="D9" s="109"/>
      <c r="E9" s="63"/>
      <c r="F9" s="127"/>
      <c r="G9" s="50"/>
      <c r="H9" s="10"/>
      <c r="I9" s="10"/>
      <c r="J9" s="10"/>
      <c r="K9" s="10"/>
      <c r="L9" s="10"/>
      <c r="M9" s="39"/>
      <c r="N9" s="33">
        <f t="shared" si="0"/>
        <v>0</v>
      </c>
      <c r="O9" s="52" t="b">
        <f>IF(AND(E9="CLIENT S+L",F9="HUILE"),(S9*3333.33+(VLOOKUP(H9,'BASE '!$I$112:$J$142,2,0)))-((S9*3333.33)*G9),IF(AND(E9="CLIENT S+L",F9="LAIT"),((S9*952.4)-(S9*952.4)*G9),IF(E9="CLIENT O","OFFERT",IF(AND(F9="HUILE",E9="CLIENT L"),(((VLOOKUP(H9,'BASE '!$I$112:$J$142,2,0))+(VLOOKUP(S9,'BASE '!#REF!,2,0)))),IF(AND(F9="LAIT",E9="CLIENT L"),(S9*952.4),IF(AND(F9="HUILE",E9="CLIENT D"),(S9*3809.53+(VLOOKUP(H9,'BASE '!$I$112:$J$142,2,0))),IF(AND(F9="LAIT",E9="CLIENT D"),(S9*952.4),IF(AND(F9="HUILE",E9="CLIENT S+D"),((S9*3809.53+(VLOOKUP(H9,'BASE '!$I$112:$J$142,2,0)))-((S9*3809.53)*G9)),IF(AND(F9="LAIT",E9="CLIENT S+D"),((S9*952.4)-((S9*952.4)*G9)),IF(AND(E9="CLIENT S",F9="LAIT"),((S9*952.4)-((S9*952.4)*G9)),IF(AND(F9="HUILE",E9="CLIENT S"),(VLOOKUP(H9,'BASE '!$I$112:$J$142,2,0)+(VLOOKUP(S9,'BASE '!#REF!,2,0)))-(G9*((VLOOKUP(S9,'BASE '!#REF!,2,0)+(VLOOKUP(H9,'BASE '!$I$112:$J$142,2,0))))))))))))))))</f>
        <v>0</v>
      </c>
      <c r="P9" s="52" t="b">
        <f t="shared" si="1"/>
        <v>0</v>
      </c>
      <c r="Q9" s="53" t="b">
        <f t="shared" si="2"/>
        <v>0</v>
      </c>
      <c r="R9" s="152" t="s">
        <v>175</v>
      </c>
      <c r="S9" s="184">
        <f t="shared" si="6"/>
        <v>0</v>
      </c>
      <c r="T9" s="124"/>
      <c r="U9" s="41" t="s">
        <v>175</v>
      </c>
      <c r="V9" s="70" t="e">
        <f>VLOOKUP(U9,'BASE '!$A$4:$H$144,2,0)</f>
        <v>#N/A</v>
      </c>
      <c r="W9" s="159"/>
      <c r="X9" s="159"/>
      <c r="Y9" s="160"/>
      <c r="Z9" s="158" t="e">
        <f>VLOOKUP(U9,'BASE '!$A$4:$H$144,3,0)</f>
        <v>#N/A</v>
      </c>
      <c r="AA9" s="94" t="e">
        <f t="shared" si="3"/>
        <v>#N/A</v>
      </c>
      <c r="AB9" s="95" t="e">
        <f>VLOOKUP(U9,'BASE '!$A$4:$H$144,6,0)*Y9/100</f>
        <v>#N/A</v>
      </c>
      <c r="AC9" s="95" t="e">
        <f>VLOOKUP(U9,'BASE '!$A$4:$H$144,7,0)*Y9/100</f>
        <v>#N/A</v>
      </c>
      <c r="AD9" s="95" t="e">
        <f>VLOOKUP(U9,'BASE '!$A$4:$H$144,8,0)*Y9/100</f>
        <v>#N/A</v>
      </c>
      <c r="AE9" s="96" t="e">
        <f t="shared" si="7"/>
        <v>#N/A</v>
      </c>
      <c r="AF9" s="435" t="s">
        <v>130</v>
      </c>
      <c r="AG9" s="91" t="s">
        <v>157</v>
      </c>
      <c r="AH9" s="36" t="e">
        <f>SUMIFS($H$6:$H$165,$D$6:$D$165,AF9,CHOIX,AG9)</f>
        <v>#NAME?</v>
      </c>
      <c r="AI9" s="36" t="e">
        <f>SUMIFS($I$6:$I$165,$D$6:$D$165,AF9,CHOIX,AG9)</f>
        <v>#NAME?</v>
      </c>
      <c r="AJ9" s="36" t="e">
        <f>SUMIFS($J$6:$J$165,$D$6:$D$165,AF9,CHOIX,AG9)</f>
        <v>#NAME?</v>
      </c>
      <c r="AK9" s="36" t="e">
        <f>SUMIFS($K$6:$K$165,$D$6:$D$165,AF9,CHOIX,AG9)</f>
        <v>#NAME?</v>
      </c>
      <c r="AL9" s="36" t="e">
        <f>SUMIFS($L$6:$L$165,$D$6:$D$165,AF9,CHOIX,AG9)</f>
        <v>#NAME?</v>
      </c>
      <c r="AM9" s="36" t="e">
        <f>SUMIFS($M$6:$M$165,$D$6:$D$165,AF9,CHOIX,AG9)</f>
        <v>#NAME?</v>
      </c>
      <c r="AN9" s="91" t="s">
        <v>157</v>
      </c>
      <c r="AO9" s="83"/>
      <c r="AP9" s="63"/>
      <c r="AQ9" s="63"/>
      <c r="AR9" s="63"/>
      <c r="AS9" s="79"/>
      <c r="AT9" s="79"/>
      <c r="AU9" s="55" t="e">
        <f>SUMIFS($O$6:$O$165,$D$6:$D$165,AF9,CHOIX,AG9)</f>
        <v>#NAME?</v>
      </c>
      <c r="AV9" s="80" t="e">
        <f>SUMIFS($Q$6:$Q$165,$D$6:$D$165,AF9,CHOIX,AG9)</f>
        <v>#NAME?</v>
      </c>
      <c r="AW9" s="12"/>
      <c r="AX9" s="12"/>
      <c r="AY9" s="12"/>
      <c r="AZ9" s="8"/>
      <c r="BA9" s="148"/>
      <c r="BB9" s="148"/>
      <c r="BC9" s="148"/>
      <c r="BD9" s="10"/>
      <c r="BE9" s="10"/>
      <c r="BF9" s="10"/>
      <c r="BG9" s="10"/>
      <c r="BH9" s="10"/>
      <c r="BI9" s="10"/>
      <c r="BJ9" s="10"/>
      <c r="BK9" s="10"/>
      <c r="BL9" s="10"/>
      <c r="BM9" s="147">
        <f t="shared" si="8"/>
        <v>0</v>
      </c>
      <c r="BN9" s="147">
        <f t="shared" si="9"/>
        <v>0</v>
      </c>
      <c r="BO9" s="149"/>
      <c r="BP9" s="166"/>
      <c r="BQ9" s="12"/>
      <c r="BR9" s="12"/>
      <c r="BS9" s="476" t="s">
        <v>13</v>
      </c>
      <c r="BT9" s="481"/>
      <c r="BU9" s="475">
        <v>34</v>
      </c>
      <c r="BV9" s="545">
        <f t="shared" ref="BV9" si="14">BU9*BT9</f>
        <v>0</v>
      </c>
      <c r="BW9" s="580"/>
      <c r="BX9" s="576">
        <v>50</v>
      </c>
      <c r="BY9" s="497">
        <f>BF67</f>
        <v>0</v>
      </c>
      <c r="BZ9" s="496" t="e">
        <f>J166</f>
        <v>#NAME?</v>
      </c>
      <c r="CA9" s="542"/>
      <c r="CB9" s="475"/>
      <c r="CC9" s="544">
        <f t="shared" ref="CC9" si="15">BY9*CB9</f>
        <v>0</v>
      </c>
      <c r="CV9" s="64"/>
      <c r="CW9" s="148"/>
      <c r="CX9" s="109"/>
      <c r="CY9" s="132"/>
      <c r="CZ9" s="143"/>
      <c r="DA9" s="127"/>
      <c r="DB9" s="50"/>
      <c r="DC9" s="114"/>
      <c r="DD9" s="114"/>
      <c r="DE9" s="114"/>
      <c r="DF9" s="114"/>
      <c r="DG9" s="114"/>
      <c r="DH9" s="112"/>
      <c r="DI9" s="33">
        <f t="shared" si="4"/>
        <v>0</v>
      </c>
      <c r="DJ9" s="52" t="b">
        <f>IF(AND(CZ9="CLIENT S+L",DA9="HUILE"),(DN9*3333.33+(VLOOKUP(DC9,'BASE '!$I$112:$J$142,2,0)))-((DN9*3333.33)*DB9),IF(AND(CZ9="CLIENT S+L",DA9="LAIT"),((DN9*952.4)-(DN9*952.4)*DB9),IF(CZ9="CLIENT O","OFFERT",IF(AND(DA9="HUILE",CZ9="CLIENT L"),(((VLOOKUP(DC9,'BASE '!$I$112:$J$142,2,0))+(VLOOKUP(DN9,'BASE '!#REF!,2,0)))),IF(AND(DA9="LAIT",CZ9="CLIENT L"),(DN9*952.4),IF(AND(DA9="HUILE",CZ9="CLIENT D"),(DN9*3809.53+(VLOOKUP(DC9,'BASE '!$I$112:$J$142,2,0))),IF(AND(DA9="LAIT",CZ9="CLIENT D"),(DN9*952.4),IF(AND(DA9="HUILE",CZ9="CLIENT S+D"),((DN9*3809.53+(VLOOKUP(DC9,'BASE '!$I$112:$J$142,2,0)))-((DN9*3809.53)*DB9)),IF(AND(DA9="LAIT",CZ9="CLIENT S+D"),((DN9*952.4)-((DN9*952.4)*DB9)),IF(AND(CZ9="CLIENT S",DA9="LAIT"),((DN9*952.4)-((DN9*952.4)*DB9)),IF(AND(DA9="HUILE",CZ9="CLIENT S"),(VLOOKUP(DC9,'BASE '!$I$112:$J$142,2,0)+(VLOOKUP(DN9,'BASE '!#REF!,2,0)))-(DB9*((VLOOKUP(DN9,'BASE '!#REF!,2,0)+(VLOOKUP(DC9,'BASE '!$I$112:$J$142,2,0))))))))))))))))</f>
        <v>0</v>
      </c>
      <c r="DK9" s="52" t="b">
        <f t="shared" si="5"/>
        <v>0</v>
      </c>
      <c r="DL9" s="53" t="b">
        <f t="shared" si="12"/>
        <v>0</v>
      </c>
      <c r="DM9" s="149"/>
      <c r="DN9" s="116">
        <f t="shared" si="13"/>
        <v>0</v>
      </c>
      <c r="DO9" s="124"/>
      <c r="DP9" s="42" t="s">
        <v>175</v>
      </c>
      <c r="DQ9" s="70"/>
      <c r="DR9" s="159"/>
      <c r="DS9" s="159"/>
      <c r="DT9" s="159"/>
      <c r="DU9" s="160"/>
      <c r="DV9" s="95"/>
      <c r="DW9" s="95"/>
      <c r="DX9" s="95"/>
      <c r="DY9" s="96"/>
    </row>
    <row r="10" spans="2:129" ht="15" customHeight="1" x14ac:dyDescent="0.3">
      <c r="B10" s="64"/>
      <c r="C10" s="148"/>
      <c r="D10" s="109"/>
      <c r="E10" s="63"/>
      <c r="F10" s="127"/>
      <c r="G10" s="50"/>
      <c r="H10" s="10"/>
      <c r="I10" s="10"/>
      <c r="J10" s="10"/>
      <c r="K10" s="10"/>
      <c r="L10" s="10"/>
      <c r="M10" s="39"/>
      <c r="N10" s="33">
        <f t="shared" si="0"/>
        <v>0</v>
      </c>
      <c r="O10" s="52" t="b">
        <f>IF(AND(E10="CLIENT S+L",F10="HUILE"),(S10*3333.33+(VLOOKUP(H10,'BASE '!$I$112:$J$142,2,0)))-((S10*3333.33)*G10),IF(AND(E10="CLIENT S+L",F10="LAIT"),((S10*952.4)-(S10*952.4)*G10),IF(E10="CLIENT O","OFFERT",IF(AND(F10="HUILE",E10="CLIENT L"),(((VLOOKUP(H10,'BASE '!$I$112:$J$142,2,0))+(VLOOKUP(S10,'BASE '!#REF!,2,0)))),IF(AND(F10="LAIT",E10="CLIENT L"),(S10*952.4),IF(AND(F10="HUILE",E10="CLIENT D"),(S10*3809.53+(VLOOKUP(H10,'BASE '!$I$112:$J$142,2,0))),IF(AND(F10="LAIT",E10="CLIENT D"),(S10*952.4),IF(AND(F10="HUILE",E10="CLIENT S+D"),((S10*3809.53+(VLOOKUP(H10,'BASE '!$I$112:$J$142,2,0)))-((S10*3809.53)*G10)),IF(AND(F10="LAIT",E10="CLIENT S+D"),((S10*952.4)-((S10*952.4)*G10)),IF(AND(E10="CLIENT S",F10="LAIT"),((S10*952.4)-((S10*952.4)*G10)),IF(AND(F10="HUILE",E10="CLIENT S"),(VLOOKUP(H10,'BASE '!$I$112:$J$142,2,0)+(VLOOKUP(S10,'BASE '!#REF!,2,0)))-(G10*((VLOOKUP(S10,'BASE '!#REF!,2,0)+(VLOOKUP(H10,'BASE '!$I$112:$J$142,2,0))))))))))))))))</f>
        <v>0</v>
      </c>
      <c r="P10" s="52" t="b">
        <f t="shared" si="1"/>
        <v>0</v>
      </c>
      <c r="Q10" s="53" t="b">
        <f t="shared" si="2"/>
        <v>0</v>
      </c>
      <c r="R10" s="152" t="s">
        <v>175</v>
      </c>
      <c r="S10" s="184">
        <f t="shared" si="6"/>
        <v>0</v>
      </c>
      <c r="T10" s="124"/>
      <c r="U10" s="41" t="s">
        <v>175</v>
      </c>
      <c r="V10" s="70" t="e">
        <f>VLOOKUP(U10,'BASE '!$A$4:$H$144,2,0)</f>
        <v>#N/A</v>
      </c>
      <c r="W10" s="159"/>
      <c r="X10" s="159"/>
      <c r="Y10" s="160"/>
      <c r="Z10" s="158" t="e">
        <f>VLOOKUP(U10,'BASE '!$A$4:$H$144,3,0)</f>
        <v>#N/A</v>
      </c>
      <c r="AA10" s="94" t="e">
        <f t="shared" si="3"/>
        <v>#N/A</v>
      </c>
      <c r="AB10" s="95" t="e">
        <f>VLOOKUP(U10,'BASE '!$A$4:$H$144,6,0)*Y10/100</f>
        <v>#N/A</v>
      </c>
      <c r="AC10" s="95" t="e">
        <f>VLOOKUP(U10,'BASE '!$A$4:$H$144,7,0)*Y10/100</f>
        <v>#N/A</v>
      </c>
      <c r="AD10" s="95" t="e">
        <f>VLOOKUP(U10,'BASE '!$A$4:$H$144,8,0)*Y10/100</f>
        <v>#N/A</v>
      </c>
      <c r="AE10" s="96" t="e">
        <f t="shared" si="7"/>
        <v>#N/A</v>
      </c>
      <c r="AF10" s="435"/>
      <c r="AG10" s="1" t="s">
        <v>155</v>
      </c>
      <c r="AH10" s="36" t="e">
        <f>SUMIFS($H$6:$H$165,$D$6:$D$165,AF9,CHOIX,AG10)</f>
        <v>#NAME?</v>
      </c>
      <c r="AI10" s="36" t="e">
        <f>SUMIFS($I$6:$I$165,$D$6:$D$165,AF9,CHOIX,AG10)</f>
        <v>#NAME?</v>
      </c>
      <c r="AJ10" s="36" t="e">
        <f>SUMIFS($J$6:$J$165,$D$6:$D$165,AF9,CHOIX,AG10)</f>
        <v>#NAME?</v>
      </c>
      <c r="AK10" s="36" t="e">
        <f>SUMIFS($K$6:$K$165,$D$6:$D$165,AF9,CHOIX,AG10)</f>
        <v>#NAME?</v>
      </c>
      <c r="AL10" s="36" t="e">
        <f>SUMIFS($L$6:$L$165,$D$6:$D$165,AF9,CHOIX,AG10)</f>
        <v>#NAME?</v>
      </c>
      <c r="AM10" s="36" t="e">
        <f>SUMIFS($M$6:$M$165,$D$6:$D$165,AF9,CHOIX,AG10)</f>
        <v>#NAME?</v>
      </c>
      <c r="AN10" s="1" t="s">
        <v>155</v>
      </c>
      <c r="AO10" s="83"/>
      <c r="AP10" s="63"/>
      <c r="AQ10" s="63"/>
      <c r="AR10" s="63"/>
      <c r="AS10" s="79"/>
      <c r="AT10" s="79"/>
      <c r="AU10" s="55" t="e">
        <f>SUMIFS($O$6:$O$165,$D$6:$D$165,AF9,CHOIX,AG10)</f>
        <v>#NAME?</v>
      </c>
      <c r="AV10" s="80" t="e">
        <f>SUMIFS($Q$6:$Q$165,$D$6:$D$165,AF9,CHOIX,AG10)</f>
        <v>#NAME?</v>
      </c>
      <c r="AW10" s="12"/>
      <c r="AX10" s="12"/>
      <c r="AY10" s="12"/>
      <c r="AZ10" s="8"/>
      <c r="BA10" s="148"/>
      <c r="BB10" s="148"/>
      <c r="BC10" s="148"/>
      <c r="BD10" s="10"/>
      <c r="BE10" s="10"/>
      <c r="BF10" s="10"/>
      <c r="BG10" s="10"/>
      <c r="BH10" s="10"/>
      <c r="BI10" s="10"/>
      <c r="BJ10" s="10"/>
      <c r="BK10" s="10"/>
      <c r="BL10" s="10"/>
      <c r="BM10" s="147">
        <f t="shared" si="8"/>
        <v>0</v>
      </c>
      <c r="BN10" s="147">
        <f t="shared" si="9"/>
        <v>0</v>
      </c>
      <c r="BO10" s="149"/>
      <c r="BP10" s="166"/>
      <c r="BQ10" s="12"/>
      <c r="BR10" s="12"/>
      <c r="BS10" s="476"/>
      <c r="BT10" s="481"/>
      <c r="BU10" s="475"/>
      <c r="BV10" s="545"/>
      <c r="BW10" s="580"/>
      <c r="BX10" s="576"/>
      <c r="BY10" s="497"/>
      <c r="BZ10" s="497"/>
      <c r="CA10" s="543"/>
      <c r="CB10" s="475"/>
      <c r="CC10" s="544"/>
      <c r="CV10" s="64"/>
      <c r="CW10" s="148"/>
      <c r="CX10" s="109"/>
      <c r="CY10" s="132"/>
      <c r="CZ10" s="143"/>
      <c r="DA10" s="127"/>
      <c r="DB10" s="50"/>
      <c r="DC10" s="111"/>
      <c r="DD10" s="114"/>
      <c r="DE10" s="114"/>
      <c r="DF10" s="114"/>
      <c r="DG10" s="114"/>
      <c r="DH10" s="112"/>
      <c r="DI10" s="33">
        <f t="shared" si="4"/>
        <v>0</v>
      </c>
      <c r="DJ10" s="52" t="b">
        <f>IF(AND(CZ10="CLIENT S+L",DA10="HUILE"),(DN10*3333.33+(VLOOKUP(DC10,'BASE '!$I$112:$J$142,2,0)))-((DN10*3333.33)*DB10),IF(AND(CZ10="CLIENT S+L",DA10="LAIT"),((DN10*952.4)-(DN10*952.4)*DB10),IF(CZ10="CLIENT O","OFFERT",IF(AND(DA10="HUILE",CZ10="CLIENT L"),(((VLOOKUP(DC10,'BASE '!$I$112:$J$142,2,0))+(VLOOKUP(DN10,'BASE '!#REF!,2,0)))),IF(AND(DA10="LAIT",CZ10="CLIENT L"),(DN10*952.4),IF(AND(DA10="HUILE",CZ10="CLIENT D"),(DN10*3809.53+(VLOOKUP(DC10,'BASE '!$I$112:$J$142,2,0))),IF(AND(DA10="LAIT",CZ10="CLIENT D"),(DN10*952.4),IF(AND(DA10="HUILE",CZ10="CLIENT S+D"),((DN10*3809.53+(VLOOKUP(DC10,'BASE '!$I$112:$J$142,2,0)))-((DN10*3809.53)*DB10)),IF(AND(DA10="LAIT",CZ10="CLIENT S+D"),((DN10*952.4)-((DN10*952.4)*DB10)),IF(AND(CZ10="CLIENT S",DA10="LAIT"),((DN10*952.4)-((DN10*952.4)*DB10)),IF(AND(DA10="HUILE",CZ10="CLIENT S"),(VLOOKUP(DC10,'BASE '!$I$112:$J$142,2,0)+(VLOOKUP(DN10,'BASE '!#REF!,2,0)))-(DB10*((VLOOKUP(DN10,'BASE '!#REF!,2,0)+(VLOOKUP(DC10,'BASE '!$I$112:$J$142,2,0))))))))))))))))</f>
        <v>0</v>
      </c>
      <c r="DK10" s="52" t="b">
        <f t="shared" si="5"/>
        <v>0</v>
      </c>
      <c r="DL10" s="53" t="b">
        <f t="shared" si="12"/>
        <v>0</v>
      </c>
      <c r="DM10" s="149" t="s">
        <v>175</v>
      </c>
      <c r="DN10" s="116">
        <f t="shared" si="13"/>
        <v>0</v>
      </c>
      <c r="DO10" s="124"/>
      <c r="DP10" s="42"/>
      <c r="DQ10" s="70"/>
      <c r="DR10" s="159"/>
      <c r="DS10" s="159"/>
      <c r="DT10" s="159"/>
      <c r="DU10" s="160"/>
      <c r="DV10" s="95"/>
      <c r="DW10" s="95"/>
      <c r="DX10" s="95"/>
      <c r="DY10" s="96"/>
    </row>
    <row r="11" spans="2:129" ht="15" customHeight="1" x14ac:dyDescent="0.3">
      <c r="B11" s="64"/>
      <c r="C11" s="148"/>
      <c r="D11" s="109"/>
      <c r="E11" s="63"/>
      <c r="F11" s="127"/>
      <c r="G11" s="50"/>
      <c r="H11" s="10"/>
      <c r="I11" s="10"/>
      <c r="J11" s="10"/>
      <c r="K11" s="10"/>
      <c r="L11" s="10"/>
      <c r="M11" s="39"/>
      <c r="N11" s="33">
        <f t="shared" si="0"/>
        <v>0</v>
      </c>
      <c r="O11" s="52" t="b">
        <f>IF(AND(E11="CLIENT S+L",F11="HUILE"),(S11*3333.33+(VLOOKUP(H11,'BASE '!$I$112:$J$142,2,0)))-((S11*3333.33)*G11),IF(AND(E11="CLIENT S+L",F11="LAIT"),((S11*952.4)-(S11*952.4)*G11),IF(E11="CLIENT O","OFFERT",IF(AND(F11="HUILE",E11="CLIENT L"),(((VLOOKUP(H11,'BASE '!$I$112:$J$142,2,0))+(VLOOKUP(S11,'BASE '!#REF!,2,0)))),IF(AND(F11="LAIT",E11="CLIENT L"),(S11*952.4),IF(AND(F11="HUILE",E11="CLIENT D"),(S11*3809.53+(VLOOKUP(H11,'BASE '!$I$112:$J$142,2,0))),IF(AND(F11="LAIT",E11="CLIENT D"),(S11*952.4),IF(AND(F11="HUILE",E11="CLIENT S+D"),((S11*3809.53+(VLOOKUP(H11,'BASE '!$I$112:$J$142,2,0)))-((S11*3809.53)*G11)),IF(AND(F11="LAIT",E11="CLIENT S+D"),((S11*952.4)-((S11*952.4)*G11)),IF(AND(E11="CLIENT S",F11="LAIT"),((S11*952.4)-((S11*952.4)*G11)),IF(AND(F11="HUILE",E11="CLIENT S"),(VLOOKUP(H11,'BASE '!$I$112:$J$142,2,0)+(VLOOKUP(S11,'BASE '!#REF!,2,0)))-(G11*((VLOOKUP(S11,'BASE '!#REF!,2,0)+(VLOOKUP(H11,'BASE '!$I$112:$J$142,2,0))))))))))))))))</f>
        <v>0</v>
      </c>
      <c r="P11" s="52" t="b">
        <f t="shared" si="1"/>
        <v>0</v>
      </c>
      <c r="Q11" s="53" t="b">
        <f t="shared" si="2"/>
        <v>0</v>
      </c>
      <c r="R11" s="152" t="s">
        <v>175</v>
      </c>
      <c r="S11" s="184">
        <f t="shared" si="6"/>
        <v>0</v>
      </c>
      <c r="T11" s="124"/>
      <c r="U11" s="41" t="s">
        <v>175</v>
      </c>
      <c r="V11" s="70" t="e">
        <f>VLOOKUP(U11,'BASE '!$A$4:$H$144,2,0)</f>
        <v>#N/A</v>
      </c>
      <c r="W11" s="159"/>
      <c r="X11" s="159"/>
      <c r="Y11" s="160"/>
      <c r="Z11" s="158" t="e">
        <f>VLOOKUP(U11,'BASE '!$A$4:$H$144,3,0)</f>
        <v>#N/A</v>
      </c>
      <c r="AA11" s="94" t="e">
        <f t="shared" si="3"/>
        <v>#N/A</v>
      </c>
      <c r="AB11" s="95" t="e">
        <f>VLOOKUP(U11,'BASE '!$A$4:$H$144,6,0)*Y11/100</f>
        <v>#N/A</v>
      </c>
      <c r="AC11" s="95" t="e">
        <f>VLOOKUP(U11,'BASE '!$A$4:$H$144,7,0)*Y11/100</f>
        <v>#N/A</v>
      </c>
      <c r="AD11" s="95" t="e">
        <f>VLOOKUP(U11,'BASE '!$A$4:$H$144,8,0)*Y11/100</f>
        <v>#N/A</v>
      </c>
      <c r="AE11" s="96" t="e">
        <f t="shared" si="7"/>
        <v>#N/A</v>
      </c>
      <c r="AF11" s="435" t="s">
        <v>6</v>
      </c>
      <c r="AG11" s="91" t="s">
        <v>157</v>
      </c>
      <c r="AH11" s="36" t="e">
        <f>SUMIFS($H$6:$H$165,$D$6:$D$165,AF11,CHOIX,AG11)</f>
        <v>#NAME?</v>
      </c>
      <c r="AI11" s="36" t="e">
        <f>SUMIFS($I$6:$I$165,$D$6:$D$165,AF11,CHOIX,AG11)</f>
        <v>#NAME?</v>
      </c>
      <c r="AJ11" s="36" t="e">
        <f>SUMIFS($J$6:$J$165,$D$6:$D$165,AF11,CHOIX,AG11)</f>
        <v>#NAME?</v>
      </c>
      <c r="AK11" s="36" t="e">
        <f>SUMIFS($K$6:$K$165,$D$6:$D$165,AF11,CHOIX,AG11)</f>
        <v>#NAME?</v>
      </c>
      <c r="AL11" s="36" t="e">
        <f>SUMIFS($L$6:$L$165,$D$6:$D$165,AF11,CHOIX,AG11)</f>
        <v>#NAME?</v>
      </c>
      <c r="AM11" s="36" t="e">
        <f>SUMIFS($M$6:$M$165,$D$6:$D$165,AF11,CHOIX,AG11)</f>
        <v>#NAME?</v>
      </c>
      <c r="AN11" s="91" t="s">
        <v>157</v>
      </c>
      <c r="AO11" s="83"/>
      <c r="AP11" s="63"/>
      <c r="AQ11" s="63"/>
      <c r="AR11" s="63"/>
      <c r="AS11" s="79"/>
      <c r="AT11" s="79"/>
      <c r="AU11" s="55" t="e">
        <f>SUMIFS($O$6:$O$165,$D$6:$D$165,AF11,CHOIX,AG11)</f>
        <v>#NAME?</v>
      </c>
      <c r="AV11" s="80" t="e">
        <f>SUMIFS($Q$6:$Q$165,$D$6:$D$165,AF11,CHOIX,AG11)</f>
        <v>#NAME?</v>
      </c>
      <c r="AW11" s="12"/>
      <c r="AX11" s="12"/>
      <c r="AY11" s="12"/>
      <c r="AZ11" s="8"/>
      <c r="BA11" s="148"/>
      <c r="BB11" s="148"/>
      <c r="BC11" s="148"/>
      <c r="BD11" s="10"/>
      <c r="BE11" s="10"/>
      <c r="BF11" s="10"/>
      <c r="BG11" s="10"/>
      <c r="BH11" s="10"/>
      <c r="BI11" s="10"/>
      <c r="BJ11" s="10"/>
      <c r="BK11" s="10"/>
      <c r="BL11" s="10"/>
      <c r="BM11" s="147">
        <f t="shared" si="8"/>
        <v>0</v>
      </c>
      <c r="BN11" s="147">
        <f t="shared" si="9"/>
        <v>0</v>
      </c>
      <c r="BO11" s="149"/>
      <c r="BP11" s="166"/>
      <c r="BQ11" s="12"/>
      <c r="BR11" s="12"/>
      <c r="BS11" s="476" t="s">
        <v>14</v>
      </c>
      <c r="BT11" s="481"/>
      <c r="BU11" s="475">
        <v>39</v>
      </c>
      <c r="BV11" s="545">
        <f t="shared" ref="BV11" si="16">BU11*BT11</f>
        <v>0</v>
      </c>
      <c r="BW11" s="580"/>
      <c r="BX11" s="576">
        <v>75</v>
      </c>
      <c r="BY11" s="497">
        <f>BG68</f>
        <v>0</v>
      </c>
      <c r="BZ11" s="496" t="e">
        <f>K166</f>
        <v>#NAME?</v>
      </c>
      <c r="CA11" s="542"/>
      <c r="CB11" s="475"/>
      <c r="CC11" s="544">
        <f t="shared" ref="CC11" si="17">BY11*CB11</f>
        <v>0</v>
      </c>
      <c r="CV11" s="64"/>
      <c r="CW11" s="148"/>
      <c r="CX11" s="109"/>
      <c r="CY11" s="132"/>
      <c r="CZ11" s="143"/>
      <c r="DA11" s="127"/>
      <c r="DB11" s="50"/>
      <c r="DC11" s="114"/>
      <c r="DD11" s="114"/>
      <c r="DE11" s="114"/>
      <c r="DF11" s="114"/>
      <c r="DG11" s="114"/>
      <c r="DH11" s="112"/>
      <c r="DI11" s="33">
        <f t="shared" si="4"/>
        <v>0</v>
      </c>
      <c r="DJ11" s="52" t="b">
        <f>IF(AND(CZ11="CLIENT S+L",DA11="HUILE"),(DN11*3333.33+(VLOOKUP(DC11,'BASE '!$I$112:$J$142,2,0)))-((DN11*3333.33)*DB11),IF(AND(CZ11="CLIENT S+L",DA11="LAIT"),((DN11*952.4)-(DN11*952.4)*DB11),IF(CZ11="CLIENT O","OFFERT",IF(AND(DA11="HUILE",CZ11="CLIENT L"),(((VLOOKUP(DC11,'BASE '!$I$112:$J$142,2,0))+(VLOOKUP(DN11,'BASE '!#REF!,2,0)))),IF(AND(DA11="LAIT",CZ11="CLIENT L"),(DN11*952.4),IF(AND(DA11="HUILE",CZ11="CLIENT D"),(DN11*3809.53+(VLOOKUP(DC11,'BASE '!$I$112:$J$142,2,0))),IF(AND(DA11="LAIT",CZ11="CLIENT D"),(DN11*952.4),IF(AND(DA11="HUILE",CZ11="CLIENT S+D"),((DN11*3809.53+(VLOOKUP(DC11,'BASE '!$I$112:$J$142,2,0)))-((DN11*3809.53)*DB11)),IF(AND(DA11="LAIT",CZ11="CLIENT S+D"),((DN11*952.4)-((DN11*952.4)*DB11)),IF(AND(CZ11="CLIENT S",DA11="LAIT"),((DN11*952.4)-((DN11*952.4)*DB11)),IF(AND(DA11="HUILE",CZ11="CLIENT S"),(VLOOKUP(DC11,'BASE '!$I$112:$J$142,2,0)+(VLOOKUP(DN11,'BASE '!#REF!,2,0)))-(DB11*((VLOOKUP(DN11,'BASE '!#REF!,2,0)+(VLOOKUP(DC11,'BASE '!$I$112:$J$142,2,0))))))))))))))))</f>
        <v>0</v>
      </c>
      <c r="DK11" s="52" t="b">
        <f t="shared" si="5"/>
        <v>0</v>
      </c>
      <c r="DL11" s="53" t="b">
        <f t="shared" si="12"/>
        <v>0</v>
      </c>
      <c r="DM11" s="149" t="s">
        <v>175</v>
      </c>
      <c r="DN11" s="116">
        <f t="shared" si="13"/>
        <v>0</v>
      </c>
      <c r="DO11" s="124"/>
      <c r="DP11" s="42"/>
      <c r="DQ11" s="70"/>
      <c r="DR11" s="159"/>
      <c r="DS11" s="159"/>
      <c r="DT11" s="159"/>
      <c r="DU11" s="160"/>
      <c r="DV11" s="95"/>
      <c r="DW11" s="95"/>
      <c r="DX11" s="95"/>
      <c r="DY11" s="96"/>
    </row>
    <row r="12" spans="2:129" ht="15" customHeight="1" x14ac:dyDescent="0.3">
      <c r="B12" s="64"/>
      <c r="C12" s="148"/>
      <c r="D12" s="109"/>
      <c r="E12" s="63"/>
      <c r="F12" s="127"/>
      <c r="G12" s="50"/>
      <c r="H12" s="10"/>
      <c r="I12" s="10"/>
      <c r="J12" s="10"/>
      <c r="K12" s="10"/>
      <c r="L12" s="10"/>
      <c r="M12" s="39"/>
      <c r="N12" s="33">
        <f t="shared" si="0"/>
        <v>0</v>
      </c>
      <c r="O12" s="52" t="b">
        <f>IF(AND(E12="CLIENT S+L",F12="HUILE"),(S12*3333.33+(VLOOKUP(H12,'BASE '!$I$112:$J$142,2,0)))-((S12*3333.33)*G12),IF(AND(E12="CLIENT S+L",F12="LAIT"),((S12*952.4)-(S12*952.4)*G12),IF(E12="CLIENT O","OFFERT",IF(AND(F12="HUILE",E12="CLIENT L"),(((VLOOKUP(H12,'BASE '!$I$112:$J$142,2,0))+(VLOOKUP(S12,'BASE '!#REF!,2,0)))),IF(AND(F12="LAIT",E12="CLIENT L"),(S12*952.4),IF(AND(F12="HUILE",E12="CLIENT D"),(S12*3809.53+(VLOOKUP(H12,'BASE '!$I$112:$J$142,2,0))),IF(AND(F12="LAIT",E12="CLIENT D"),(S12*952.4),IF(AND(F12="HUILE",E12="CLIENT S+D"),((S12*3809.53+(VLOOKUP(H12,'BASE '!$I$112:$J$142,2,0)))-((S12*3809.53)*G12)),IF(AND(F12="LAIT",E12="CLIENT S+D"),((S12*952.4)-((S12*952.4)*G12)),IF(AND(E12="CLIENT S",F12="LAIT"),((S12*952.4)-((S12*952.4)*G12)),IF(AND(F12="HUILE",E12="CLIENT S"),(VLOOKUP(H12,'BASE '!$I$112:$J$142,2,0)+(VLOOKUP(S12,'BASE '!#REF!,2,0)))-(G12*((VLOOKUP(S12,'BASE '!#REF!,2,0)+(VLOOKUP(H12,'BASE '!$I$112:$J$142,2,0))))))))))))))))</f>
        <v>0</v>
      </c>
      <c r="P12" s="52" t="b">
        <f t="shared" si="1"/>
        <v>0</v>
      </c>
      <c r="Q12" s="53" t="b">
        <f t="shared" si="2"/>
        <v>0</v>
      </c>
      <c r="R12" s="152" t="s">
        <v>175</v>
      </c>
      <c r="S12" s="184">
        <f t="shared" si="6"/>
        <v>0</v>
      </c>
      <c r="T12" s="124"/>
      <c r="U12" s="41" t="s">
        <v>175</v>
      </c>
      <c r="V12" s="70" t="e">
        <f>VLOOKUP(U12,'BASE '!$A$4:$H$144,2,0)</f>
        <v>#N/A</v>
      </c>
      <c r="W12" s="159"/>
      <c r="X12" s="159"/>
      <c r="Y12" s="160"/>
      <c r="Z12" s="158" t="e">
        <f>VLOOKUP(U12,'BASE '!$A$4:$H$144,3,0)</f>
        <v>#N/A</v>
      </c>
      <c r="AA12" s="94" t="e">
        <f t="shared" si="3"/>
        <v>#N/A</v>
      </c>
      <c r="AB12" s="95" t="e">
        <f>VLOOKUP(U12,'BASE '!$A$4:$H$144,6,0)*Y12/100</f>
        <v>#N/A</v>
      </c>
      <c r="AC12" s="95" t="e">
        <f>VLOOKUP(U12,'BASE '!$A$4:$H$144,7,0)*Y12/100</f>
        <v>#N/A</v>
      </c>
      <c r="AD12" s="95" t="e">
        <f>VLOOKUP(U12,'BASE '!$A$4:$H$144,8,0)*Y12/100</f>
        <v>#N/A</v>
      </c>
      <c r="AE12" s="96" t="e">
        <f t="shared" si="7"/>
        <v>#N/A</v>
      </c>
      <c r="AF12" s="435"/>
      <c r="AG12" s="1" t="s">
        <v>155</v>
      </c>
      <c r="AH12" s="36" t="e">
        <f>SUMIFS($H$6:$H$165,$D$6:$D$165,AF11,CHOIX,AG12)</f>
        <v>#NAME?</v>
      </c>
      <c r="AI12" s="36" t="e">
        <f>SUMIFS($I$6:$I$165,$D$6:$D$165,AF11,CHOIX,AG12)</f>
        <v>#NAME?</v>
      </c>
      <c r="AJ12" s="36" t="e">
        <f>SUMIFS($J$6:$J$165,$D$6:$D$165,AF11,CHOIX,AG12)</f>
        <v>#NAME?</v>
      </c>
      <c r="AK12" s="36" t="e">
        <f>SUMIFS($K$6:$K$165,$D$6:$D$165,AF11,CHOIX,AG12)</f>
        <v>#NAME?</v>
      </c>
      <c r="AL12" s="36" t="e">
        <f>SUMIFS($L$6:$L$165,$D$6:$D$165,AF11,CHOIX,AG12)</f>
        <v>#NAME?</v>
      </c>
      <c r="AM12" s="36" t="e">
        <f>SUMIFS($M$6:$M$165,$D$6:$D$165,AF11,CHOIX,AG12)</f>
        <v>#NAME?</v>
      </c>
      <c r="AN12" s="1" t="s">
        <v>155</v>
      </c>
      <c r="AO12" s="83"/>
      <c r="AP12" s="63"/>
      <c r="AQ12" s="63"/>
      <c r="AR12" s="63"/>
      <c r="AS12" s="79"/>
      <c r="AT12" s="79"/>
      <c r="AU12" s="55" t="e">
        <f>SUMIFS($O$6:$O$165,$D$6:$D$165,AF11,CHOIX,AG12)</f>
        <v>#NAME?</v>
      </c>
      <c r="AV12" s="80" t="e">
        <f>SUMIFS($Q$6:$Q$165,$D$6:$D$165,AF11,CHOIX,AG12)</f>
        <v>#NAME?</v>
      </c>
      <c r="AW12" s="12"/>
      <c r="AX12" s="12"/>
      <c r="AY12" s="12"/>
      <c r="AZ12" s="8"/>
      <c r="BA12" s="148"/>
      <c r="BB12" s="148"/>
      <c r="BC12" s="148"/>
      <c r="BD12" s="10"/>
      <c r="BE12" s="10"/>
      <c r="BF12" s="10"/>
      <c r="BG12" s="10"/>
      <c r="BH12" s="10"/>
      <c r="BI12" s="10"/>
      <c r="BJ12" s="10"/>
      <c r="BK12" s="10"/>
      <c r="BL12" s="10"/>
      <c r="BM12" s="147">
        <f>(BD12*0.1)+(BE12*0.25)+(BF12*0.5)+(BG12*0.75)+(BH12*1)+(BI12*5)</f>
        <v>0</v>
      </c>
      <c r="BN12" s="147">
        <f t="shared" si="9"/>
        <v>0</v>
      </c>
      <c r="BO12" s="149"/>
      <c r="BP12" s="166"/>
      <c r="BQ12" s="12"/>
      <c r="BR12" s="12"/>
      <c r="BS12" s="476"/>
      <c r="BT12" s="481"/>
      <c r="BU12" s="475"/>
      <c r="BV12" s="545"/>
      <c r="BW12" s="580"/>
      <c r="BX12" s="576"/>
      <c r="BY12" s="497"/>
      <c r="BZ12" s="497"/>
      <c r="CA12" s="543"/>
      <c r="CB12" s="475"/>
      <c r="CC12" s="544"/>
      <c r="CV12" s="64"/>
      <c r="CW12" s="148"/>
      <c r="CX12" s="109"/>
      <c r="CY12" s="132"/>
      <c r="CZ12" s="143"/>
      <c r="DA12" s="127"/>
      <c r="DB12" s="50"/>
      <c r="DC12" s="114"/>
      <c r="DD12" s="114"/>
      <c r="DE12" s="114"/>
      <c r="DF12" s="114"/>
      <c r="DG12" s="114"/>
      <c r="DH12" s="112"/>
      <c r="DI12" s="33">
        <f t="shared" si="4"/>
        <v>0</v>
      </c>
      <c r="DJ12" s="52" t="b">
        <f>IF(AND(CZ12="CLIENT S+L",DA12="HUILE"),(DN12*3333.33+(VLOOKUP(DC12,'BASE '!$I$112:$J$142,2,0)))-((DN12*3333.33)*DB12),IF(AND(CZ12="CLIENT S+L",DA12="LAIT"),((DN12*952.4)-(DN12*952.4)*DB12),IF(CZ12="CLIENT O","OFFERT",IF(AND(DA12="HUILE",CZ12="CLIENT L"),(((VLOOKUP(DC12,'BASE '!$I$112:$J$142,2,0))+(VLOOKUP(DN12,'BASE '!#REF!,2,0)))),IF(AND(DA12="LAIT",CZ12="CLIENT L"),(DN12*952.4),IF(AND(DA12="HUILE",CZ12="CLIENT D"),(DN12*3809.53+(VLOOKUP(DC12,'BASE '!$I$112:$J$142,2,0))),IF(AND(DA12="LAIT",CZ12="CLIENT D"),(DN12*952.4),IF(AND(DA12="HUILE",CZ12="CLIENT S+D"),((DN12*3809.53+(VLOOKUP(DC12,'BASE '!$I$112:$J$142,2,0)))-((DN12*3809.53)*DB12)),IF(AND(DA12="LAIT",CZ12="CLIENT S+D"),((DN12*952.4)-((DN12*952.4)*DB12)),IF(AND(CZ12="CLIENT S",DA12="LAIT"),((DN12*952.4)-((DN12*952.4)*DB12)),IF(AND(DA12="HUILE",CZ12="CLIENT S"),(VLOOKUP(DC12,'BASE '!$I$112:$J$142,2,0)+(VLOOKUP(DN12,'BASE '!#REF!,2,0)))-(DB12*((VLOOKUP(DN12,'BASE '!#REF!,2,0)+(VLOOKUP(DC12,'BASE '!$I$112:$J$142,2,0))))))))))))))))</f>
        <v>0</v>
      </c>
      <c r="DK12" s="52" t="b">
        <f t="shared" si="5"/>
        <v>0</v>
      </c>
      <c r="DL12" s="53" t="b">
        <f t="shared" si="12"/>
        <v>0</v>
      </c>
      <c r="DM12" s="149" t="s">
        <v>175</v>
      </c>
      <c r="DN12" s="116">
        <f t="shared" si="13"/>
        <v>0</v>
      </c>
      <c r="DO12" s="124"/>
      <c r="DP12" s="42"/>
      <c r="DQ12" s="70"/>
      <c r="DR12" s="159"/>
      <c r="DS12" s="159"/>
      <c r="DT12" s="159"/>
      <c r="DU12" s="160"/>
      <c r="DV12" s="95"/>
      <c r="DW12" s="95"/>
      <c r="DX12" s="95"/>
      <c r="DY12" s="96"/>
    </row>
    <row r="13" spans="2:129" ht="15" customHeight="1" x14ac:dyDescent="0.3">
      <c r="B13" s="64"/>
      <c r="C13" s="148"/>
      <c r="D13" s="109"/>
      <c r="E13" s="63"/>
      <c r="F13" s="127"/>
      <c r="G13" s="50"/>
      <c r="H13" s="10"/>
      <c r="I13" s="10"/>
      <c r="J13" s="10"/>
      <c r="K13" s="10"/>
      <c r="L13" s="10"/>
      <c r="M13" s="39"/>
      <c r="N13" s="33">
        <f t="shared" si="0"/>
        <v>0</v>
      </c>
      <c r="O13" s="52" t="b">
        <f>IF(AND(E13="CLIENT S+L",F13="HUILE"),(S13*3333.33+(VLOOKUP(H13,'BASE '!$I$112:$J$142,2,0)))-((S13*3333.33)*G13),IF(AND(E13="CLIENT S+L",F13="LAIT"),((S13*952.4)-(S13*952.4)*G13),IF(E13="CLIENT O","OFFERT",IF(AND(F13="HUILE",E13="CLIENT L"),(((VLOOKUP(H13,'BASE '!$I$112:$J$142,2,0))+(VLOOKUP(S13,'BASE '!#REF!,2,0)))),IF(AND(F13="LAIT",E13="CLIENT L"),(S13*952.4),IF(AND(F13="HUILE",E13="CLIENT D"),(S13*3809.53+(VLOOKUP(H13,'BASE '!$I$112:$J$142,2,0))),IF(AND(F13="LAIT",E13="CLIENT D"),(S13*952.4),IF(AND(F13="HUILE",E13="CLIENT S+D"),((S13*3809.53+(VLOOKUP(H13,'BASE '!$I$112:$J$142,2,0)))-((S13*3809.53)*G13)),IF(AND(F13="LAIT",E13="CLIENT S+D"),((S13*952.4)-((S13*952.4)*G13)),IF(AND(E13="CLIENT S",F13="LAIT"),((S13*952.4)-((S13*952.4)*G13)),IF(AND(F13="HUILE",E13="CLIENT S"),(VLOOKUP(H13,'BASE '!$I$112:$J$142,2,0)+(VLOOKUP(S13,'BASE '!#REF!,2,0)))-(G13*((VLOOKUP(S13,'BASE '!#REF!,2,0)+(VLOOKUP(H13,'BASE '!$I$112:$J$142,2,0))))))))))))))))</f>
        <v>0</v>
      </c>
      <c r="P13" s="52" t="b">
        <f t="shared" si="1"/>
        <v>0</v>
      </c>
      <c r="Q13" s="53" t="b">
        <f t="shared" si="2"/>
        <v>0</v>
      </c>
      <c r="R13" s="152" t="s">
        <v>175</v>
      </c>
      <c r="S13" s="184">
        <f t="shared" si="6"/>
        <v>0</v>
      </c>
      <c r="T13" s="124"/>
      <c r="U13" s="41" t="s">
        <v>175</v>
      </c>
      <c r="V13" s="70" t="e">
        <f>VLOOKUP(U13,'BASE '!$A$4:$H$144,2,0)</f>
        <v>#N/A</v>
      </c>
      <c r="W13" s="159"/>
      <c r="X13" s="159"/>
      <c r="Y13" s="160"/>
      <c r="Z13" s="158" t="e">
        <f>VLOOKUP(U13,'BASE '!$A$4:$H$144,3,0)</f>
        <v>#N/A</v>
      </c>
      <c r="AA13" s="94" t="e">
        <f t="shared" si="3"/>
        <v>#N/A</v>
      </c>
      <c r="AB13" s="95" t="e">
        <f>VLOOKUP(U13,'BASE '!$A$4:$H$144,6,0)*Y13/100</f>
        <v>#N/A</v>
      </c>
      <c r="AC13" s="95" t="e">
        <f>VLOOKUP(U13,'BASE '!$A$4:$H$144,7,0)*Y13/100</f>
        <v>#N/A</v>
      </c>
      <c r="AD13" s="95" t="e">
        <f>VLOOKUP(U13,'BASE '!$A$4:$H$144,8,0)*Y13/100</f>
        <v>#N/A</v>
      </c>
      <c r="AE13" s="96" t="e">
        <f t="shared" si="7"/>
        <v>#N/A</v>
      </c>
      <c r="AF13" s="435" t="s">
        <v>7</v>
      </c>
      <c r="AG13" s="91" t="s">
        <v>157</v>
      </c>
      <c r="AH13" s="36" t="e">
        <f>SUMIFS($H$6:$H$165,$D$6:$D$165,AF13,CHOIX,AG13)</f>
        <v>#NAME?</v>
      </c>
      <c r="AI13" s="36" t="e">
        <f>SUMIFS($I$6:$I$165,$D$6:$D$165,AF13,CHOIX,AG13)</f>
        <v>#NAME?</v>
      </c>
      <c r="AJ13" s="36" t="e">
        <f>SUMIFS($J$6:$J$165,$D$6:$D$165,AF13,CHOIX,AG13)</f>
        <v>#NAME?</v>
      </c>
      <c r="AK13" s="36" t="e">
        <f>SUMIFS($K$6:$K$165,$D$6:$D$165,AF13,CHOIX,AG13)</f>
        <v>#NAME?</v>
      </c>
      <c r="AL13" s="36" t="e">
        <f>SUMIFS($L$6:$L$165,$D$6:$D$165,AF13,CHOIX,AG13)</f>
        <v>#NAME?</v>
      </c>
      <c r="AM13" s="36" t="e">
        <f>SUMIFS($M$6:$M$165,$D$6:$D$165,AF13,CHOIX,AG13)</f>
        <v>#NAME?</v>
      </c>
      <c r="AN13" s="91" t="s">
        <v>157</v>
      </c>
      <c r="AO13" s="83"/>
      <c r="AP13" s="63"/>
      <c r="AQ13" s="63"/>
      <c r="AR13" s="63"/>
      <c r="AS13" s="79"/>
      <c r="AT13" s="79"/>
      <c r="AU13" s="55" t="e">
        <f>SUMIFS($O$6:$O$165,$D$6:$D$165,AF13,CHOIX,AG13)</f>
        <v>#NAME?</v>
      </c>
      <c r="AV13" s="80" t="e">
        <f>SUMIFS($Q$6:$Q$165,$D$6:$D$165,AF13,CHOIX,AG13)</f>
        <v>#NAME?</v>
      </c>
      <c r="AW13" s="12"/>
      <c r="AX13" s="12"/>
      <c r="AY13" s="12"/>
      <c r="AZ13" s="8"/>
      <c r="BA13" s="148"/>
      <c r="BB13" s="148"/>
      <c r="BC13" s="148"/>
      <c r="BD13" s="10"/>
      <c r="BE13" s="10"/>
      <c r="BF13" s="10"/>
      <c r="BG13" s="10"/>
      <c r="BH13" s="10"/>
      <c r="BI13" s="10"/>
      <c r="BJ13" s="10"/>
      <c r="BK13" s="10"/>
      <c r="BL13" s="10"/>
      <c r="BM13" s="147">
        <f t="shared" si="8"/>
        <v>0</v>
      </c>
      <c r="BN13" s="147">
        <f t="shared" si="9"/>
        <v>0</v>
      </c>
      <c r="BO13" s="149"/>
      <c r="BP13" s="166"/>
      <c r="BQ13" s="12"/>
      <c r="BR13" s="12"/>
      <c r="BS13" s="476" t="s">
        <v>121</v>
      </c>
      <c r="BT13" s="481"/>
      <c r="BU13" s="477"/>
      <c r="BV13" s="545">
        <f t="shared" ref="BV13" si="18">BU13*BT13</f>
        <v>0</v>
      </c>
      <c r="BW13" s="580"/>
      <c r="BX13" s="576">
        <v>1</v>
      </c>
      <c r="BY13" s="497">
        <f>BH69</f>
        <v>0</v>
      </c>
      <c r="BZ13" s="496" t="e">
        <f>L166</f>
        <v>#NAME?</v>
      </c>
      <c r="CA13" s="542"/>
      <c r="CB13" s="477"/>
      <c r="CC13" s="544">
        <f t="shared" ref="CC13" si="19">BY13*CB13</f>
        <v>0</v>
      </c>
      <c r="CV13" s="64"/>
      <c r="CW13" s="148"/>
      <c r="CX13" s="109"/>
      <c r="CY13" s="132"/>
      <c r="CZ13" s="143"/>
      <c r="DA13" s="127"/>
      <c r="DB13" s="50"/>
      <c r="DC13" s="111"/>
      <c r="DD13" s="111"/>
      <c r="DE13" s="111"/>
      <c r="DF13" s="111"/>
      <c r="DG13" s="111"/>
      <c r="DH13" s="112"/>
      <c r="DI13" s="33">
        <f t="shared" si="4"/>
        <v>0</v>
      </c>
      <c r="DJ13" s="52" t="b">
        <f>IF(AND(CZ13="CLIENT S+L",DA13="HUILE"),(DN13*3333.33+(VLOOKUP(DC13,'BASE '!$I$112:$J$142,2,0)))-((DN13*3333.33)*DB13),IF(AND(CZ13="CLIENT S+L",DA13="LAIT"),((DN13*952.4)-(DN13*952.4)*DB13),IF(CZ13="CLIENT O","OFFERT",IF(AND(DA13="HUILE",CZ13="CLIENT L"),(((VLOOKUP(DC13,'BASE '!$I$112:$J$142,2,0))+(VLOOKUP(DN13,'BASE '!#REF!,2,0)))),IF(AND(DA13="LAIT",CZ13="CLIENT L"),(DN13*952.4),IF(AND(DA13="HUILE",CZ13="CLIENT D"),(DN13*3809.53+(VLOOKUP(DC13,'BASE '!$I$112:$J$142,2,0))),IF(AND(DA13="LAIT",CZ13="CLIENT D"),(DN13*952.4),IF(AND(DA13="HUILE",CZ13="CLIENT S+D"),((DN13*3809.53+(VLOOKUP(DC13,'BASE '!$I$112:$J$142,2,0)))-((DN13*3809.53)*DB13)),IF(AND(DA13="LAIT",CZ13="CLIENT S+D"),((DN13*952.4)-((DN13*952.4)*DB13)),IF(AND(CZ13="CLIENT S",DA13="LAIT"),((DN13*952.4)-((DN13*952.4)*DB13)),IF(AND(DA13="HUILE",CZ13="CLIENT S"),(VLOOKUP(DC13,'BASE '!$I$112:$J$142,2,0)+(VLOOKUP(DN13,'BASE '!#REF!,2,0)))-(DB13*((VLOOKUP(DN13,'BASE '!#REF!,2,0)+(VLOOKUP(DC13,'BASE '!$I$112:$J$142,2,0))))))))))))))))</f>
        <v>0</v>
      </c>
      <c r="DK13" s="52" t="b">
        <f t="shared" si="5"/>
        <v>0</v>
      </c>
      <c r="DL13" s="53" t="b">
        <f t="shared" si="12"/>
        <v>0</v>
      </c>
      <c r="DM13" s="149" t="s">
        <v>175</v>
      </c>
      <c r="DN13" s="116">
        <f t="shared" si="13"/>
        <v>0</v>
      </c>
      <c r="DO13" s="124"/>
      <c r="DP13" s="42"/>
      <c r="DQ13" s="70"/>
      <c r="DR13" s="159"/>
      <c r="DS13" s="159"/>
      <c r="DT13" s="159"/>
      <c r="DU13" s="160"/>
      <c r="DV13" s="95"/>
      <c r="DW13" s="95"/>
      <c r="DX13" s="95"/>
      <c r="DY13" s="96"/>
    </row>
    <row r="14" spans="2:129" ht="15" customHeight="1" x14ac:dyDescent="0.3">
      <c r="B14" s="64"/>
      <c r="C14" s="148"/>
      <c r="D14" s="109"/>
      <c r="E14" s="63"/>
      <c r="F14" s="127"/>
      <c r="G14" s="50"/>
      <c r="H14" s="10"/>
      <c r="I14" s="10"/>
      <c r="J14" s="10"/>
      <c r="K14" s="10"/>
      <c r="L14" s="10"/>
      <c r="M14" s="39"/>
      <c r="N14" s="33">
        <f t="shared" si="0"/>
        <v>0</v>
      </c>
      <c r="O14" s="52" t="b">
        <f>IF(AND(E14="CLIENT S+L",F14="HUILE"),(S14*3333.33+(VLOOKUP(H14,'BASE '!$I$112:$J$142,2,0)))-((S14*3333.33)*G14),IF(AND(E14="CLIENT S+L",F14="LAIT"),((S14*952.4)-(S14*952.4)*G14),IF(E14="CLIENT O","OFFERT",IF(AND(F14="HUILE",E14="CLIENT L"),(((VLOOKUP(H14,'BASE '!$I$112:$J$142,2,0))+(VLOOKUP(S14,'BASE '!#REF!,2,0)))),IF(AND(F14="LAIT",E14="CLIENT L"),(S14*952.4),IF(AND(F14="HUILE",E14="CLIENT D"),(S14*3809.53+(VLOOKUP(H14,'BASE '!$I$112:$J$142,2,0))),IF(AND(F14="LAIT",E14="CLIENT D"),(S14*952.4),IF(AND(F14="HUILE",E14="CLIENT S+D"),((S14*3809.53+(VLOOKUP(H14,'BASE '!$I$112:$J$142,2,0)))-((S14*3809.53)*G14)),IF(AND(F14="LAIT",E14="CLIENT S+D"),((S14*952.4)-((S14*952.4)*G14)),IF(AND(E14="CLIENT S",F14="LAIT"),((S14*952.4)-((S14*952.4)*G14)),IF(AND(F14="HUILE",E14="CLIENT S"),(VLOOKUP(H14,'BASE '!$I$112:$J$142,2,0)+(VLOOKUP(S14,'BASE '!#REF!,2,0)))-(G14*((VLOOKUP(S14,'BASE '!#REF!,2,0)+(VLOOKUP(H14,'BASE '!$I$112:$J$142,2,0))))))))))))))))</f>
        <v>0</v>
      </c>
      <c r="P14" s="52" t="b">
        <f t="shared" si="1"/>
        <v>0</v>
      </c>
      <c r="Q14" s="53" t="b">
        <f t="shared" si="2"/>
        <v>0</v>
      </c>
      <c r="R14" s="152" t="s">
        <v>175</v>
      </c>
      <c r="S14" s="184">
        <f t="shared" si="6"/>
        <v>0</v>
      </c>
      <c r="T14" s="124"/>
      <c r="U14" s="41" t="s">
        <v>175</v>
      </c>
      <c r="V14" s="70" t="e">
        <f>VLOOKUP(U14,'BASE '!$A$4:$H$144,2,0)</f>
        <v>#N/A</v>
      </c>
      <c r="W14" s="159"/>
      <c r="X14" s="159"/>
      <c r="Y14" s="160"/>
      <c r="Z14" s="158" t="e">
        <f>VLOOKUP(U14,'BASE '!$A$4:$H$144,3,0)</f>
        <v>#N/A</v>
      </c>
      <c r="AA14" s="94" t="e">
        <f t="shared" si="3"/>
        <v>#N/A</v>
      </c>
      <c r="AB14" s="95" t="e">
        <f>VLOOKUP(U14,'BASE '!$A$4:$H$144,6,0)*Y14/100</f>
        <v>#N/A</v>
      </c>
      <c r="AC14" s="95" t="e">
        <f>VLOOKUP(U14,'BASE '!$A$4:$H$144,7,0)*Y14/100</f>
        <v>#N/A</v>
      </c>
      <c r="AD14" s="95" t="e">
        <f>VLOOKUP(U14,'BASE '!$A$4:$H$144,8,0)*Y14/100</f>
        <v>#N/A</v>
      </c>
      <c r="AE14" s="96" t="e">
        <f t="shared" si="7"/>
        <v>#N/A</v>
      </c>
      <c r="AF14" s="435"/>
      <c r="AG14" s="1" t="s">
        <v>155</v>
      </c>
      <c r="AH14" s="36" t="e">
        <f>SUMIFS($H$6:$H$165,$D$6:$D$165,AF13,CHOIX,AG14)</f>
        <v>#NAME?</v>
      </c>
      <c r="AI14" s="36" t="e">
        <f>SUMIFS($I$6:$I$165,$D$6:$D$165,AF13,CHOIX,AG14)</f>
        <v>#NAME?</v>
      </c>
      <c r="AJ14" s="36" t="e">
        <f>SUMIFS($J$6:$J$165,$D$6:$D$165,AF13,CHOIX,AG14)</f>
        <v>#NAME?</v>
      </c>
      <c r="AK14" s="36" t="e">
        <f>SUMIFS($K$6:$K$165,$D$6:$D$165,AF13,CHOIX,AG14)</f>
        <v>#NAME?</v>
      </c>
      <c r="AL14" s="36" t="e">
        <f>SUMIFS($L$6:$L$165,$D$6:$D$165,AF13,CHOIX,AG14)</f>
        <v>#NAME?</v>
      </c>
      <c r="AM14" s="36" t="e">
        <f>SUMIFS($M$6:$M$165,$D$6:$D$165,AF13,CHOIX,AG14)</f>
        <v>#NAME?</v>
      </c>
      <c r="AN14" s="1" t="s">
        <v>155</v>
      </c>
      <c r="AO14" s="83"/>
      <c r="AP14" s="63"/>
      <c r="AQ14" s="63"/>
      <c r="AR14" s="63"/>
      <c r="AS14" s="79"/>
      <c r="AT14" s="79"/>
      <c r="AU14" s="55" t="e">
        <f>SUMIFS($O$6:$O$165,$D$6:$D$165,AF13,CHOIX,AG14)</f>
        <v>#NAME?</v>
      </c>
      <c r="AV14" s="80" t="e">
        <f>SUMIFS($Q$6:$Q$165,$D$6:$D$165,AF13,CHOIX,AG14)</f>
        <v>#NAME?</v>
      </c>
      <c r="AW14" s="12"/>
      <c r="AX14" s="12"/>
      <c r="AY14" s="12"/>
      <c r="AZ14" s="8"/>
      <c r="BA14" s="148"/>
      <c r="BB14" s="148"/>
      <c r="BC14" s="148"/>
      <c r="BD14" s="10"/>
      <c r="BE14" s="10"/>
      <c r="BF14" s="10"/>
      <c r="BG14" s="10"/>
      <c r="BH14" s="10"/>
      <c r="BI14" s="10"/>
      <c r="BJ14" s="10"/>
      <c r="BK14" s="10"/>
      <c r="BL14" s="10"/>
      <c r="BM14" s="147">
        <f t="shared" si="8"/>
        <v>0</v>
      </c>
      <c r="BN14" s="147">
        <f t="shared" si="9"/>
        <v>0</v>
      </c>
      <c r="BO14" s="149"/>
      <c r="BP14" s="166"/>
      <c r="BQ14" s="12"/>
      <c r="BR14" s="12"/>
      <c r="BS14" s="476"/>
      <c r="BT14" s="481"/>
      <c r="BU14" s="477"/>
      <c r="BV14" s="545"/>
      <c r="BW14" s="580"/>
      <c r="BX14" s="576"/>
      <c r="BY14" s="497"/>
      <c r="BZ14" s="497"/>
      <c r="CA14" s="543"/>
      <c r="CB14" s="477"/>
      <c r="CC14" s="544"/>
      <c r="CV14" s="64"/>
      <c r="CW14" s="148"/>
      <c r="CX14" s="109"/>
      <c r="CY14" s="132"/>
      <c r="CZ14" s="143"/>
      <c r="DA14" s="127"/>
      <c r="DB14" s="50"/>
      <c r="DC14" s="111"/>
      <c r="DD14" s="111"/>
      <c r="DE14" s="111"/>
      <c r="DF14" s="111"/>
      <c r="DG14" s="111"/>
      <c r="DH14" s="112"/>
      <c r="DI14" s="33">
        <f t="shared" si="4"/>
        <v>0</v>
      </c>
      <c r="DJ14" s="52" t="b">
        <f>IF(AND(CZ14="CLIENT S+L",DA14="HUILE"),(DN14*3333.33+(VLOOKUP(DC14,'BASE '!$I$112:$J$142,2,0)))-((DN14*3333.33)*DB14),IF(AND(CZ14="CLIENT S+L",DA14="LAIT"),((DN14*952.4)-(DN14*952.4)*DB14),IF(CZ14="CLIENT O","OFFERT",IF(AND(DA14="HUILE",CZ14="CLIENT L"),(((VLOOKUP(DC14,'BASE '!$I$112:$J$142,2,0))+(VLOOKUP(DN14,'BASE '!#REF!,2,0)))),IF(AND(DA14="LAIT",CZ14="CLIENT L"),(DN14*952.4),IF(AND(DA14="HUILE",CZ14="CLIENT D"),(DN14*3809.53+(VLOOKUP(DC14,'BASE '!$I$112:$J$142,2,0))),IF(AND(DA14="LAIT",CZ14="CLIENT D"),(DN14*952.4),IF(AND(DA14="HUILE",CZ14="CLIENT S+D"),((DN14*3809.53+(VLOOKUP(DC14,'BASE '!$I$112:$J$142,2,0)))-((DN14*3809.53)*DB14)),IF(AND(DA14="LAIT",CZ14="CLIENT S+D"),((DN14*952.4)-((DN14*952.4)*DB14)),IF(AND(CZ14="CLIENT S",DA14="LAIT"),((DN14*952.4)-((DN14*952.4)*DB14)),IF(AND(DA14="HUILE",CZ14="CLIENT S"),(VLOOKUP(DC14,'BASE '!$I$112:$J$142,2,0)+(VLOOKUP(DN14,'BASE '!#REF!,2,0)))-(DB14*((VLOOKUP(DN14,'BASE '!#REF!,2,0)+(VLOOKUP(DC14,'BASE '!$I$112:$J$142,2,0))))))))))))))))</f>
        <v>0</v>
      </c>
      <c r="DK14" s="52" t="b">
        <f t="shared" si="5"/>
        <v>0</v>
      </c>
      <c r="DL14" s="53" t="b">
        <f t="shared" si="12"/>
        <v>0</v>
      </c>
      <c r="DM14" s="149" t="s">
        <v>175</v>
      </c>
      <c r="DN14" s="116">
        <f t="shared" si="13"/>
        <v>0</v>
      </c>
      <c r="DO14" s="124"/>
      <c r="DP14" s="42"/>
      <c r="DQ14" s="70"/>
      <c r="DR14" s="159"/>
      <c r="DS14" s="159"/>
      <c r="DT14" s="159"/>
      <c r="DU14" s="160"/>
      <c r="DV14" s="95"/>
      <c r="DW14" s="95"/>
      <c r="DX14" s="95"/>
      <c r="DY14" s="96"/>
    </row>
    <row r="15" spans="2:129" ht="15" customHeight="1" x14ac:dyDescent="0.3">
      <c r="B15" s="64"/>
      <c r="C15" s="148"/>
      <c r="D15" s="109"/>
      <c r="E15" s="63"/>
      <c r="F15" s="127"/>
      <c r="G15" s="50"/>
      <c r="H15" s="10"/>
      <c r="I15" s="10"/>
      <c r="J15" s="10"/>
      <c r="K15" s="10"/>
      <c r="L15" s="10"/>
      <c r="M15" s="39"/>
      <c r="N15" s="33">
        <f t="shared" si="0"/>
        <v>0</v>
      </c>
      <c r="O15" s="52" t="b">
        <f>IF(AND(E15="CLIENT S+L",F15="HUILE"),(S15*3333.33+(VLOOKUP(H15,'BASE '!$I$112:$J$142,2,0)))-((S15*3333.33)*G15),IF(AND(E15="CLIENT S+L",F15="LAIT"),((S15*952.4)-(S15*952.4)*G15),IF(E15="CLIENT O","OFFERT",IF(AND(F15="HUILE",E15="CLIENT L"),(((VLOOKUP(H15,'BASE '!$I$112:$J$142,2,0))+(VLOOKUP(S15,'BASE '!#REF!,2,0)))),IF(AND(F15="LAIT",E15="CLIENT L"),(S15*952.4),IF(AND(F15="HUILE",E15="CLIENT D"),(S15*3809.53+(VLOOKUP(H15,'BASE '!$I$112:$J$142,2,0))),IF(AND(F15="LAIT",E15="CLIENT D"),(S15*952.4),IF(AND(F15="HUILE",E15="CLIENT S+D"),((S15*3809.53+(VLOOKUP(H15,'BASE '!$I$112:$J$142,2,0)))-((S15*3809.53)*G15)),IF(AND(F15="LAIT",E15="CLIENT S+D"),((S15*952.4)-((S15*952.4)*G15)),IF(AND(E15="CLIENT S",F15="LAIT"),((S15*952.4)-((S15*952.4)*G15)),IF(AND(F15="HUILE",E15="CLIENT S"),(VLOOKUP(H15,'BASE '!$I$112:$J$142,2,0)+(VLOOKUP(S15,'BASE '!#REF!,2,0)))-(G15*((VLOOKUP(S15,'BASE '!#REF!,2,0)+(VLOOKUP(H15,'BASE '!$I$112:$J$142,2,0))))))))))))))))</f>
        <v>0</v>
      </c>
      <c r="P15" s="52" t="b">
        <f t="shared" si="1"/>
        <v>0</v>
      </c>
      <c r="Q15" s="53" t="b">
        <f t="shared" si="2"/>
        <v>0</v>
      </c>
      <c r="R15" s="152" t="s">
        <v>175</v>
      </c>
      <c r="S15" s="184">
        <f t="shared" si="6"/>
        <v>0</v>
      </c>
      <c r="T15" s="124"/>
      <c r="U15" s="41" t="s">
        <v>175</v>
      </c>
      <c r="V15" s="70" t="e">
        <f>VLOOKUP(U15,'BASE '!$A$4:$H$144,2,0)</f>
        <v>#N/A</v>
      </c>
      <c r="W15" s="159"/>
      <c r="X15" s="159"/>
      <c r="Y15" s="160"/>
      <c r="Z15" s="158" t="e">
        <f>VLOOKUP(U15,'BASE '!$A$4:$H$144,3,0)</f>
        <v>#N/A</v>
      </c>
      <c r="AA15" s="94" t="e">
        <f t="shared" si="3"/>
        <v>#N/A</v>
      </c>
      <c r="AB15" s="95" t="e">
        <f>VLOOKUP(U15,'BASE '!$A$4:$H$144,6,0)*Y15/100</f>
        <v>#N/A</v>
      </c>
      <c r="AC15" s="95" t="e">
        <f>VLOOKUP(U15,'BASE '!$A$4:$H$144,7,0)*Y15/100</f>
        <v>#N/A</v>
      </c>
      <c r="AD15" s="95" t="e">
        <f>VLOOKUP(U15,'BASE '!$A$4:$H$144,8,0)*Y15/100</f>
        <v>#N/A</v>
      </c>
      <c r="AE15" s="96" t="e">
        <f t="shared" si="7"/>
        <v>#N/A</v>
      </c>
      <c r="AF15" s="435" t="s">
        <v>8</v>
      </c>
      <c r="AG15" s="91" t="s">
        <v>157</v>
      </c>
      <c r="AH15" s="36" t="e">
        <f>SUMIFS($H$6:$H$165,$D$6:$D$165,AF15,CHOIX,AG15)</f>
        <v>#NAME?</v>
      </c>
      <c r="AI15" s="36" t="e">
        <f>SUMIFS($I$6:$I$165,$D$6:$D$165,AF15,CHOIX,AG15)</f>
        <v>#NAME?</v>
      </c>
      <c r="AJ15" s="36" t="e">
        <f>SUMIFS($J$6:$J$165,$D$6:$D$165,AF15,CHOIX,AG15)</f>
        <v>#NAME?</v>
      </c>
      <c r="AK15" s="36" t="e">
        <f>SUMIFS($K$6:$K$165,$D$6:$D$165,AF15,CHOIX,AG15)</f>
        <v>#NAME?</v>
      </c>
      <c r="AL15" s="36" t="e">
        <f>SUMIFS($L$6:$L$165,$D$6:$D$165,AF15,CHOIX,AG15)</f>
        <v>#NAME?</v>
      </c>
      <c r="AM15" s="36" t="e">
        <f>SUMIFS($M$6:$M$165,$D$6:$D$165,AF15,CHOIX,AG15)</f>
        <v>#NAME?</v>
      </c>
      <c r="AN15" s="91" t="s">
        <v>157</v>
      </c>
      <c r="AO15" s="83"/>
      <c r="AP15" s="63"/>
      <c r="AQ15" s="63"/>
      <c r="AR15" s="63"/>
      <c r="AS15" s="79"/>
      <c r="AT15" s="79"/>
      <c r="AU15" s="55" t="e">
        <f>SUMIFS($O$6:$O$165,$D$6:$D$165,AF15,CHOIX,AG15)</f>
        <v>#NAME?</v>
      </c>
      <c r="AV15" s="80" t="e">
        <f>SUMIFS($Q$6:$Q$165,$D$6:$D$165,AF15,CHOIX,AG15)</f>
        <v>#NAME?</v>
      </c>
      <c r="AW15" s="12"/>
      <c r="AX15" s="12"/>
      <c r="AY15" s="12"/>
      <c r="AZ15" s="8"/>
      <c r="BA15" s="148"/>
      <c r="BB15" s="148"/>
      <c r="BC15" s="148"/>
      <c r="BD15" s="10"/>
      <c r="BE15" s="10"/>
      <c r="BF15" s="10"/>
      <c r="BG15" s="10"/>
      <c r="BH15" s="10"/>
      <c r="BI15" s="10"/>
      <c r="BJ15" s="10"/>
      <c r="BK15" s="10"/>
      <c r="BL15" s="10"/>
      <c r="BM15" s="147">
        <f t="shared" si="8"/>
        <v>0</v>
      </c>
      <c r="BN15" s="147">
        <f t="shared" si="9"/>
        <v>0</v>
      </c>
      <c r="BO15" s="149"/>
      <c r="BP15" s="166"/>
      <c r="BQ15" s="12"/>
      <c r="BR15" s="12"/>
      <c r="BS15" s="431" t="s">
        <v>176</v>
      </c>
      <c r="BT15" s="481"/>
      <c r="BU15" s="477"/>
      <c r="BV15" s="545">
        <f t="shared" ref="BV15" si="20">BU15*BT15</f>
        <v>0</v>
      </c>
      <c r="BW15" s="580"/>
      <c r="BX15" s="585">
        <v>5</v>
      </c>
      <c r="BY15" s="497">
        <f>BI70</f>
        <v>0</v>
      </c>
      <c r="BZ15" s="496" t="e">
        <f>M166</f>
        <v>#NAME?</v>
      </c>
      <c r="CA15" s="542"/>
      <c r="CB15" s="477"/>
      <c r="CC15" s="544">
        <f t="shared" ref="CC15" si="21">BY15*CB15</f>
        <v>0</v>
      </c>
      <c r="CV15" s="64"/>
      <c r="CW15" s="148"/>
      <c r="CX15" s="109"/>
      <c r="CY15" s="132"/>
      <c r="CZ15" s="143"/>
      <c r="DA15" s="63"/>
      <c r="DB15" s="50"/>
      <c r="DC15" s="111"/>
      <c r="DD15" s="111"/>
      <c r="DE15" s="111"/>
      <c r="DF15" s="111"/>
      <c r="DG15" s="111"/>
      <c r="DH15" s="112"/>
      <c r="DI15" s="33">
        <f t="shared" si="4"/>
        <v>0</v>
      </c>
      <c r="DJ15" s="52" t="b">
        <f>IF(AND(CZ15="CLIENT S+L",DA15="HUILE"),(DN15*3333.33+(VLOOKUP(DC15,'BASE '!$I$112:$J$142,2,0)))-((DN15*3333.33)*DB15),IF(AND(CZ15="CLIENT S+L",DA15="LAIT"),((DN15*952.4)-(DN15*952.4)*DB15),IF(CZ15="CLIENT O","OFFERT",IF(AND(DA15="HUILE",CZ15="CLIENT L"),(((VLOOKUP(DC15,'BASE '!$I$112:$J$142,2,0))+(VLOOKUP(DN15,'BASE '!#REF!,2,0)))),IF(AND(DA15="LAIT",CZ15="CLIENT L"),(DN15*952.4),IF(AND(DA15="HUILE",CZ15="CLIENT D"),(DN15*3809.53+(VLOOKUP(DC15,'BASE '!$I$112:$J$142,2,0))),IF(AND(DA15="LAIT",CZ15="CLIENT D"),(DN15*952.4),IF(AND(DA15="HUILE",CZ15="CLIENT S+D"),((DN15*3809.53+(VLOOKUP(DC15,'BASE '!$I$112:$J$142,2,0)))-((DN15*3809.53)*DB15)),IF(AND(DA15="LAIT",CZ15="CLIENT S+D"),((DN15*952.4)-((DN15*952.4)*DB15)),IF(AND(CZ15="CLIENT S",DA15="LAIT"),((DN15*952.4)-((DN15*952.4)*DB15)),IF(AND(DA15="HUILE",CZ15="CLIENT S"),(VLOOKUP(DC15,'BASE '!$I$112:$J$142,2,0)+(VLOOKUP(DN15,'BASE '!#REF!,2,0)))-(DB15*((VLOOKUP(DN15,'BASE '!#REF!,2,0)+(VLOOKUP(DC15,'BASE '!$I$112:$J$142,2,0))))))))))))))))</f>
        <v>0</v>
      </c>
      <c r="DK15" s="52" t="b">
        <f t="shared" si="5"/>
        <v>0</v>
      </c>
      <c r="DL15" s="53" t="b">
        <f t="shared" si="12"/>
        <v>0</v>
      </c>
      <c r="DM15" s="149" t="s">
        <v>175</v>
      </c>
      <c r="DN15" s="116">
        <f t="shared" si="13"/>
        <v>0</v>
      </c>
      <c r="DO15" s="124"/>
      <c r="DP15" s="42"/>
      <c r="DQ15" s="70"/>
      <c r="DR15" s="159"/>
      <c r="DS15" s="159"/>
      <c r="DT15" s="159"/>
      <c r="DU15" s="160"/>
      <c r="DV15" s="95"/>
      <c r="DW15" s="95"/>
      <c r="DX15" s="95"/>
      <c r="DY15" s="96"/>
    </row>
    <row r="16" spans="2:129" ht="15" customHeight="1" x14ac:dyDescent="0.3">
      <c r="B16" s="64"/>
      <c r="C16" s="148"/>
      <c r="D16" s="109"/>
      <c r="E16" s="63"/>
      <c r="F16" s="127"/>
      <c r="G16" s="50"/>
      <c r="H16" s="10"/>
      <c r="I16" s="10"/>
      <c r="J16" s="10"/>
      <c r="K16" s="10"/>
      <c r="L16" s="10"/>
      <c r="M16" s="39"/>
      <c r="N16" s="33">
        <f t="shared" si="0"/>
        <v>0</v>
      </c>
      <c r="O16" s="52" t="b">
        <f>IF(AND(E16="CLIENT S+L",F16="HUILE"),(S16*3333.33+(VLOOKUP(H16,'BASE '!$I$112:$J$142,2,0)))-((S16*3333.33)*G16),IF(AND(E16="CLIENT S+L",F16="LAIT"),((S16*952.4)-(S16*952.4)*G16),IF(E16="CLIENT O","OFFERT",IF(AND(F16="HUILE",E16="CLIENT L"),(((VLOOKUP(H16,'BASE '!$I$112:$J$142,2,0))+(VLOOKUP(S16,'BASE '!#REF!,2,0)))),IF(AND(F16="LAIT",E16="CLIENT L"),(S16*952.4),IF(AND(F16="HUILE",E16="CLIENT D"),(S16*3809.53+(VLOOKUP(H16,'BASE '!$I$112:$J$142,2,0))),IF(AND(F16="LAIT",E16="CLIENT D"),(S16*952.4),IF(AND(F16="HUILE",E16="CLIENT S+D"),((S16*3809.53+(VLOOKUP(H16,'BASE '!$I$112:$J$142,2,0)))-((S16*3809.53)*G16)),IF(AND(F16="LAIT",E16="CLIENT S+D"),((S16*952.4)-((S16*952.4)*G16)),IF(AND(E16="CLIENT S",F16="LAIT"),((S16*952.4)-((S16*952.4)*G16)),IF(AND(F16="HUILE",E16="CLIENT S"),(VLOOKUP(H16,'BASE '!$I$112:$J$142,2,0)+(VLOOKUP(S16,'BASE '!#REF!,2,0)))-(G16*((VLOOKUP(S16,'BASE '!#REF!,2,0)+(VLOOKUP(H16,'BASE '!$I$112:$J$142,2,0))))))))))))))))</f>
        <v>0</v>
      </c>
      <c r="P16" s="52" t="b">
        <f t="shared" si="1"/>
        <v>0</v>
      </c>
      <c r="Q16" s="53" t="b">
        <f t="shared" si="2"/>
        <v>0</v>
      </c>
      <c r="R16" s="152" t="s">
        <v>175</v>
      </c>
      <c r="S16" s="184">
        <f t="shared" si="6"/>
        <v>0</v>
      </c>
      <c r="T16" s="124"/>
      <c r="U16" s="41" t="s">
        <v>175</v>
      </c>
      <c r="V16" s="70" t="e">
        <f>VLOOKUP(U16,'BASE '!$A$4:$H$144,2,0)</f>
        <v>#N/A</v>
      </c>
      <c r="W16" s="159"/>
      <c r="X16" s="159"/>
      <c r="Y16" s="160"/>
      <c r="Z16" s="158" t="e">
        <f>VLOOKUP(U16,'BASE '!$A$4:$H$144,3,0)</f>
        <v>#N/A</v>
      </c>
      <c r="AA16" s="94" t="e">
        <f t="shared" si="3"/>
        <v>#N/A</v>
      </c>
      <c r="AB16" s="95" t="e">
        <f>VLOOKUP(U16,'BASE '!$A$4:$H$144,6,0)*Y16/100</f>
        <v>#N/A</v>
      </c>
      <c r="AC16" s="95" t="e">
        <f>VLOOKUP(U16,'BASE '!$A$4:$H$144,7,0)*Y16/100</f>
        <v>#N/A</v>
      </c>
      <c r="AD16" s="95" t="e">
        <f>VLOOKUP(U16,'BASE '!$A$4:$H$144,8,0)*Y16/100</f>
        <v>#N/A</v>
      </c>
      <c r="AE16" s="96" t="e">
        <f t="shared" si="7"/>
        <v>#N/A</v>
      </c>
      <c r="AF16" s="435"/>
      <c r="AG16" s="1" t="s">
        <v>155</v>
      </c>
      <c r="AH16" s="36" t="e">
        <f>SUMIFS($H$6:$H$165,$D$6:$D$165,AF15,CHOIX,AG16)</f>
        <v>#NAME?</v>
      </c>
      <c r="AI16" s="36" t="e">
        <f>SUMIFS($I$6:$I$165,$D$6:$D$165,AF15,CHOIX,AG16)</f>
        <v>#NAME?</v>
      </c>
      <c r="AJ16" s="36" t="e">
        <f>SUMIFS($J$6:$J$165,$D$6:$D$165,AF15,CHOIX,AG16)</f>
        <v>#NAME?</v>
      </c>
      <c r="AK16" s="36" t="e">
        <f>SUMIFS($K$6:$K$165,$D$6:$D$165,AF15,CHOIX,AG16)</f>
        <v>#NAME?</v>
      </c>
      <c r="AL16" s="36" t="e">
        <f>SUMIFS($L$6:$L$165,$D$6:$D$165,AF15,CHOIX,AG16)</f>
        <v>#NAME?</v>
      </c>
      <c r="AM16" s="36" t="e">
        <f>SUMIFS($M$6:$M$165,$D$6:$D$165,AF15,CHOIX,AG16)</f>
        <v>#NAME?</v>
      </c>
      <c r="AN16" s="1" t="s">
        <v>155</v>
      </c>
      <c r="AO16" s="83"/>
      <c r="AP16" s="63"/>
      <c r="AQ16" s="63"/>
      <c r="AR16" s="63"/>
      <c r="AS16" s="79"/>
      <c r="AT16" s="79"/>
      <c r="AU16" s="55" t="e">
        <f>SUMIFS($O$6:$O$165,$D$6:$D$165,AF15,CHOIX,AG16)</f>
        <v>#NAME?</v>
      </c>
      <c r="AV16" s="80" t="e">
        <f>SUMIFS($Q$6:$Q$165,$D$6:$D$165,AF15,CHOIX,AG16)</f>
        <v>#NAME?</v>
      </c>
      <c r="AW16" s="12"/>
      <c r="AX16" s="12"/>
      <c r="AY16" s="12"/>
      <c r="AZ16" s="8"/>
      <c r="BA16" s="148"/>
      <c r="BB16" s="148"/>
      <c r="BC16" s="148"/>
      <c r="BD16" s="10"/>
      <c r="BE16" s="10"/>
      <c r="BF16" s="10"/>
      <c r="BG16" s="10"/>
      <c r="BH16" s="10"/>
      <c r="BI16" s="10"/>
      <c r="BJ16" s="10"/>
      <c r="BK16" s="10"/>
      <c r="BL16" s="10"/>
      <c r="BM16" s="147">
        <f t="shared" si="8"/>
        <v>0</v>
      </c>
      <c r="BN16" s="147">
        <f t="shared" si="9"/>
        <v>0</v>
      </c>
      <c r="BO16" s="149"/>
      <c r="BP16" s="166"/>
      <c r="BQ16" s="12"/>
      <c r="BR16" s="12"/>
      <c r="BS16" s="431"/>
      <c r="BT16" s="481"/>
      <c r="BU16" s="477"/>
      <c r="BV16" s="545"/>
      <c r="BW16" s="581"/>
      <c r="BX16" s="585"/>
      <c r="BY16" s="497"/>
      <c r="BZ16" s="497"/>
      <c r="CA16" s="543"/>
      <c r="CB16" s="477"/>
      <c r="CC16" s="544"/>
      <c r="CV16" s="64"/>
      <c r="CW16" s="148"/>
      <c r="CX16" s="109"/>
      <c r="CY16" s="132"/>
      <c r="CZ16" s="143"/>
      <c r="DA16" s="63"/>
      <c r="DB16" s="50"/>
      <c r="DC16" s="10"/>
      <c r="DD16" s="10"/>
      <c r="DE16" s="10"/>
      <c r="DF16" s="10"/>
      <c r="DG16" s="10"/>
      <c r="DH16" s="39"/>
      <c r="DI16" s="33">
        <f t="shared" si="4"/>
        <v>0</v>
      </c>
      <c r="DJ16" s="52" t="b">
        <f>IF(AND(CZ16="CLIENT S+L",DA16="HUILE"),(DN16*3333.33+(VLOOKUP(DC16,'BASE '!$I$112:$J$142,2,0)))-((DN16*3333.33)*DB16),IF(AND(CZ16="CLIENT S+L",DA16="LAIT"),((DN16*952.4)-(DN16*952.4)*DB16),IF(CZ16="CLIENT O","OFFERT",IF(AND(DA16="HUILE",CZ16="CLIENT L"),(((VLOOKUP(DC16,'BASE '!$I$112:$J$142,2,0))+(VLOOKUP(DN16,'BASE '!#REF!,2,0)))),IF(AND(DA16="LAIT",CZ16="CLIENT L"),(DN16*952.4),IF(AND(DA16="HUILE",CZ16="CLIENT D"),(DN16*3809.53+(VLOOKUP(DC16,'BASE '!$I$112:$J$142,2,0))),IF(AND(DA16="LAIT",CZ16="CLIENT D"),(DN16*952.4),IF(AND(DA16="HUILE",CZ16="CLIENT S+D"),((DN16*3809.53+(VLOOKUP(DC16,'BASE '!$I$112:$J$142,2,0)))-((DN16*3809.53)*DB16)),IF(AND(DA16="LAIT",CZ16="CLIENT S+D"),((DN16*952.4)-((DN16*952.4)*DB16)),IF(AND(CZ16="CLIENT S",DA16="LAIT"),((DN16*952.4)-((DN16*952.4)*DB16)),IF(AND(DA16="HUILE",CZ16="CLIENT S"),(VLOOKUP(DC16,'BASE '!$I$112:$J$142,2,0)+(VLOOKUP(DN16,'BASE '!#REF!,2,0)))-(DB16*((VLOOKUP(DN16,'BASE '!#REF!,2,0)+(VLOOKUP(DC16,'BASE '!$I$112:$J$142,2,0))))))))))))))))</f>
        <v>0</v>
      </c>
      <c r="DK16" s="52" t="b">
        <f t="shared" si="5"/>
        <v>0</v>
      </c>
      <c r="DL16" s="53" t="b">
        <f t="shared" si="12"/>
        <v>0</v>
      </c>
      <c r="DM16" s="149" t="s">
        <v>175</v>
      </c>
      <c r="DN16" s="116">
        <f t="shared" si="13"/>
        <v>0</v>
      </c>
      <c r="DO16" s="124"/>
      <c r="DP16" s="42"/>
      <c r="DQ16" s="70"/>
      <c r="DR16" s="159"/>
      <c r="DS16" s="159"/>
      <c r="DT16" s="159"/>
      <c r="DU16" s="160"/>
      <c r="DV16" s="95"/>
      <c r="DW16" s="95"/>
      <c r="DX16" s="95"/>
      <c r="DY16" s="96"/>
    </row>
    <row r="17" spans="2:129" ht="15" customHeight="1" x14ac:dyDescent="0.3">
      <c r="B17" s="64"/>
      <c r="C17" s="148"/>
      <c r="D17" s="109"/>
      <c r="E17" s="63"/>
      <c r="F17" s="127"/>
      <c r="G17" s="50"/>
      <c r="H17" s="10"/>
      <c r="I17" s="10"/>
      <c r="J17" s="10"/>
      <c r="K17" s="10"/>
      <c r="L17" s="10"/>
      <c r="M17" s="39"/>
      <c r="N17" s="33">
        <f t="shared" si="0"/>
        <v>0</v>
      </c>
      <c r="O17" s="52" t="b">
        <f>IF(AND(E17="CLIENT S+L",F17="HUILE"),(S17*3333.33+(VLOOKUP(H17,'BASE '!$I$112:$J$142,2,0)))-((S17*3333.33)*G17),IF(AND(E17="CLIENT S+L",F17="LAIT"),((S17*952.4)-(S17*952.4)*G17),IF(E17="CLIENT O","OFFERT",IF(AND(F17="HUILE",E17="CLIENT L"),(((VLOOKUP(H17,'BASE '!$I$112:$J$142,2,0))+(VLOOKUP(S17,'BASE '!#REF!,2,0)))),IF(AND(F17="LAIT",E17="CLIENT L"),(S17*952.4),IF(AND(F17="HUILE",E17="CLIENT D"),(S17*3809.53+(VLOOKUP(H17,'BASE '!$I$112:$J$142,2,0))),IF(AND(F17="LAIT",E17="CLIENT D"),(S17*952.4),IF(AND(F17="HUILE",E17="CLIENT S+D"),((S17*3809.53+(VLOOKUP(H17,'BASE '!$I$112:$J$142,2,0)))-((S17*3809.53)*G17)),IF(AND(F17="LAIT",E17="CLIENT S+D"),((S17*952.4)-((S17*952.4)*G17)),IF(AND(E17="CLIENT S",F17="LAIT"),((S17*952.4)-((S17*952.4)*G17)),IF(AND(F17="HUILE",E17="CLIENT S"),(VLOOKUP(H17,'BASE '!$I$112:$J$142,2,0)+(VLOOKUP(S17,'BASE '!#REF!,2,0)))-(G17*((VLOOKUP(S17,'BASE '!#REF!,2,0)+(VLOOKUP(H17,'BASE '!$I$112:$J$142,2,0))))))))))))))))</f>
        <v>0</v>
      </c>
      <c r="P17" s="52" t="b">
        <f t="shared" si="1"/>
        <v>0</v>
      </c>
      <c r="Q17" s="53" t="b">
        <f t="shared" si="2"/>
        <v>0</v>
      </c>
      <c r="R17" s="152" t="s">
        <v>175</v>
      </c>
      <c r="S17" s="184">
        <f t="shared" si="6"/>
        <v>0</v>
      </c>
      <c r="T17" s="124"/>
      <c r="U17" s="41" t="s">
        <v>175</v>
      </c>
      <c r="V17" s="70" t="e">
        <f>VLOOKUP(U17,'BASE '!$A$4:$H$144,2,0)</f>
        <v>#N/A</v>
      </c>
      <c r="W17" s="159"/>
      <c r="X17" s="159"/>
      <c r="Y17" s="160"/>
      <c r="Z17" s="158" t="e">
        <f>VLOOKUP(U17,'BASE '!$A$4:$H$144,3,0)</f>
        <v>#N/A</v>
      </c>
      <c r="AA17" s="94" t="e">
        <f t="shared" si="3"/>
        <v>#N/A</v>
      </c>
      <c r="AB17" s="95" t="e">
        <f>VLOOKUP(U17,'BASE '!$A$4:$H$144,6,0)*Y17/100</f>
        <v>#N/A</v>
      </c>
      <c r="AC17" s="95" t="e">
        <f>VLOOKUP(U17,'BASE '!$A$4:$H$144,7,0)*Y17/100</f>
        <v>#N/A</v>
      </c>
      <c r="AD17" s="95" t="e">
        <f>VLOOKUP(U17,'BASE '!$A$4:$H$144,8,0)*Y17/100</f>
        <v>#N/A</v>
      </c>
      <c r="AE17" s="96" t="e">
        <f t="shared" si="7"/>
        <v>#N/A</v>
      </c>
      <c r="AF17" s="435" t="s">
        <v>131</v>
      </c>
      <c r="AG17" s="91" t="s">
        <v>157</v>
      </c>
      <c r="AH17" s="36" t="e">
        <f>SUMIFS($H$6:$H$165,$D$6:$D$165,AF17,CHOIX,AG17)</f>
        <v>#NAME?</v>
      </c>
      <c r="AI17" s="36" t="e">
        <f>SUMIFS($I$6:$I$165,$D$6:$D$165,AF17,CHOIX,AG17)</f>
        <v>#NAME?</v>
      </c>
      <c r="AJ17" s="36" t="e">
        <f>SUMIFS($J$6:$J$165,$D$6:$D$165,AF17,CHOIX,AG17)</f>
        <v>#NAME?</v>
      </c>
      <c r="AK17" s="36" t="e">
        <f>SUMIFS($K$6:$K$165,$D$6:$D$165,AF17,CHOIX,AG17)</f>
        <v>#NAME?</v>
      </c>
      <c r="AL17" s="36" t="e">
        <f>SUMIFS($L$6:$L$165,$D$6:$D$165,AF17,CHOIX,AG17)</f>
        <v>#NAME?</v>
      </c>
      <c r="AM17" s="36" t="e">
        <f>SUMIFS($M$6:$M$165,$D$6:$D$165,AF17,CHOIX,AG17)</f>
        <v>#NAME?</v>
      </c>
      <c r="AN17" s="91" t="s">
        <v>157</v>
      </c>
      <c r="AO17" s="83"/>
      <c r="AP17" s="63"/>
      <c r="AQ17" s="63"/>
      <c r="AR17" s="63"/>
      <c r="AS17" s="79"/>
      <c r="AT17" s="79"/>
      <c r="AU17" s="55" t="e">
        <f>SUMIFS($O$6:$O$165,$D$6:$D$165,AF17,CHOIX,AG17)</f>
        <v>#NAME?</v>
      </c>
      <c r="AV17" s="80" t="e">
        <f>SUMIFS($Q$6:$Q$165,$D$6:$D$165,AF17,CHOIX,AG17)</f>
        <v>#NAME?</v>
      </c>
      <c r="AW17" s="12"/>
      <c r="AX17" s="12"/>
      <c r="AY17" s="12"/>
      <c r="AZ17" s="8"/>
      <c r="BA17" s="148"/>
      <c r="BB17" s="148"/>
      <c r="BC17" s="148"/>
      <c r="BD17" s="10"/>
      <c r="BE17" s="10"/>
      <c r="BF17" s="10"/>
      <c r="BG17" s="10"/>
      <c r="BH17" s="10"/>
      <c r="BI17" s="10"/>
      <c r="BJ17" s="10"/>
      <c r="BK17" s="10"/>
      <c r="BL17" s="10"/>
      <c r="BM17" s="147">
        <f t="shared" si="8"/>
        <v>0</v>
      </c>
      <c r="BN17" s="147">
        <f t="shared" si="9"/>
        <v>0</v>
      </c>
      <c r="BO17" s="149"/>
      <c r="BP17" s="166"/>
      <c r="BQ17" s="12"/>
      <c r="BR17" s="12"/>
      <c r="BS17" s="476" t="s">
        <v>122</v>
      </c>
      <c r="BT17" s="481"/>
      <c r="BU17" s="477"/>
      <c r="BV17" s="545">
        <f t="shared" ref="BV17" si="22">BU17*BT17</f>
        <v>0</v>
      </c>
      <c r="BW17" s="591" t="s">
        <v>155</v>
      </c>
      <c r="BX17" s="576">
        <v>25</v>
      </c>
      <c r="BY17" s="497">
        <f>BJ71</f>
        <v>0</v>
      </c>
      <c r="BZ17" s="496" t="e">
        <f>I168</f>
        <v>#NAME?</v>
      </c>
      <c r="CA17" s="542"/>
      <c r="CB17" s="477">
        <v>250</v>
      </c>
      <c r="CC17" s="544">
        <f t="shared" ref="CC17" si="23">BY17*CB17</f>
        <v>0</v>
      </c>
      <c r="CV17" s="64"/>
      <c r="CW17" s="148"/>
      <c r="CX17" s="109"/>
      <c r="CY17" s="132"/>
      <c r="CZ17" s="143"/>
      <c r="DA17" s="63"/>
      <c r="DB17" s="50"/>
      <c r="DC17" s="10"/>
      <c r="DD17" s="10"/>
      <c r="DE17" s="10"/>
      <c r="DF17" s="10"/>
      <c r="DG17" s="10"/>
      <c r="DH17" s="39"/>
      <c r="DI17" s="33">
        <f t="shared" si="4"/>
        <v>0</v>
      </c>
      <c r="DJ17" s="52" t="b">
        <f>IF(AND(CZ17="CLIENT S+L",DA17="HUILE"),(DN17*3333.33+(VLOOKUP(DC17,'BASE '!$I$112:$J$142,2,0)))-((DN17*3333.33)*DB17),IF(AND(CZ17="CLIENT S+L",DA17="LAIT"),((DN17*952.4)-(DN17*952.4)*DB17),IF(CZ17="CLIENT O","OFFERT",IF(AND(DA17="HUILE",CZ17="CLIENT L"),(((VLOOKUP(DC17,'BASE '!$I$112:$J$142,2,0))+(VLOOKUP(DN17,'BASE '!#REF!,2,0)))),IF(AND(DA17="LAIT",CZ17="CLIENT L"),(DN17*952.4),IF(AND(DA17="HUILE",CZ17="CLIENT D"),(DN17*3809.53+(VLOOKUP(DC17,'BASE '!$I$112:$J$142,2,0))),IF(AND(DA17="LAIT",CZ17="CLIENT D"),(DN17*952.4),IF(AND(DA17="HUILE",CZ17="CLIENT S+D"),((DN17*3809.53+(VLOOKUP(DC17,'BASE '!$I$112:$J$142,2,0)))-((DN17*3809.53)*DB17)),IF(AND(DA17="LAIT",CZ17="CLIENT S+D"),((DN17*952.4)-((DN17*952.4)*DB17)),IF(AND(CZ17="CLIENT S",DA17="LAIT"),((DN17*952.4)-((DN17*952.4)*DB17)),IF(AND(DA17="HUILE",CZ17="CLIENT S"),(VLOOKUP(DC17,'BASE '!$I$112:$J$142,2,0)+(VLOOKUP(DN17,'BASE '!#REF!,2,0)))-(DB17*((VLOOKUP(DN17,'BASE '!#REF!,2,0)+(VLOOKUP(DC17,'BASE '!$I$112:$J$142,2,0))))))))))))))))</f>
        <v>0</v>
      </c>
      <c r="DK17" s="52" t="b">
        <f t="shared" si="5"/>
        <v>0</v>
      </c>
      <c r="DL17" s="53" t="b">
        <f t="shared" si="12"/>
        <v>0</v>
      </c>
      <c r="DM17" s="149"/>
      <c r="DN17" s="116">
        <f t="shared" si="13"/>
        <v>0</v>
      </c>
      <c r="DO17" s="124"/>
      <c r="DP17" s="42"/>
      <c r="DQ17" s="70"/>
      <c r="DR17" s="159"/>
      <c r="DS17" s="159"/>
      <c r="DT17" s="159"/>
      <c r="DU17" s="160"/>
      <c r="DV17" s="95"/>
      <c r="DW17" s="95"/>
      <c r="DX17" s="95"/>
      <c r="DY17" s="96"/>
    </row>
    <row r="18" spans="2:129" ht="15" customHeight="1" x14ac:dyDescent="0.3">
      <c r="B18" s="64"/>
      <c r="C18" s="148"/>
      <c r="D18" s="109"/>
      <c r="E18" s="63"/>
      <c r="F18" s="127"/>
      <c r="G18" s="50"/>
      <c r="H18" s="10"/>
      <c r="I18" s="10"/>
      <c r="J18" s="10"/>
      <c r="K18" s="10"/>
      <c r="L18" s="10"/>
      <c r="M18" s="39"/>
      <c r="N18" s="33">
        <f t="shared" si="0"/>
        <v>0</v>
      </c>
      <c r="O18" s="52" t="b">
        <f>IF(AND(E18="CLIENT S+L",F18="HUILE"),(S18*3333.33+(VLOOKUP(H18,'BASE '!$I$112:$J$142,2,0)))-((S18*3333.33)*G18),IF(AND(E18="CLIENT S+L",F18="LAIT"),((S18*952.4)-(S18*952.4)*G18),IF(E18="CLIENT O","OFFERT",IF(AND(F18="HUILE",E18="CLIENT L"),(((VLOOKUP(H18,'BASE '!$I$112:$J$142,2,0))+(VLOOKUP(S18,'BASE '!#REF!,2,0)))),IF(AND(F18="LAIT",E18="CLIENT L"),(S18*952.4),IF(AND(F18="HUILE",E18="CLIENT D"),(S18*3809.53+(VLOOKUP(H18,'BASE '!$I$112:$J$142,2,0))),IF(AND(F18="LAIT",E18="CLIENT D"),(S18*952.4),IF(AND(F18="HUILE",E18="CLIENT S+D"),((S18*3809.53+(VLOOKUP(H18,'BASE '!$I$112:$J$142,2,0)))-((S18*3809.53)*G18)),IF(AND(F18="LAIT",E18="CLIENT S+D"),((S18*952.4)-((S18*952.4)*G18)),IF(AND(E18="CLIENT S",F18="LAIT"),((S18*952.4)-((S18*952.4)*G18)),IF(AND(F18="HUILE",E18="CLIENT S"),(VLOOKUP(H18,'BASE '!$I$112:$J$142,2,0)+(VLOOKUP(S18,'BASE '!#REF!,2,0)))-(G18*((VLOOKUP(S18,'BASE '!#REF!,2,0)+(VLOOKUP(H18,'BASE '!$I$112:$J$142,2,0))))))))))))))))</f>
        <v>0</v>
      </c>
      <c r="P18" s="52" t="b">
        <f t="shared" si="1"/>
        <v>0</v>
      </c>
      <c r="Q18" s="53" t="b">
        <f t="shared" si="2"/>
        <v>0</v>
      </c>
      <c r="R18" s="152" t="s">
        <v>175</v>
      </c>
      <c r="S18" s="184">
        <f t="shared" si="6"/>
        <v>0</v>
      </c>
      <c r="T18" s="124"/>
      <c r="U18" s="41" t="s">
        <v>175</v>
      </c>
      <c r="V18" s="70" t="e">
        <f>VLOOKUP(U18,'BASE '!$A$4:$H$144,2,0)</f>
        <v>#N/A</v>
      </c>
      <c r="W18" s="159"/>
      <c r="X18" s="159"/>
      <c r="Y18" s="160"/>
      <c r="Z18" s="158" t="e">
        <f>VLOOKUP(U18,'BASE '!$A$4:$H$144,3,0)</f>
        <v>#N/A</v>
      </c>
      <c r="AA18" s="94" t="e">
        <f t="shared" si="3"/>
        <v>#N/A</v>
      </c>
      <c r="AB18" s="95" t="e">
        <f>VLOOKUP(U18,'BASE '!$A$4:$H$144,6,0)*Y18/100</f>
        <v>#N/A</v>
      </c>
      <c r="AC18" s="95" t="e">
        <f>VLOOKUP(U18,'BASE '!$A$4:$H$144,7,0)*Y18/100</f>
        <v>#N/A</v>
      </c>
      <c r="AD18" s="95" t="e">
        <f>VLOOKUP(U18,'BASE '!$A$4:$H$144,8,0)*Y18/100</f>
        <v>#N/A</v>
      </c>
      <c r="AE18" s="96" t="e">
        <f t="shared" si="7"/>
        <v>#N/A</v>
      </c>
      <c r="AF18" s="435"/>
      <c r="AG18" s="1" t="s">
        <v>155</v>
      </c>
      <c r="AH18" s="36" t="e">
        <f>SUMIFS($H$6:$H$165,$D$6:$D$165,AF17,CHOIX,AG18)</f>
        <v>#NAME?</v>
      </c>
      <c r="AI18" s="36" t="e">
        <f>SUMIFS($I$6:$I$165,$D$6:$D$165,AF17,CHOIX,AG18)</f>
        <v>#NAME?</v>
      </c>
      <c r="AJ18" s="36" t="e">
        <f>SUMIFS($J$6:$J$165,$D$6:$D$165,AF17,CHOIX,AG18)</f>
        <v>#NAME?</v>
      </c>
      <c r="AK18" s="36" t="e">
        <f>SUMIFS($K$6:$K$165,$D$6:$D$165,AF17,CHOIX,AG18)</f>
        <v>#NAME?</v>
      </c>
      <c r="AL18" s="36" t="e">
        <f>SUMIFS($L$6:$L$165,$D$6:$D$165,AF17,CHOIX,AG18)</f>
        <v>#NAME?</v>
      </c>
      <c r="AM18" s="36" t="e">
        <f>SUMIFS($M$6:$M$165,$D$6:$D$165,AF17,CHOIX,AG18)</f>
        <v>#NAME?</v>
      </c>
      <c r="AN18" s="1" t="s">
        <v>155</v>
      </c>
      <c r="AO18" s="83"/>
      <c r="AP18" s="63"/>
      <c r="AQ18" s="63"/>
      <c r="AR18" s="63"/>
      <c r="AS18" s="79"/>
      <c r="AT18" s="79"/>
      <c r="AU18" s="55" t="e">
        <f>SUMIFS($O$6:$O$165,$D$6:$D$165,AF17,CHOIX,AG18)</f>
        <v>#NAME?</v>
      </c>
      <c r="AV18" s="80" t="e">
        <f>SUMIFS($Q$6:$Q$165,$D$6:$D$165,AF17,CHOIX,AG18)</f>
        <v>#NAME?</v>
      </c>
      <c r="AW18" s="12"/>
      <c r="AX18" s="12"/>
      <c r="AY18" s="12"/>
      <c r="AZ18" s="8"/>
      <c r="BA18" s="148"/>
      <c r="BB18" s="148"/>
      <c r="BC18" s="148"/>
      <c r="BD18" s="10"/>
      <c r="BE18" s="10"/>
      <c r="BF18" s="10"/>
      <c r="BG18" s="10"/>
      <c r="BH18" s="10"/>
      <c r="BI18" s="10"/>
      <c r="BJ18" s="10"/>
      <c r="BK18" s="10"/>
      <c r="BL18" s="10"/>
      <c r="BM18" s="147">
        <f t="shared" si="8"/>
        <v>0</v>
      </c>
      <c r="BN18" s="147">
        <f t="shared" si="9"/>
        <v>0</v>
      </c>
      <c r="BO18" s="149"/>
      <c r="BP18" s="166"/>
      <c r="BQ18" s="12"/>
      <c r="BR18" s="12"/>
      <c r="BS18" s="476"/>
      <c r="BT18" s="481"/>
      <c r="BU18" s="477"/>
      <c r="BV18" s="545"/>
      <c r="BW18" s="580"/>
      <c r="BX18" s="576"/>
      <c r="BY18" s="497"/>
      <c r="BZ18" s="497"/>
      <c r="CA18" s="543"/>
      <c r="CB18" s="477"/>
      <c r="CC18" s="544"/>
      <c r="CV18" s="64"/>
      <c r="CW18" s="148"/>
      <c r="CX18" s="109"/>
      <c r="CY18" s="132"/>
      <c r="CZ18" s="143"/>
      <c r="DA18" s="63"/>
      <c r="DB18" s="50"/>
      <c r="DC18" s="10"/>
      <c r="DD18" s="10"/>
      <c r="DE18" s="10"/>
      <c r="DF18" s="10"/>
      <c r="DG18" s="10"/>
      <c r="DH18" s="39"/>
      <c r="DI18" s="33">
        <f t="shared" si="4"/>
        <v>0</v>
      </c>
      <c r="DJ18" s="52" t="b">
        <f>IF(AND(CZ18="CLIENT S+L",DA18="HUILE"),(DN18*3333.33+(VLOOKUP(DC18,'BASE '!$I$112:$J$142,2,0)))-((DN18*3333.33)*DB18),IF(AND(CZ18="CLIENT S+L",DA18="LAIT"),((DN18*952.4)-(DN18*952.4)*DB18),IF(CZ18="CLIENT O","OFFERT",IF(AND(DA18="HUILE",CZ18="CLIENT L"),(((VLOOKUP(DC18,'BASE '!$I$112:$J$142,2,0))+(VLOOKUP(DN18,'BASE '!#REF!,2,0)))),IF(AND(DA18="LAIT",CZ18="CLIENT L"),(DN18*952.4),IF(AND(DA18="HUILE",CZ18="CLIENT D"),(DN18*3809.53+(VLOOKUP(DC18,'BASE '!$I$112:$J$142,2,0))),IF(AND(DA18="LAIT",CZ18="CLIENT D"),(DN18*952.4),IF(AND(DA18="HUILE",CZ18="CLIENT S+D"),((DN18*3809.53+(VLOOKUP(DC18,'BASE '!$I$112:$J$142,2,0)))-((DN18*3809.53)*DB18)),IF(AND(DA18="LAIT",CZ18="CLIENT S+D"),((DN18*952.4)-((DN18*952.4)*DB18)),IF(AND(CZ18="CLIENT S",DA18="LAIT"),((DN18*952.4)-((DN18*952.4)*DB18)),IF(AND(DA18="HUILE",CZ18="CLIENT S"),(VLOOKUP(DC18,'BASE '!$I$112:$J$142,2,0)+(VLOOKUP(DN18,'BASE '!#REF!,2,0)))-(DB18*((VLOOKUP(DN18,'BASE '!#REF!,2,0)+(VLOOKUP(DC18,'BASE '!$I$112:$J$142,2,0))))))))))))))))</f>
        <v>0</v>
      </c>
      <c r="DK18" s="52" t="b">
        <f t="shared" si="5"/>
        <v>0</v>
      </c>
      <c r="DL18" s="53" t="b">
        <f t="shared" si="12"/>
        <v>0</v>
      </c>
      <c r="DM18" s="149"/>
      <c r="DN18" s="116">
        <f t="shared" si="13"/>
        <v>0</v>
      </c>
      <c r="DO18" s="124"/>
      <c r="DP18" s="42"/>
      <c r="DQ18" s="70"/>
      <c r="DR18" s="159"/>
      <c r="DS18" s="159"/>
      <c r="DT18" s="159"/>
      <c r="DU18" s="160"/>
      <c r="DV18" s="95"/>
      <c r="DW18" s="95"/>
      <c r="DX18" s="95"/>
      <c r="DY18" s="96"/>
    </row>
    <row r="19" spans="2:129" ht="15" customHeight="1" x14ac:dyDescent="0.3">
      <c r="B19" s="64"/>
      <c r="C19" s="148"/>
      <c r="D19" s="109"/>
      <c r="E19" s="63"/>
      <c r="F19" s="127"/>
      <c r="G19" s="50"/>
      <c r="H19" s="10"/>
      <c r="I19" s="10"/>
      <c r="J19" s="10"/>
      <c r="K19" s="10"/>
      <c r="L19" s="10"/>
      <c r="M19" s="39"/>
      <c r="N19" s="33">
        <f t="shared" si="0"/>
        <v>0</v>
      </c>
      <c r="O19" s="52" t="b">
        <f>IF(AND(E19="CLIENT S+L",F19="HUILE"),(S19*3333.33+(VLOOKUP(H19,'BASE '!$I$112:$J$142,2,0)))-((S19*3333.33)*G19),IF(AND(E19="CLIENT S+L",F19="LAIT"),((S19*952.4)-(S19*952.4)*G19),IF(E19="CLIENT O","OFFERT",IF(AND(F19="HUILE",E19="CLIENT L"),(((VLOOKUP(H19,'BASE '!$I$112:$J$142,2,0))+(VLOOKUP(S19,'BASE '!#REF!,2,0)))),IF(AND(F19="LAIT",E19="CLIENT L"),(S19*952.4),IF(AND(F19="HUILE",E19="CLIENT D"),(S19*3809.53+(VLOOKUP(H19,'BASE '!$I$112:$J$142,2,0))),IF(AND(F19="LAIT",E19="CLIENT D"),(S19*952.4),IF(AND(F19="HUILE",E19="CLIENT S+D"),((S19*3809.53+(VLOOKUP(H19,'BASE '!$I$112:$J$142,2,0)))-((S19*3809.53)*G19)),IF(AND(F19="LAIT",E19="CLIENT S+D"),((S19*952.4)-((S19*952.4)*G19)),IF(AND(E19="CLIENT S",F19="LAIT"),((S19*952.4)-((S19*952.4)*G19)),IF(AND(F19="HUILE",E19="CLIENT S"),(VLOOKUP(H19,'BASE '!$I$112:$J$142,2,0)+(VLOOKUP(S19,'BASE '!#REF!,2,0)))-(G19*((VLOOKUP(S19,'BASE '!#REF!,2,0)+(VLOOKUP(H19,'BASE '!$I$112:$J$142,2,0))))))))))))))))</f>
        <v>0</v>
      </c>
      <c r="P19" s="52" t="b">
        <f t="shared" si="1"/>
        <v>0</v>
      </c>
      <c r="Q19" s="53" t="b">
        <f t="shared" si="2"/>
        <v>0</v>
      </c>
      <c r="R19" s="152" t="s">
        <v>175</v>
      </c>
      <c r="S19" s="184">
        <f t="shared" si="6"/>
        <v>0</v>
      </c>
      <c r="T19" s="124"/>
      <c r="U19" s="41" t="s">
        <v>175</v>
      </c>
      <c r="V19" s="70" t="e">
        <f>VLOOKUP(U19,'BASE '!$A$4:$H$144,2,0)</f>
        <v>#N/A</v>
      </c>
      <c r="W19" s="159"/>
      <c r="X19" s="159"/>
      <c r="Y19" s="160"/>
      <c r="Z19" s="158" t="e">
        <f>VLOOKUP(U19,'BASE '!$A$4:$H$144,3,0)</f>
        <v>#N/A</v>
      </c>
      <c r="AA19" s="94" t="e">
        <f t="shared" si="3"/>
        <v>#N/A</v>
      </c>
      <c r="AB19" s="95" t="e">
        <f>VLOOKUP(U19,'BASE '!$A$4:$H$144,6,0)*Y19/100</f>
        <v>#N/A</v>
      </c>
      <c r="AC19" s="95" t="e">
        <f>VLOOKUP(U19,'BASE '!$A$4:$H$144,7,0)*Y19/100</f>
        <v>#N/A</v>
      </c>
      <c r="AD19" s="95" t="e">
        <f>VLOOKUP(U19,'BASE '!$A$4:$H$144,8,0)*Y19/100</f>
        <v>#N/A</v>
      </c>
      <c r="AE19" s="96" t="e">
        <f t="shared" si="7"/>
        <v>#N/A</v>
      </c>
      <c r="AF19" s="435" t="s">
        <v>20</v>
      </c>
      <c r="AG19" s="91" t="s">
        <v>157</v>
      </c>
      <c r="AH19" s="36" t="e">
        <f>SUMIFS($H$6:$H$165,$D$6:$D$165,AF19,CHOIX,AG19)</f>
        <v>#NAME?</v>
      </c>
      <c r="AI19" s="36" t="e">
        <f>SUMIFS($I$6:$I$165,$D$6:$D$165,AF19,CHOIX,AG19)</f>
        <v>#NAME?</v>
      </c>
      <c r="AJ19" s="36" t="e">
        <f>SUMIFS($J$6:$J$165,$D$6:$D$165,AF19,CHOIX,AG19)</f>
        <v>#NAME?</v>
      </c>
      <c r="AK19" s="36" t="e">
        <f>SUMIFS($K$6:$K$165,$D$6:$D$165,AF19,CHOIX,AG19)</f>
        <v>#NAME?</v>
      </c>
      <c r="AL19" s="36" t="e">
        <f>SUMIFS($L$6:$L$165,$D$6:$D$165,AF19,CHOIX,AG19)</f>
        <v>#NAME?</v>
      </c>
      <c r="AM19" s="36" t="e">
        <f>SUMIFS($M$6:$M$165,$D$6:$D$165,AF19,CHOIX,AG19)</f>
        <v>#NAME?</v>
      </c>
      <c r="AN19" s="91" t="s">
        <v>157</v>
      </c>
      <c r="AO19" s="83"/>
      <c r="AP19" s="63"/>
      <c r="AQ19" s="63"/>
      <c r="AR19" s="63"/>
      <c r="AS19" s="79"/>
      <c r="AT19" s="79"/>
      <c r="AU19" s="55" t="e">
        <f>SUMIFS($O$6:$O$165,$D$6:$D$165,AF19,CHOIX,AG19)</f>
        <v>#NAME?</v>
      </c>
      <c r="AV19" s="80" t="e">
        <f>SUMIFS($Q$6:$Q$165,$D$6:$D$165,AF19,CHOIX,AG19)</f>
        <v>#NAME?</v>
      </c>
      <c r="AW19" s="12"/>
      <c r="AX19" s="12"/>
      <c r="AY19" s="12"/>
      <c r="AZ19" s="8"/>
      <c r="BA19" s="148"/>
      <c r="BB19" s="148"/>
      <c r="BC19" s="148"/>
      <c r="BD19" s="10"/>
      <c r="BE19" s="10"/>
      <c r="BF19" s="10"/>
      <c r="BG19" s="10"/>
      <c r="BH19" s="10"/>
      <c r="BI19" s="10"/>
      <c r="BJ19" s="10"/>
      <c r="BK19" s="10"/>
      <c r="BL19" s="10"/>
      <c r="BM19" s="147">
        <f t="shared" si="8"/>
        <v>0</v>
      </c>
      <c r="BN19" s="147">
        <f t="shared" si="9"/>
        <v>0</v>
      </c>
      <c r="BO19" s="149"/>
      <c r="BP19" s="166"/>
      <c r="BQ19" s="12"/>
      <c r="BR19" s="12"/>
      <c r="BS19" s="476" t="s">
        <v>15</v>
      </c>
      <c r="BT19" s="481"/>
      <c r="BU19" s="475">
        <v>4.016</v>
      </c>
      <c r="BV19" s="545">
        <f t="shared" ref="BV19" si="24">BU19*BT19</f>
        <v>0</v>
      </c>
      <c r="BW19" s="580"/>
      <c r="BX19" s="576">
        <v>50</v>
      </c>
      <c r="BY19" s="497">
        <f>BK72</f>
        <v>0</v>
      </c>
      <c r="BZ19" s="496" t="e">
        <f>J168</f>
        <v>#NAME?</v>
      </c>
      <c r="CA19" s="542"/>
      <c r="CB19" s="475">
        <v>500</v>
      </c>
      <c r="CC19" s="544">
        <f t="shared" ref="CC19" si="25">BY19*CB19</f>
        <v>0</v>
      </c>
      <c r="CV19" s="64"/>
      <c r="CW19" s="148"/>
      <c r="CX19" s="109"/>
      <c r="CY19" s="132"/>
      <c r="CZ19" s="143"/>
      <c r="DA19" s="63"/>
      <c r="DB19" s="50"/>
      <c r="DC19" s="10"/>
      <c r="DD19" s="10"/>
      <c r="DE19" s="10"/>
      <c r="DF19" s="10"/>
      <c r="DG19" s="10"/>
      <c r="DH19" s="39"/>
      <c r="DI19" s="33">
        <f t="shared" si="4"/>
        <v>0</v>
      </c>
      <c r="DJ19" s="52" t="b">
        <f>IF(AND(CZ19="CLIENT S+L",DA19="HUILE"),(DN19*3333.33+(VLOOKUP(DC19,'BASE '!$I$112:$J$142,2,0)))-((DN19*3333.33)*DB19),IF(AND(CZ19="CLIENT S+L",DA19="LAIT"),((DN19*952.4)-(DN19*952.4)*DB19),IF(CZ19="CLIENT O","OFFERT",IF(AND(DA19="HUILE",CZ19="CLIENT L"),(((VLOOKUP(DC19,'BASE '!$I$112:$J$142,2,0))+(VLOOKUP(DN19,'BASE '!#REF!,2,0)))),IF(AND(DA19="LAIT",CZ19="CLIENT L"),(DN19*952.4),IF(AND(DA19="HUILE",CZ19="CLIENT D"),(DN19*3809.53+(VLOOKUP(DC19,'BASE '!$I$112:$J$142,2,0))),IF(AND(DA19="LAIT",CZ19="CLIENT D"),(DN19*952.4),IF(AND(DA19="HUILE",CZ19="CLIENT S+D"),((DN19*3809.53+(VLOOKUP(DC19,'BASE '!$I$112:$J$142,2,0)))-((DN19*3809.53)*DB19)),IF(AND(DA19="LAIT",CZ19="CLIENT S+D"),((DN19*952.4)-((DN19*952.4)*DB19)),IF(AND(CZ19="CLIENT S",DA19="LAIT"),((DN19*952.4)-((DN19*952.4)*DB19)),IF(AND(DA19="HUILE",CZ19="CLIENT S"),(VLOOKUP(DC19,'BASE '!$I$112:$J$142,2,0)+(VLOOKUP(DN19,'BASE '!#REF!,2,0)))-(DB19*((VLOOKUP(DN19,'BASE '!#REF!,2,0)+(VLOOKUP(DC19,'BASE '!$I$112:$J$142,2,0))))))))))))))))</f>
        <v>0</v>
      </c>
      <c r="DK19" s="52" t="b">
        <f t="shared" si="5"/>
        <v>0</v>
      </c>
      <c r="DL19" s="53" t="b">
        <f t="shared" si="12"/>
        <v>0</v>
      </c>
      <c r="DM19" s="149"/>
      <c r="DN19" s="116">
        <f t="shared" si="13"/>
        <v>0</v>
      </c>
      <c r="DO19" s="124"/>
      <c r="DP19" s="42"/>
      <c r="DQ19" s="70"/>
      <c r="DR19" s="159"/>
      <c r="DS19" s="159"/>
      <c r="DT19" s="159"/>
      <c r="DU19" s="160"/>
      <c r="DV19" s="95"/>
      <c r="DW19" s="95"/>
      <c r="DX19" s="95"/>
      <c r="DY19" s="96"/>
    </row>
    <row r="20" spans="2:129" ht="15" customHeight="1" x14ac:dyDescent="0.3">
      <c r="B20" s="64"/>
      <c r="C20" s="148"/>
      <c r="D20" s="109"/>
      <c r="E20" s="63"/>
      <c r="F20" s="127"/>
      <c r="G20" s="50"/>
      <c r="H20" s="10"/>
      <c r="I20" s="10"/>
      <c r="J20" s="10"/>
      <c r="K20" s="10"/>
      <c r="L20" s="10"/>
      <c r="M20" s="39"/>
      <c r="N20" s="33">
        <f t="shared" si="0"/>
        <v>0</v>
      </c>
      <c r="O20" s="52" t="b">
        <f>IF(AND(E20="CLIENT S+L",F20="HUILE"),(S20*3333.33+(VLOOKUP(H20,'BASE '!$I$112:$J$142,2,0)))-((S20*3333.33)*G20),IF(AND(E20="CLIENT S+L",F20="LAIT"),((S20*952.4)-(S20*952.4)*G20),IF(E20="CLIENT O","OFFERT",IF(AND(F20="HUILE",E20="CLIENT L"),(((VLOOKUP(H20,'BASE '!$I$112:$J$142,2,0))+(VLOOKUP(S20,'BASE '!#REF!,2,0)))),IF(AND(F20="LAIT",E20="CLIENT L"),(S20*952.4),IF(AND(F20="HUILE",E20="CLIENT D"),(S20*3809.53+(VLOOKUP(H20,'BASE '!$I$112:$J$142,2,0))),IF(AND(F20="LAIT",E20="CLIENT D"),(S20*952.4),IF(AND(F20="HUILE",E20="CLIENT S+D"),((S20*3809.53+(VLOOKUP(H20,'BASE '!$I$112:$J$142,2,0)))-((S20*3809.53)*G20)),IF(AND(F20="LAIT",E20="CLIENT S+D"),((S20*952.4)-((S20*952.4)*G20)),IF(AND(E20="CLIENT S",F20="LAIT"),((S20*952.4)-((S20*952.4)*G20)),IF(AND(F20="HUILE",E20="CLIENT S"),(VLOOKUP(H20,'BASE '!$I$112:$J$142,2,0)+(VLOOKUP(S20,'BASE '!#REF!,2,0)))-(G20*((VLOOKUP(S20,'BASE '!#REF!,2,0)+(VLOOKUP(H20,'BASE '!$I$112:$J$142,2,0))))))))))))))))</f>
        <v>0</v>
      </c>
      <c r="P20" s="52" t="b">
        <f t="shared" si="1"/>
        <v>0</v>
      </c>
      <c r="Q20" s="53" t="b">
        <f t="shared" si="2"/>
        <v>0</v>
      </c>
      <c r="R20" s="152" t="s">
        <v>175</v>
      </c>
      <c r="S20" s="184">
        <f t="shared" si="6"/>
        <v>0</v>
      </c>
      <c r="T20" s="124"/>
      <c r="U20" s="41" t="s">
        <v>175</v>
      </c>
      <c r="V20" s="70" t="e">
        <f>VLOOKUP(U20,'BASE '!$A$4:$H$144,2,0)</f>
        <v>#N/A</v>
      </c>
      <c r="W20" s="159"/>
      <c r="X20" s="159"/>
      <c r="Y20" s="160"/>
      <c r="Z20" s="158" t="e">
        <f>VLOOKUP(U20,'BASE '!$A$4:$H$144,3,0)</f>
        <v>#N/A</v>
      </c>
      <c r="AA20" s="94" t="e">
        <f t="shared" si="3"/>
        <v>#N/A</v>
      </c>
      <c r="AB20" s="95" t="e">
        <f>VLOOKUP(U20,'BASE '!$A$4:$H$144,6,0)*Y20/100</f>
        <v>#N/A</v>
      </c>
      <c r="AC20" s="95" t="e">
        <f>VLOOKUP(U20,'BASE '!$A$4:$H$144,7,0)*Y20/100</f>
        <v>#N/A</v>
      </c>
      <c r="AD20" s="95" t="e">
        <f>VLOOKUP(U20,'BASE '!$A$4:$H$144,8,0)*Y20/100</f>
        <v>#N/A</v>
      </c>
      <c r="AE20" s="96" t="e">
        <f t="shared" si="7"/>
        <v>#N/A</v>
      </c>
      <c r="AF20" s="435"/>
      <c r="AG20" s="1" t="s">
        <v>155</v>
      </c>
      <c r="AH20" s="36" t="e">
        <f>SUMIFS($H$6:$H$165,$D$6:$D$165,AF19,CHOIX,AG20)</f>
        <v>#NAME?</v>
      </c>
      <c r="AI20" s="36" t="e">
        <f>SUMIFS($I$6:$I$165,$D$6:$D$165,AF19,CHOIX,AG20)</f>
        <v>#NAME?</v>
      </c>
      <c r="AJ20" s="36" t="e">
        <f>SUMIFS($J$6:$J$165,$D$6:$D$165,AF19,CHOIX,AG20)</f>
        <v>#NAME?</v>
      </c>
      <c r="AK20" s="36" t="e">
        <f>SUMIFS($K$6:$K$165,$D$6:$D$165,AF19,CHOIX,AG20)</f>
        <v>#NAME?</v>
      </c>
      <c r="AL20" s="36" t="e">
        <f>SUMIFS($L$6:$L$165,$D$6:$D$165,AF19,CHOIX,AG20)</f>
        <v>#NAME?</v>
      </c>
      <c r="AM20" s="36" t="e">
        <f>SUMIFS($M$6:$M$165,$D$6:$D$165,AF19,CHOIX,AG20)</f>
        <v>#NAME?</v>
      </c>
      <c r="AN20" s="1" t="s">
        <v>155</v>
      </c>
      <c r="AO20" s="83"/>
      <c r="AP20" s="63"/>
      <c r="AQ20" s="63"/>
      <c r="AR20" s="63"/>
      <c r="AS20" s="79"/>
      <c r="AT20" s="79"/>
      <c r="AU20" s="55" t="e">
        <f>SUMIFS($O$6:$O$165,$D$6:$D$165,AF19,CHOIX,AG20)</f>
        <v>#NAME?</v>
      </c>
      <c r="AV20" s="80" t="e">
        <f>SUMIFS($Q$6:$Q$165,$D$6:$D$165,AF19,CHOIX,AG20)</f>
        <v>#NAME?</v>
      </c>
      <c r="AW20" s="12"/>
      <c r="AX20" s="12"/>
      <c r="AY20" s="12"/>
      <c r="AZ20" s="8"/>
      <c r="BA20" s="148"/>
      <c r="BB20" s="148"/>
      <c r="BC20" s="148"/>
      <c r="BD20" s="10"/>
      <c r="BE20" s="10"/>
      <c r="BF20" s="10"/>
      <c r="BG20" s="10"/>
      <c r="BH20" s="10"/>
      <c r="BI20" s="10"/>
      <c r="BJ20" s="10"/>
      <c r="BK20" s="10"/>
      <c r="BL20" s="10"/>
      <c r="BM20" s="147">
        <f t="shared" si="8"/>
        <v>0</v>
      </c>
      <c r="BN20" s="147">
        <f t="shared" si="9"/>
        <v>0</v>
      </c>
      <c r="BO20" s="149"/>
      <c r="BP20" s="166"/>
      <c r="BQ20" s="12"/>
      <c r="BR20" s="12"/>
      <c r="BS20" s="476"/>
      <c r="BT20" s="481"/>
      <c r="BU20" s="475"/>
      <c r="BV20" s="545"/>
      <c r="BW20" s="580"/>
      <c r="BX20" s="576"/>
      <c r="BY20" s="497"/>
      <c r="BZ20" s="497"/>
      <c r="CA20" s="543"/>
      <c r="CB20" s="475"/>
      <c r="CC20" s="544"/>
      <c r="CV20" s="64"/>
      <c r="CW20" s="148"/>
      <c r="CX20" s="109"/>
      <c r="CY20" s="132"/>
      <c r="CZ20" s="143"/>
      <c r="DA20" s="63"/>
      <c r="DB20" s="50"/>
      <c r="DC20" s="10"/>
      <c r="DD20" s="10"/>
      <c r="DE20" s="10"/>
      <c r="DF20" s="10"/>
      <c r="DG20" s="10"/>
      <c r="DH20" s="39"/>
      <c r="DI20" s="33">
        <f t="shared" si="4"/>
        <v>0</v>
      </c>
      <c r="DJ20" s="52" t="b">
        <f>IF(AND(CZ20="CLIENT S+L",DA20="HUILE"),(DN20*3333.33+(VLOOKUP(DC20,'BASE '!$I$112:$J$142,2,0)))-((DN20*3333.33)*DB20),IF(AND(CZ20="CLIENT S+L",DA20="LAIT"),((DN20*952.4)-(DN20*952.4)*DB20),IF(CZ20="CLIENT O","OFFERT",IF(AND(DA20="HUILE",CZ20="CLIENT L"),(((VLOOKUP(DC20,'BASE '!$I$112:$J$142,2,0))+(VLOOKUP(DN20,'BASE '!#REF!,2,0)))),IF(AND(DA20="LAIT",CZ20="CLIENT L"),(DN20*952.4),IF(AND(DA20="HUILE",CZ20="CLIENT D"),(DN20*3809.53+(VLOOKUP(DC20,'BASE '!$I$112:$J$142,2,0))),IF(AND(DA20="LAIT",CZ20="CLIENT D"),(DN20*952.4),IF(AND(DA20="HUILE",CZ20="CLIENT S+D"),((DN20*3809.53+(VLOOKUP(DC20,'BASE '!$I$112:$J$142,2,0)))-((DN20*3809.53)*DB20)),IF(AND(DA20="LAIT",CZ20="CLIENT S+D"),((DN20*952.4)-((DN20*952.4)*DB20)),IF(AND(CZ20="CLIENT S",DA20="LAIT"),((DN20*952.4)-((DN20*952.4)*DB20)),IF(AND(DA20="HUILE",CZ20="CLIENT S"),(VLOOKUP(DC20,'BASE '!$I$112:$J$142,2,0)+(VLOOKUP(DN20,'BASE '!#REF!,2,0)))-(DB20*((VLOOKUP(DN20,'BASE '!#REF!,2,0)+(VLOOKUP(DC20,'BASE '!$I$112:$J$142,2,0))))))))))))))))</f>
        <v>0</v>
      </c>
      <c r="DK20" s="52" t="b">
        <f t="shared" si="5"/>
        <v>0</v>
      </c>
      <c r="DL20" s="53" t="b">
        <f t="shared" si="12"/>
        <v>0</v>
      </c>
      <c r="DM20" s="149"/>
      <c r="DN20" s="116">
        <f t="shared" si="13"/>
        <v>0</v>
      </c>
      <c r="DO20" s="124"/>
      <c r="DP20" s="42"/>
      <c r="DQ20" s="70"/>
      <c r="DR20" s="159"/>
      <c r="DS20" s="159"/>
      <c r="DT20" s="159"/>
      <c r="DU20" s="160"/>
      <c r="DV20" s="95"/>
      <c r="DW20" s="95"/>
      <c r="DX20" s="95"/>
      <c r="DY20" s="96"/>
    </row>
    <row r="21" spans="2:129" ht="15" customHeight="1" x14ac:dyDescent="0.3">
      <c r="B21" s="64"/>
      <c r="C21" s="148"/>
      <c r="D21" s="109"/>
      <c r="E21" s="63"/>
      <c r="F21" s="127"/>
      <c r="G21" s="50"/>
      <c r="H21" s="10"/>
      <c r="I21" s="10"/>
      <c r="J21" s="10"/>
      <c r="K21" s="10"/>
      <c r="L21" s="10"/>
      <c r="M21" s="39"/>
      <c r="N21" s="33">
        <f t="shared" si="0"/>
        <v>0</v>
      </c>
      <c r="O21" s="52" t="b">
        <f>IF(AND(E21="CLIENT S+L",F21="HUILE"),(S21*3333.33+(VLOOKUP(H21,'BASE '!$I$112:$J$142,2,0)))-((S21*3333.33)*G21),IF(AND(E21="CLIENT S+L",F21="LAIT"),((S21*952.4)-(S21*952.4)*G21),IF(E21="CLIENT O","OFFERT",IF(AND(F21="HUILE",E21="CLIENT L"),(((VLOOKUP(H21,'BASE '!$I$112:$J$142,2,0))+(VLOOKUP(S21,'BASE '!#REF!,2,0)))),IF(AND(F21="LAIT",E21="CLIENT L"),(S21*952.4),IF(AND(F21="HUILE",E21="CLIENT D"),(S21*3809.53+(VLOOKUP(H21,'BASE '!$I$112:$J$142,2,0))),IF(AND(F21="LAIT",E21="CLIENT D"),(S21*952.4),IF(AND(F21="HUILE",E21="CLIENT S+D"),((S21*3809.53+(VLOOKUP(H21,'BASE '!$I$112:$J$142,2,0)))-((S21*3809.53)*G21)),IF(AND(F21="LAIT",E21="CLIENT S+D"),((S21*952.4)-((S21*952.4)*G21)),IF(AND(E21="CLIENT S",F21="LAIT"),((S21*952.4)-((S21*952.4)*G21)),IF(AND(F21="HUILE",E21="CLIENT S"),(VLOOKUP(H21,'BASE '!$I$112:$J$142,2,0)+(VLOOKUP(S21,'BASE '!#REF!,2,0)))-(G21*((VLOOKUP(S21,'BASE '!#REF!,2,0)+(VLOOKUP(H21,'BASE '!$I$112:$J$142,2,0))))))))))))))))</f>
        <v>0</v>
      </c>
      <c r="P21" s="52" t="b">
        <f t="shared" si="1"/>
        <v>0</v>
      </c>
      <c r="Q21" s="53" t="b">
        <f t="shared" si="2"/>
        <v>0</v>
      </c>
      <c r="R21" s="152" t="s">
        <v>175</v>
      </c>
      <c r="S21" s="184">
        <f t="shared" si="6"/>
        <v>0</v>
      </c>
      <c r="T21" s="124"/>
      <c r="U21" s="41" t="s">
        <v>175</v>
      </c>
      <c r="V21" s="70" t="e">
        <f>VLOOKUP(U21,'BASE '!$A$4:$H$144,2,0)</f>
        <v>#N/A</v>
      </c>
      <c r="W21" s="159"/>
      <c r="X21" s="159"/>
      <c r="Y21" s="160"/>
      <c r="Z21" s="158" t="e">
        <f>VLOOKUP(U21,'BASE '!$A$4:$H$144,3,0)</f>
        <v>#N/A</v>
      </c>
      <c r="AA21" s="94" t="e">
        <f t="shared" si="3"/>
        <v>#N/A</v>
      </c>
      <c r="AB21" s="95" t="e">
        <f>VLOOKUP(U21,'BASE '!$A$4:$H$144,6,0)*Y21/100</f>
        <v>#N/A</v>
      </c>
      <c r="AC21" s="95" t="e">
        <f>VLOOKUP(U21,'BASE '!$A$4:$H$144,7,0)*Y21/100</f>
        <v>#N/A</v>
      </c>
      <c r="AD21" s="95" t="e">
        <f>VLOOKUP(U21,'BASE '!$A$4:$H$144,8,0)*Y21/100</f>
        <v>#N/A</v>
      </c>
      <c r="AE21" s="96" t="e">
        <f t="shared" si="7"/>
        <v>#N/A</v>
      </c>
      <c r="AF21" s="435" t="s">
        <v>132</v>
      </c>
      <c r="AG21" s="91" t="s">
        <v>157</v>
      </c>
      <c r="AH21" s="36" t="e">
        <f>SUMIFS($H$6:$H$165,$D$6:$D$165,AF21,CHOIX,AG21)</f>
        <v>#NAME?</v>
      </c>
      <c r="AI21" s="36" t="e">
        <f>SUMIFS($I$6:$I$165,$D$6:$D$165,AF21,CHOIX,AG21)</f>
        <v>#NAME?</v>
      </c>
      <c r="AJ21" s="36" t="e">
        <f>SUMIFS($J$6:$J$165,$D$6:$D$165,AF21,CHOIX,AG21)</f>
        <v>#NAME?</v>
      </c>
      <c r="AK21" s="36" t="e">
        <f>SUMIFS($K$6:$K$165,$D$6:$D$165,AF21,CHOIX,AG21)</f>
        <v>#NAME?</v>
      </c>
      <c r="AL21" s="36" t="e">
        <f>SUMIFS($L$6:$L$165,$D$6:$D$165,AF21,CHOIX,AG21)</f>
        <v>#NAME?</v>
      </c>
      <c r="AM21" s="36" t="e">
        <f>SUMIFS($M$6:$M$165,$D$6:$D$165,AF21,CHOIX,AG21)</f>
        <v>#NAME?</v>
      </c>
      <c r="AN21" s="91" t="s">
        <v>157</v>
      </c>
      <c r="AO21" s="83"/>
      <c r="AP21" s="63"/>
      <c r="AQ21" s="63"/>
      <c r="AR21" s="63"/>
      <c r="AS21" s="79"/>
      <c r="AT21" s="79"/>
      <c r="AU21" s="55" t="e">
        <f>SUMIFS($O$6:$O$165,$D$6:$D$165,AF21,CHOIX,AG21)</f>
        <v>#NAME?</v>
      </c>
      <c r="AV21" s="80" t="e">
        <f>SUMIFS($Q$6:$Q$165,$D$6:$D$165,AF21,CHOIX,AG21)</f>
        <v>#NAME?</v>
      </c>
      <c r="AW21" s="12"/>
      <c r="AX21" s="12"/>
      <c r="AY21" s="12"/>
      <c r="AZ21" s="8"/>
      <c r="BA21" s="148"/>
      <c r="BB21" s="148"/>
      <c r="BC21" s="148"/>
      <c r="BD21" s="10"/>
      <c r="BE21" s="10"/>
      <c r="BF21" s="10"/>
      <c r="BG21" s="10"/>
      <c r="BH21" s="10"/>
      <c r="BI21" s="10"/>
      <c r="BJ21" s="10"/>
      <c r="BK21" s="10"/>
      <c r="BL21" s="10"/>
      <c r="BM21" s="147">
        <f t="shared" si="8"/>
        <v>0</v>
      </c>
      <c r="BN21" s="147">
        <f t="shared" si="9"/>
        <v>0</v>
      </c>
      <c r="BO21" s="149"/>
      <c r="BP21" s="166"/>
      <c r="BQ21" s="12"/>
      <c r="BR21" s="12"/>
      <c r="BS21" s="476" t="s">
        <v>16</v>
      </c>
      <c r="BT21" s="481"/>
      <c r="BU21" s="475">
        <v>215</v>
      </c>
      <c r="BV21" s="545">
        <f t="shared" ref="BV21" si="26">BU21*BT21</f>
        <v>0</v>
      </c>
      <c r="BW21" s="580"/>
      <c r="BX21" s="576">
        <v>75</v>
      </c>
      <c r="BY21" s="497">
        <f>BL73</f>
        <v>0</v>
      </c>
      <c r="BZ21" s="588" t="e">
        <f>K168</f>
        <v>#NAME?</v>
      </c>
      <c r="CA21" s="542"/>
      <c r="CB21" s="475">
        <v>1000</v>
      </c>
      <c r="CC21" s="544">
        <f t="shared" ref="CC21" si="27">BY21*CB21</f>
        <v>0</v>
      </c>
      <c r="CV21" s="64"/>
      <c r="CW21" s="148"/>
      <c r="CX21" s="109"/>
      <c r="CY21" s="132"/>
      <c r="CZ21" s="143"/>
      <c r="DA21" s="63"/>
      <c r="DB21" s="50"/>
      <c r="DC21" s="10"/>
      <c r="DD21" s="10"/>
      <c r="DE21" s="10"/>
      <c r="DF21" s="10"/>
      <c r="DG21" s="10"/>
      <c r="DH21" s="39"/>
      <c r="DI21" s="33">
        <f t="shared" si="4"/>
        <v>0</v>
      </c>
      <c r="DJ21" s="52" t="b">
        <f>IF(AND(CZ21="CLIENT S+L",DA21="HUILE"),(DN21*3333.33+(VLOOKUP(DC21,'BASE '!$I$112:$J$142,2,0)))-((DN21*3333.33)*DB21),IF(AND(CZ21="CLIENT S+L",DA21="LAIT"),((DN21*952.4)-(DN21*952.4)*DB21),IF(CZ21="CLIENT O","OFFERT",IF(AND(DA21="HUILE",CZ21="CLIENT L"),(((VLOOKUP(DC21,'BASE '!$I$112:$J$142,2,0))+(VLOOKUP(DN21,'BASE '!#REF!,2,0)))),IF(AND(DA21="LAIT",CZ21="CLIENT L"),(DN21*952.4),IF(AND(DA21="HUILE",CZ21="CLIENT D"),(DN21*3809.53+(VLOOKUP(DC21,'BASE '!$I$112:$J$142,2,0))),IF(AND(DA21="LAIT",CZ21="CLIENT D"),(DN21*952.4),IF(AND(DA21="HUILE",CZ21="CLIENT S+D"),((DN21*3809.53+(VLOOKUP(DC21,'BASE '!$I$112:$J$142,2,0)))-((DN21*3809.53)*DB21)),IF(AND(DA21="LAIT",CZ21="CLIENT S+D"),((DN21*952.4)-((DN21*952.4)*DB21)),IF(AND(CZ21="CLIENT S",DA21="LAIT"),((DN21*952.4)-((DN21*952.4)*DB21)),IF(AND(DA21="HUILE",CZ21="CLIENT S"),(VLOOKUP(DC21,'BASE '!$I$112:$J$142,2,0)+(VLOOKUP(DN21,'BASE '!#REF!,2,0)))-(DB21*((VLOOKUP(DN21,'BASE '!#REF!,2,0)+(VLOOKUP(DC21,'BASE '!$I$112:$J$142,2,0))))))))))))))))</f>
        <v>0</v>
      </c>
      <c r="DK21" s="52" t="b">
        <f t="shared" si="5"/>
        <v>0</v>
      </c>
      <c r="DL21" s="53" t="b">
        <f t="shared" si="12"/>
        <v>0</v>
      </c>
      <c r="DM21" s="149"/>
      <c r="DN21" s="116">
        <f t="shared" si="13"/>
        <v>0</v>
      </c>
      <c r="DO21" s="124"/>
      <c r="DP21" s="42"/>
      <c r="DQ21" s="70"/>
      <c r="DR21" s="159"/>
      <c r="DS21" s="159"/>
      <c r="DT21" s="159"/>
      <c r="DU21" s="160"/>
      <c r="DV21" s="95"/>
      <c r="DW21" s="95"/>
      <c r="DX21" s="95"/>
      <c r="DY21" s="96"/>
    </row>
    <row r="22" spans="2:129" ht="15" customHeight="1" thickBot="1" x14ac:dyDescent="0.35">
      <c r="B22" s="64"/>
      <c r="C22" s="148"/>
      <c r="D22" s="109"/>
      <c r="E22" s="63"/>
      <c r="F22" s="127"/>
      <c r="G22" s="50"/>
      <c r="H22" s="10"/>
      <c r="I22" s="10"/>
      <c r="J22" s="10"/>
      <c r="K22" s="10"/>
      <c r="L22" s="10"/>
      <c r="M22" s="39"/>
      <c r="N22" s="33">
        <f t="shared" si="0"/>
        <v>0</v>
      </c>
      <c r="O22" s="52" t="b">
        <f>IF(AND(E22="CLIENT S+L",F22="HUILE"),(S22*3333.33+(VLOOKUP(H22,'BASE '!$I$112:$J$142,2,0)))-((S22*3333.33)*G22),IF(AND(E22="CLIENT S+L",F22="LAIT"),((S22*952.4)-(S22*952.4)*G22),IF(E22="CLIENT O","OFFERT",IF(AND(F22="HUILE",E22="CLIENT L"),(((VLOOKUP(H22,'BASE '!$I$112:$J$142,2,0))+(VLOOKUP(S22,'BASE '!#REF!,2,0)))),IF(AND(F22="LAIT",E22="CLIENT L"),(S22*952.4),IF(AND(F22="HUILE",E22="CLIENT D"),(S22*3809.53+(VLOOKUP(H22,'BASE '!$I$112:$J$142,2,0))),IF(AND(F22="LAIT",E22="CLIENT D"),(S22*952.4),IF(AND(F22="HUILE",E22="CLIENT S+D"),((S22*3809.53+(VLOOKUP(H22,'BASE '!$I$112:$J$142,2,0)))-((S22*3809.53)*G22)),IF(AND(F22="LAIT",E22="CLIENT S+D"),((S22*952.4)-((S22*952.4)*G22)),IF(AND(E22="CLIENT S",F22="LAIT"),((S22*952.4)-((S22*952.4)*G22)),IF(AND(F22="HUILE",E22="CLIENT S"),(VLOOKUP(H22,'BASE '!$I$112:$J$142,2,0)+(VLOOKUP(S22,'BASE '!#REF!,2,0)))-(G22*((VLOOKUP(S22,'BASE '!#REF!,2,0)+(VLOOKUP(H22,'BASE '!$I$112:$J$142,2,0))))))))))))))))</f>
        <v>0</v>
      </c>
      <c r="P22" s="52" t="b">
        <f t="shared" si="1"/>
        <v>0</v>
      </c>
      <c r="Q22" s="53" t="b">
        <f t="shared" si="2"/>
        <v>0</v>
      </c>
      <c r="R22" s="152" t="s">
        <v>175</v>
      </c>
      <c r="S22" s="184">
        <f t="shared" si="6"/>
        <v>0</v>
      </c>
      <c r="T22" s="124"/>
      <c r="U22" s="41" t="s">
        <v>175</v>
      </c>
      <c r="V22" s="70" t="e">
        <f>VLOOKUP(U22,'BASE '!$A$4:$H$144,2,0)</f>
        <v>#N/A</v>
      </c>
      <c r="W22" s="159"/>
      <c r="X22" s="159"/>
      <c r="Y22" s="160"/>
      <c r="Z22" s="158" t="e">
        <f>VLOOKUP(U22,'BASE '!$A$4:$H$144,3,0)</f>
        <v>#N/A</v>
      </c>
      <c r="AA22" s="94" t="e">
        <f t="shared" si="3"/>
        <v>#N/A</v>
      </c>
      <c r="AB22" s="95" t="e">
        <f>VLOOKUP(U22,'BASE '!$A$4:$H$144,6,0)*Y22/100</f>
        <v>#N/A</v>
      </c>
      <c r="AC22" s="95" t="e">
        <f>VLOOKUP(U22,'BASE '!$A$4:$H$144,7,0)*Y22/100</f>
        <v>#N/A</v>
      </c>
      <c r="AD22" s="95" t="e">
        <f>VLOOKUP(U22,'BASE '!$A$4:$H$144,8,0)*Y22/100</f>
        <v>#N/A</v>
      </c>
      <c r="AE22" s="96" t="e">
        <f t="shared" si="7"/>
        <v>#N/A</v>
      </c>
      <c r="AF22" s="435"/>
      <c r="AG22" s="1" t="s">
        <v>155</v>
      </c>
      <c r="AH22" s="36" t="e">
        <f>SUMIFS($H$6:$H$165,$D$6:$D$165,AF21,CHOIX,AG22)</f>
        <v>#NAME?</v>
      </c>
      <c r="AI22" s="36" t="e">
        <f>SUMIFS($I$6:$I$165,$D$6:$D$165,AF21,CHOIX,AG22)</f>
        <v>#NAME?</v>
      </c>
      <c r="AJ22" s="36" t="e">
        <f>SUMIFS($J$6:$J$165,$D$6:$D$165,AF21,CHOIX,AG22)</f>
        <v>#NAME?</v>
      </c>
      <c r="AK22" s="36" t="e">
        <f>SUMIFS($K$6:$K$165,$D$6:$D$165,AF21,CHOIX,AG22)</f>
        <v>#NAME?</v>
      </c>
      <c r="AL22" s="36" t="e">
        <f>SUMIFS($L$6:$L$165,$D$6:$D$165,AF21,CHOIX,AG22)</f>
        <v>#NAME?</v>
      </c>
      <c r="AM22" s="36" t="e">
        <f>SUMIFS($M$6:$M$165,$D$6:$D$165,AF21,CHOIX,AG22)</f>
        <v>#NAME?</v>
      </c>
      <c r="AN22" s="1" t="s">
        <v>155</v>
      </c>
      <c r="AO22" s="83"/>
      <c r="AP22" s="63"/>
      <c r="AQ22" s="63"/>
      <c r="AR22" s="63"/>
      <c r="AS22" s="79"/>
      <c r="AT22" s="79"/>
      <c r="AU22" s="55" t="e">
        <f>SUMIFS($O$6:$O$165,$D$6:$D$165,AF21,CHOIX,AG22)</f>
        <v>#NAME?</v>
      </c>
      <c r="AV22" s="80" t="e">
        <f>SUMIFS($Q$6:$Q$165,$D$6:$D$165,AF21,CHOIX,AG22)</f>
        <v>#NAME?</v>
      </c>
      <c r="AW22" s="12"/>
      <c r="AX22" s="12"/>
      <c r="AY22" s="12"/>
      <c r="AZ22" s="8"/>
      <c r="BA22" s="148"/>
      <c r="BB22" s="148"/>
      <c r="BC22" s="148"/>
      <c r="BD22" s="10"/>
      <c r="BE22" s="10"/>
      <c r="BF22" s="10"/>
      <c r="BG22" s="10"/>
      <c r="BH22" s="10"/>
      <c r="BI22" s="10"/>
      <c r="BJ22" s="10"/>
      <c r="BK22" s="10"/>
      <c r="BL22" s="10"/>
      <c r="BM22" s="147">
        <f t="shared" si="8"/>
        <v>0</v>
      </c>
      <c r="BN22" s="147">
        <f t="shared" si="9"/>
        <v>0</v>
      </c>
      <c r="BO22" s="149"/>
      <c r="BP22" s="166"/>
      <c r="BQ22" s="12"/>
      <c r="BR22" s="12"/>
      <c r="BS22" s="479"/>
      <c r="BT22" s="527"/>
      <c r="BU22" s="528"/>
      <c r="BV22" s="586"/>
      <c r="BW22" s="592"/>
      <c r="BX22" s="587"/>
      <c r="BY22" s="526"/>
      <c r="BZ22" s="589"/>
      <c r="CA22" s="590"/>
      <c r="CB22" s="528"/>
      <c r="CC22" s="595"/>
      <c r="CV22" s="64"/>
      <c r="CW22" s="148"/>
      <c r="CX22" s="109"/>
      <c r="CY22" s="132"/>
      <c r="CZ22" s="143"/>
      <c r="DA22" s="63"/>
      <c r="DB22" s="50"/>
      <c r="DC22" s="10"/>
      <c r="DD22" s="10"/>
      <c r="DE22" s="10"/>
      <c r="DF22" s="10"/>
      <c r="DG22" s="10"/>
      <c r="DH22" s="39"/>
      <c r="DI22" s="33">
        <f t="shared" si="4"/>
        <v>0</v>
      </c>
      <c r="DJ22" s="52" t="b">
        <f>IF(AND(CZ22="CLIENT S+L",DA22="HUILE"),(DN22*3333.33+(VLOOKUP(DC22,'BASE '!$I$112:$J$142,2,0)))-((DN22*3333.33)*DB22),IF(AND(CZ22="CLIENT S+L",DA22="LAIT"),((DN22*952.4)-(DN22*952.4)*DB22),IF(CZ22="CLIENT O","OFFERT",IF(AND(DA22="HUILE",CZ22="CLIENT L"),(((VLOOKUP(DC22,'BASE '!$I$112:$J$142,2,0))+(VLOOKUP(DN22,'BASE '!#REF!,2,0)))),IF(AND(DA22="LAIT",CZ22="CLIENT L"),(DN22*952.4),IF(AND(DA22="HUILE",CZ22="CLIENT D"),(DN22*3809.53+(VLOOKUP(DC22,'BASE '!$I$112:$J$142,2,0))),IF(AND(DA22="LAIT",CZ22="CLIENT D"),(DN22*952.4),IF(AND(DA22="HUILE",CZ22="CLIENT S+D"),((DN22*3809.53+(VLOOKUP(DC22,'BASE '!$I$112:$J$142,2,0)))-((DN22*3809.53)*DB22)),IF(AND(DA22="LAIT",CZ22="CLIENT S+D"),((DN22*952.4)-((DN22*952.4)*DB22)),IF(AND(CZ22="CLIENT S",DA22="LAIT"),((DN22*952.4)-((DN22*952.4)*DB22)),IF(AND(DA22="HUILE",CZ22="CLIENT S"),(VLOOKUP(DC22,'BASE '!$I$112:$J$142,2,0)+(VLOOKUP(DN22,'BASE '!#REF!,2,0)))-(DB22*((VLOOKUP(DN22,'BASE '!#REF!,2,0)+(VLOOKUP(DC22,'BASE '!$I$112:$J$142,2,0))))))))))))))))</f>
        <v>0</v>
      </c>
      <c r="DK22" s="52" t="b">
        <f t="shared" si="5"/>
        <v>0</v>
      </c>
      <c r="DL22" s="53" t="b">
        <f t="shared" si="12"/>
        <v>0</v>
      </c>
      <c r="DM22" s="149"/>
      <c r="DN22" s="116">
        <f t="shared" si="13"/>
        <v>0</v>
      </c>
      <c r="DO22" s="124"/>
      <c r="DP22" s="42"/>
      <c r="DQ22" s="70"/>
      <c r="DR22" s="159"/>
      <c r="DS22" s="159"/>
      <c r="DT22" s="159"/>
      <c r="DU22" s="160"/>
      <c r="DV22" s="95"/>
      <c r="DW22" s="95"/>
      <c r="DX22" s="95"/>
      <c r="DY22" s="96"/>
    </row>
    <row r="23" spans="2:129" ht="15" customHeight="1" x14ac:dyDescent="0.3">
      <c r="B23" s="64"/>
      <c r="C23" s="148"/>
      <c r="D23" s="109"/>
      <c r="E23" s="63"/>
      <c r="F23" s="127"/>
      <c r="G23" s="50"/>
      <c r="H23" s="10"/>
      <c r="I23" s="10"/>
      <c r="J23" s="10"/>
      <c r="K23" s="10"/>
      <c r="L23" s="10"/>
      <c r="M23" s="39"/>
      <c r="N23" s="33">
        <f t="shared" si="0"/>
        <v>0</v>
      </c>
      <c r="O23" s="52" t="b">
        <f>IF(AND(E23="CLIENT S+L",F23="HUILE"),(S23*3333.33+(VLOOKUP(H23,'BASE '!$I$112:$J$142,2,0)))-((S23*3333.33)*G23),IF(AND(E23="CLIENT S+L",F23="LAIT"),((S23*952.4)-(S23*952.4)*G23),IF(E23="CLIENT O","OFFERT",IF(AND(F23="HUILE",E23="CLIENT L"),(((VLOOKUP(H23,'BASE '!$I$112:$J$142,2,0))+(VLOOKUP(S23,'BASE '!#REF!,2,0)))),IF(AND(F23="LAIT",E23="CLIENT L"),(S23*952.4),IF(AND(F23="HUILE",E23="CLIENT D"),(S23*3809.53+(VLOOKUP(H23,'BASE '!$I$112:$J$142,2,0))),IF(AND(F23="LAIT",E23="CLIENT D"),(S23*952.4),IF(AND(F23="HUILE",E23="CLIENT S+D"),((S23*3809.53+(VLOOKUP(H23,'BASE '!$I$112:$J$142,2,0)))-((S23*3809.53)*G23)),IF(AND(F23="LAIT",E23="CLIENT S+D"),((S23*952.4)-((S23*952.4)*G23)),IF(AND(E23="CLIENT S",F23="LAIT"),((S23*952.4)-((S23*952.4)*G23)),IF(AND(F23="HUILE",E23="CLIENT S"),(VLOOKUP(H23,'BASE '!$I$112:$J$142,2,0)+(VLOOKUP(S23,'BASE '!#REF!,2,0)))-(G23*((VLOOKUP(S23,'BASE '!#REF!,2,0)+(VLOOKUP(H23,'BASE '!$I$112:$J$142,2,0))))))))))))))))</f>
        <v>0</v>
      </c>
      <c r="P23" s="52" t="b">
        <f t="shared" si="1"/>
        <v>0</v>
      </c>
      <c r="Q23" s="53" t="b">
        <f t="shared" si="2"/>
        <v>0</v>
      </c>
      <c r="R23" s="152" t="s">
        <v>175</v>
      </c>
      <c r="S23" s="184">
        <f t="shared" si="6"/>
        <v>0</v>
      </c>
      <c r="T23" s="124"/>
      <c r="U23" s="41" t="s">
        <v>175</v>
      </c>
      <c r="V23" s="70" t="e">
        <f>VLOOKUP(U23,'BASE '!$A$4:$H$144,2,0)</f>
        <v>#N/A</v>
      </c>
      <c r="W23" s="159"/>
      <c r="X23" s="159"/>
      <c r="Y23" s="160"/>
      <c r="Z23" s="158" t="e">
        <f>VLOOKUP(U23,'BASE '!$A$4:$H$144,3,0)</f>
        <v>#N/A</v>
      </c>
      <c r="AA23" s="94" t="e">
        <f t="shared" si="3"/>
        <v>#N/A</v>
      </c>
      <c r="AB23" s="95" t="e">
        <f>VLOOKUP(U23,'BASE '!$A$4:$H$144,6,0)*Y23/100</f>
        <v>#N/A</v>
      </c>
      <c r="AC23" s="95" t="e">
        <f>VLOOKUP(U23,'BASE '!$A$4:$H$144,7,0)*Y23/100</f>
        <v>#N/A</v>
      </c>
      <c r="AD23" s="95" t="e">
        <f>VLOOKUP(U23,'BASE '!$A$4:$H$144,8,0)*Y23/100</f>
        <v>#N/A</v>
      </c>
      <c r="AE23" s="96" t="e">
        <f t="shared" si="7"/>
        <v>#N/A</v>
      </c>
      <c r="AF23" s="435" t="s">
        <v>9</v>
      </c>
      <c r="AG23" s="91" t="s">
        <v>157</v>
      </c>
      <c r="AH23" s="36" t="e">
        <f>SUMIFS($H$6:$H$165,$D$6:$D$165,AF23,CHOIX,AG23)</f>
        <v>#NAME?</v>
      </c>
      <c r="AI23" s="36" t="e">
        <f>SUMIFS($I$6:$I$165,$D$6:$D$165,AF23,CHOIX,AG23)</f>
        <v>#NAME?</v>
      </c>
      <c r="AJ23" s="36" t="e">
        <f>SUMIFS($J$6:$J$165,$D$6:$D$165,AF23,CHOIX,AG23)</f>
        <v>#NAME?</v>
      </c>
      <c r="AK23" s="36" t="e">
        <f>SUMIFS($K$6:$K$165,$D$6:$D$165,AF23,CHOIX,AG23)</f>
        <v>#NAME?</v>
      </c>
      <c r="AL23" s="36" t="e">
        <f>SUMIFS($L$6:$L$165,$D$6:$D$165,AF23,CHOIX,AG23)</f>
        <v>#NAME?</v>
      </c>
      <c r="AM23" s="36" t="e">
        <f>SUMIFS($M$6:$M$165,$D$6:$D$165,AF23,CHOIX,AG23)</f>
        <v>#NAME?</v>
      </c>
      <c r="AN23" s="91" t="s">
        <v>157</v>
      </c>
      <c r="AO23" s="83"/>
      <c r="AP23" s="63"/>
      <c r="AQ23" s="63"/>
      <c r="AR23" s="63"/>
      <c r="AS23" s="79"/>
      <c r="AT23" s="79"/>
      <c r="AU23" s="55" t="e">
        <f>SUMIFS($O$6:$O$165,$D$6:$D$165,AF23,CHOIX,AG23)</f>
        <v>#NAME?</v>
      </c>
      <c r="AV23" s="80" t="e">
        <f>SUMIFS($Q$6:$Q$165,$D$6:$D$165,AF23,CHOIX,AG23)</f>
        <v>#NAME?</v>
      </c>
      <c r="AW23" s="12"/>
      <c r="AX23" s="12"/>
      <c r="AY23" s="12"/>
      <c r="AZ23" s="8"/>
      <c r="BA23" s="148"/>
      <c r="BB23" s="148"/>
      <c r="BC23" s="148"/>
      <c r="BD23" s="10"/>
      <c r="BE23" s="10"/>
      <c r="BF23" s="10"/>
      <c r="BG23" s="10"/>
      <c r="BH23" s="10"/>
      <c r="BI23" s="10"/>
      <c r="BJ23" s="10"/>
      <c r="BK23" s="10"/>
      <c r="BL23" s="10"/>
      <c r="BM23" s="147">
        <f t="shared" si="8"/>
        <v>0</v>
      </c>
      <c r="BN23" s="147">
        <f t="shared" si="9"/>
        <v>0</v>
      </c>
      <c r="BO23" s="149"/>
      <c r="BP23" s="166"/>
      <c r="BQ23" s="12"/>
      <c r="BR23" s="12"/>
      <c r="BS23" s="514" t="s">
        <v>177</v>
      </c>
      <c r="BT23" s="516"/>
      <c r="BU23" s="516"/>
      <c r="BV23" s="520">
        <f>SUM(BV5:BV22)</f>
        <v>0</v>
      </c>
      <c r="BW23" s="134"/>
      <c r="BX23" s="522" t="s">
        <v>146</v>
      </c>
      <c r="BY23" s="522"/>
      <c r="BZ23" s="522"/>
      <c r="CA23" s="522"/>
      <c r="CB23" s="515"/>
      <c r="CC23" s="512">
        <f>SUM(CC5:CC22)</f>
        <v>0</v>
      </c>
      <c r="CV23" s="64"/>
      <c r="CW23" s="148"/>
      <c r="CX23" s="109"/>
      <c r="CY23" s="132"/>
      <c r="CZ23" s="143"/>
      <c r="DA23" s="63"/>
      <c r="DB23" s="50"/>
      <c r="DC23" s="10"/>
      <c r="DD23" s="10"/>
      <c r="DE23" s="10"/>
      <c r="DF23" s="10"/>
      <c r="DG23" s="10"/>
      <c r="DH23" s="39"/>
      <c r="DI23" s="33">
        <f t="shared" si="4"/>
        <v>0</v>
      </c>
      <c r="DJ23" s="52" t="b">
        <f>IF(AND(CZ23="CLIENT S+L",DA23="HUILE"),(DN23*3333.33+(VLOOKUP(DC23,'BASE '!$I$112:$J$142,2,0)))-((DN23*3333.33)*DB23),IF(AND(CZ23="CLIENT S+L",DA23="LAIT"),((DN23*952.4)-(DN23*952.4)*DB23),IF(CZ23="CLIENT O","OFFERT",IF(AND(DA23="HUILE",CZ23="CLIENT L"),(((VLOOKUP(DC23,'BASE '!$I$112:$J$142,2,0))+(VLOOKUP(DN23,'BASE '!#REF!,2,0)))),IF(AND(DA23="LAIT",CZ23="CLIENT L"),(DN23*952.4),IF(AND(DA23="HUILE",CZ23="CLIENT D"),(DN23*3809.53+(VLOOKUP(DC23,'BASE '!$I$112:$J$142,2,0))),IF(AND(DA23="LAIT",CZ23="CLIENT D"),(DN23*952.4),IF(AND(DA23="HUILE",CZ23="CLIENT S+D"),((DN23*3809.53+(VLOOKUP(DC23,'BASE '!$I$112:$J$142,2,0)))-((DN23*3809.53)*DB23)),IF(AND(DA23="LAIT",CZ23="CLIENT S+D"),((DN23*952.4)-((DN23*952.4)*DB23)),IF(AND(CZ23="CLIENT S",DA23="LAIT"),((DN23*952.4)-((DN23*952.4)*DB23)),IF(AND(DA23="HUILE",CZ23="CLIENT S"),(VLOOKUP(DC23,'BASE '!$I$112:$J$142,2,0)+(VLOOKUP(DN23,'BASE '!#REF!,2,0)))-(DB23*((VLOOKUP(DN23,'BASE '!#REF!,2,0)+(VLOOKUP(DC23,'BASE '!$I$112:$J$142,2,0))))))))))))))))</f>
        <v>0</v>
      </c>
      <c r="DK23" s="52" t="b">
        <f t="shared" si="5"/>
        <v>0</v>
      </c>
      <c r="DL23" s="53" t="b">
        <f t="shared" si="12"/>
        <v>0</v>
      </c>
      <c r="DM23" s="149"/>
      <c r="DN23" s="116">
        <f t="shared" si="13"/>
        <v>0</v>
      </c>
      <c r="DO23" s="124"/>
      <c r="DP23" s="42"/>
      <c r="DQ23" s="70"/>
      <c r="DR23" s="159"/>
      <c r="DS23" s="159"/>
      <c r="DT23" s="159"/>
      <c r="DU23" s="160"/>
      <c r="DV23" s="95"/>
      <c r="DW23" s="95"/>
      <c r="DX23" s="95"/>
      <c r="DY23" s="96"/>
    </row>
    <row r="24" spans="2:129" ht="15" customHeight="1" thickBot="1" x14ac:dyDescent="0.35">
      <c r="B24" s="64"/>
      <c r="C24" s="148"/>
      <c r="D24" s="109"/>
      <c r="E24" s="63"/>
      <c r="F24" s="127"/>
      <c r="G24" s="50"/>
      <c r="H24" s="10"/>
      <c r="I24" s="10"/>
      <c r="J24" s="10"/>
      <c r="K24" s="10"/>
      <c r="L24" s="10"/>
      <c r="M24" s="39"/>
      <c r="N24" s="33">
        <f t="shared" si="0"/>
        <v>0</v>
      </c>
      <c r="O24" s="52" t="b">
        <f>IF(AND(E24="CLIENT S+L",F24="HUILE"),(S24*3333.33+(VLOOKUP(H24,'BASE '!$I$112:$J$142,2,0)))-((S24*3333.33)*G24),IF(AND(E24="CLIENT S+L",F24="LAIT"),((S24*952.4)-(S24*952.4)*G24),IF(E24="CLIENT O","OFFERT",IF(AND(F24="HUILE",E24="CLIENT L"),(((VLOOKUP(H24,'BASE '!$I$112:$J$142,2,0))+(VLOOKUP(S24,'BASE '!#REF!,2,0)))),IF(AND(F24="LAIT",E24="CLIENT L"),(S24*952.4),IF(AND(F24="HUILE",E24="CLIENT D"),(S24*3809.53+(VLOOKUP(H24,'BASE '!$I$112:$J$142,2,0))),IF(AND(F24="LAIT",E24="CLIENT D"),(S24*952.4),IF(AND(F24="HUILE",E24="CLIENT S+D"),((S24*3809.53+(VLOOKUP(H24,'BASE '!$I$112:$J$142,2,0)))-((S24*3809.53)*G24)),IF(AND(F24="LAIT",E24="CLIENT S+D"),((S24*952.4)-((S24*952.4)*G24)),IF(AND(E24="CLIENT S",F24="LAIT"),((S24*952.4)-((S24*952.4)*G24)),IF(AND(F24="HUILE",E24="CLIENT S"),(VLOOKUP(H24,'BASE '!$I$112:$J$142,2,0)+(VLOOKUP(S24,'BASE '!#REF!,2,0)))-(G24*((VLOOKUP(S24,'BASE '!#REF!,2,0)+(VLOOKUP(H24,'BASE '!$I$112:$J$142,2,0))))))))))))))))</f>
        <v>0</v>
      </c>
      <c r="P24" s="52" t="b">
        <f t="shared" si="1"/>
        <v>0</v>
      </c>
      <c r="Q24" s="53" t="b">
        <f t="shared" si="2"/>
        <v>0</v>
      </c>
      <c r="R24" s="152" t="s">
        <v>175</v>
      </c>
      <c r="S24" s="184">
        <f t="shared" si="6"/>
        <v>0</v>
      </c>
      <c r="T24" s="124"/>
      <c r="U24" s="41" t="s">
        <v>175</v>
      </c>
      <c r="V24" s="70" t="e">
        <f>VLOOKUP(U24,'BASE '!$A$4:$H$144,2,0)</f>
        <v>#N/A</v>
      </c>
      <c r="W24" s="159"/>
      <c r="X24" s="159"/>
      <c r="Y24" s="160"/>
      <c r="Z24" s="158" t="e">
        <f>VLOOKUP(U24,'BASE '!$A$4:$H$144,3,0)</f>
        <v>#N/A</v>
      </c>
      <c r="AA24" s="94" t="e">
        <f t="shared" si="3"/>
        <v>#N/A</v>
      </c>
      <c r="AB24" s="95" t="e">
        <f>VLOOKUP(U24,'BASE '!$A$4:$H$144,6,0)*Y24/100</f>
        <v>#N/A</v>
      </c>
      <c r="AC24" s="95" t="e">
        <f>VLOOKUP(U24,'BASE '!$A$4:$H$144,7,0)*Y24/100</f>
        <v>#N/A</v>
      </c>
      <c r="AD24" s="95" t="e">
        <f>VLOOKUP(U24,'BASE '!$A$4:$H$144,8,0)*Y24/100</f>
        <v>#N/A</v>
      </c>
      <c r="AE24" s="96" t="e">
        <f t="shared" si="7"/>
        <v>#N/A</v>
      </c>
      <c r="AF24" s="435"/>
      <c r="AG24" s="1" t="s">
        <v>155</v>
      </c>
      <c r="AH24" s="36" t="e">
        <f>SUMIFS($H$6:$H$165,$D$6:$D$165,AF23,CHOIX,AG24)</f>
        <v>#NAME?</v>
      </c>
      <c r="AI24" s="36" t="e">
        <f>SUMIFS($I$6:$I$165,$D$6:$D$165,AF23,CHOIX,AG24)</f>
        <v>#NAME?</v>
      </c>
      <c r="AJ24" s="36" t="e">
        <f>SUMIFS($J$6:$J$165,$D$6:$D$165,AF23,CHOIX,AG24)</f>
        <v>#NAME?</v>
      </c>
      <c r="AK24" s="36" t="e">
        <f>SUMIFS($K$6:$K$165,$D$6:$D$165,AF23,CHOIX,AG24)</f>
        <v>#NAME?</v>
      </c>
      <c r="AL24" s="36" t="e">
        <f>SUMIFS($L$6:$L$165,$D$6:$D$165,AF23,CHOIX,AG24)</f>
        <v>#NAME?</v>
      </c>
      <c r="AM24" s="36" t="e">
        <f>SUMIFS($M$6:$M$165,$D$6:$D$165,AF23,CHOIX,AG24)</f>
        <v>#NAME?</v>
      </c>
      <c r="AN24" s="1" t="s">
        <v>155</v>
      </c>
      <c r="AO24" s="83"/>
      <c r="AP24" s="63"/>
      <c r="AQ24" s="63"/>
      <c r="AR24" s="63"/>
      <c r="AS24" s="79"/>
      <c r="AT24" s="79"/>
      <c r="AU24" s="55" t="e">
        <f>SUMIFS($O$6:$O$165,$D$6:$D$165,AF23,CHOIX,AG24)</f>
        <v>#NAME?</v>
      </c>
      <c r="AV24" s="80" t="e">
        <f>SUMIFS($Q$6:$Q$165,$D$6:$D$165,AF23,CHOIX,AG24)</f>
        <v>#NAME?</v>
      </c>
      <c r="AW24" s="12"/>
      <c r="AX24" s="12"/>
      <c r="AY24" s="12"/>
      <c r="AZ24" s="8"/>
      <c r="BA24" s="148"/>
      <c r="BB24" s="148"/>
      <c r="BC24" s="148"/>
      <c r="BD24" s="10"/>
      <c r="BE24" s="10"/>
      <c r="BF24" s="10"/>
      <c r="BG24" s="10"/>
      <c r="BH24" s="10"/>
      <c r="BI24" s="10"/>
      <c r="BJ24" s="10"/>
      <c r="BK24" s="10"/>
      <c r="BL24" s="10"/>
      <c r="BM24" s="147">
        <f t="shared" si="8"/>
        <v>0</v>
      </c>
      <c r="BN24" s="147">
        <f t="shared" si="9"/>
        <v>0</v>
      </c>
      <c r="BO24" s="149"/>
      <c r="BP24" s="49"/>
      <c r="BQ24" s="12"/>
      <c r="BR24" s="12"/>
      <c r="BS24" s="517"/>
      <c r="BT24" s="519"/>
      <c r="BU24" s="519"/>
      <c r="BV24" s="521"/>
      <c r="BW24" s="135"/>
      <c r="BX24" s="523"/>
      <c r="BY24" s="523"/>
      <c r="BZ24" s="523"/>
      <c r="CA24" s="523"/>
      <c r="CB24" s="518"/>
      <c r="CC24" s="513"/>
      <c r="CV24" s="64"/>
      <c r="CW24" s="148"/>
      <c r="CX24" s="109"/>
      <c r="CY24" s="132"/>
      <c r="CZ24" s="143"/>
      <c r="DA24" s="63"/>
      <c r="DB24" s="50"/>
      <c r="DC24" s="10"/>
      <c r="DD24" s="10"/>
      <c r="DE24" s="10"/>
      <c r="DF24" s="10"/>
      <c r="DG24" s="10"/>
      <c r="DH24" s="39"/>
      <c r="DI24" s="33">
        <f t="shared" si="4"/>
        <v>0</v>
      </c>
      <c r="DJ24" s="52" t="b">
        <f>IF(AND(CZ24="CLIENT S+L",DA24="HUILE"),(DN24*3333.33+(VLOOKUP(DC24,'BASE '!$I$112:$J$142,2,0)))-((DN24*3333.33)*DB24),IF(AND(CZ24="CLIENT S+L",DA24="LAIT"),((DN24*952.4)-(DN24*952.4)*DB24),IF(CZ24="CLIENT O","OFFERT",IF(AND(DA24="HUILE",CZ24="CLIENT L"),(((VLOOKUP(DC24,'BASE '!$I$112:$J$142,2,0))+(VLOOKUP(DN24,'BASE '!#REF!,2,0)))),IF(AND(DA24="LAIT",CZ24="CLIENT L"),(DN24*952.4),IF(AND(DA24="HUILE",CZ24="CLIENT D"),(DN24*3809.53+(VLOOKUP(DC24,'BASE '!$I$112:$J$142,2,0))),IF(AND(DA24="LAIT",CZ24="CLIENT D"),(DN24*952.4),IF(AND(DA24="HUILE",CZ24="CLIENT S+D"),((DN24*3809.53+(VLOOKUP(DC24,'BASE '!$I$112:$J$142,2,0)))-((DN24*3809.53)*DB24)),IF(AND(DA24="LAIT",CZ24="CLIENT S+D"),((DN24*952.4)-((DN24*952.4)*DB24)),IF(AND(CZ24="CLIENT S",DA24="LAIT"),((DN24*952.4)-((DN24*952.4)*DB24)),IF(AND(DA24="HUILE",CZ24="CLIENT S"),(VLOOKUP(DC24,'BASE '!$I$112:$J$142,2,0)+(VLOOKUP(DN24,'BASE '!#REF!,2,0)))-(DB24*((VLOOKUP(DN24,'BASE '!#REF!,2,0)+(VLOOKUP(DC24,'BASE '!$I$112:$J$142,2,0))))))))))))))))</f>
        <v>0</v>
      </c>
      <c r="DK24" s="52" t="b">
        <f t="shared" si="5"/>
        <v>0</v>
      </c>
      <c r="DL24" s="53" t="b">
        <f t="shared" si="12"/>
        <v>0</v>
      </c>
      <c r="DM24" s="149"/>
      <c r="DN24" s="116">
        <f t="shared" si="13"/>
        <v>0</v>
      </c>
      <c r="DO24" s="124"/>
      <c r="DP24" s="42"/>
      <c r="DQ24" s="70"/>
      <c r="DR24" s="159"/>
      <c r="DS24" s="159"/>
      <c r="DT24" s="159"/>
      <c r="DU24" s="160"/>
      <c r="DV24" s="95"/>
      <c r="DW24" s="95"/>
      <c r="DX24" s="95"/>
      <c r="DY24" s="96"/>
    </row>
    <row r="25" spans="2:129" ht="15" customHeight="1" x14ac:dyDescent="0.3">
      <c r="B25" s="64"/>
      <c r="C25" s="148"/>
      <c r="D25" s="109"/>
      <c r="E25" s="63"/>
      <c r="F25" s="127"/>
      <c r="G25" s="50"/>
      <c r="H25" s="10"/>
      <c r="I25" s="10"/>
      <c r="J25" s="10"/>
      <c r="K25" s="10"/>
      <c r="L25" s="10"/>
      <c r="M25" s="39"/>
      <c r="N25" s="33">
        <f t="shared" si="0"/>
        <v>0</v>
      </c>
      <c r="O25" s="52" t="b">
        <f>IF(AND(E25="CLIENT S+L",F25="HUILE"),(S25*3333.33+(VLOOKUP(H25,'BASE '!$I$112:$J$142,2,0)))-((S25*3333.33)*G25),IF(AND(E25="CLIENT S+L",F25="LAIT"),((S25*952.4)-(S25*952.4)*G25),IF(E25="CLIENT O","OFFERT",IF(AND(F25="HUILE",E25="CLIENT L"),(((VLOOKUP(H25,'BASE '!$I$112:$J$142,2,0))+(VLOOKUP(S25,'BASE '!#REF!,2,0)))),IF(AND(F25="LAIT",E25="CLIENT L"),(S25*952.4),IF(AND(F25="HUILE",E25="CLIENT D"),(S25*3809.53+(VLOOKUP(H25,'BASE '!$I$112:$J$142,2,0))),IF(AND(F25="LAIT",E25="CLIENT D"),(S25*952.4),IF(AND(F25="HUILE",E25="CLIENT S+D"),((S25*3809.53+(VLOOKUP(H25,'BASE '!$I$112:$J$142,2,0)))-((S25*3809.53)*G25)),IF(AND(F25="LAIT",E25="CLIENT S+D"),((S25*952.4)-((S25*952.4)*G25)),IF(AND(E25="CLIENT S",F25="LAIT"),((S25*952.4)-((S25*952.4)*G25)),IF(AND(F25="HUILE",E25="CLIENT S"),(VLOOKUP(H25,'BASE '!$I$112:$J$142,2,0)+(VLOOKUP(S25,'BASE '!#REF!,2,0)))-(G25*((VLOOKUP(S25,'BASE '!#REF!,2,0)+(VLOOKUP(H25,'BASE '!$I$112:$J$142,2,0))))))))))))))))</f>
        <v>0</v>
      </c>
      <c r="P25" s="52" t="b">
        <f t="shared" si="1"/>
        <v>0</v>
      </c>
      <c r="Q25" s="53" t="b">
        <f t="shared" si="2"/>
        <v>0</v>
      </c>
      <c r="R25" s="152" t="s">
        <v>175</v>
      </c>
      <c r="S25" s="184">
        <f t="shared" si="6"/>
        <v>0</v>
      </c>
      <c r="T25" s="124"/>
      <c r="U25" s="41" t="s">
        <v>175</v>
      </c>
      <c r="V25" s="70" t="e">
        <f>VLOOKUP(U25,'BASE '!$A$4:$H$144,2,0)</f>
        <v>#N/A</v>
      </c>
      <c r="W25" s="159"/>
      <c r="X25" s="159"/>
      <c r="Y25" s="160"/>
      <c r="Z25" s="158" t="e">
        <f>VLOOKUP(U25,'BASE '!$A$4:$H$144,3,0)</f>
        <v>#N/A</v>
      </c>
      <c r="AA25" s="94" t="e">
        <f t="shared" si="3"/>
        <v>#N/A</v>
      </c>
      <c r="AB25" s="95" t="e">
        <f>VLOOKUP(U25,'BASE '!$A$4:$H$144,6,0)*Y25/100</f>
        <v>#N/A</v>
      </c>
      <c r="AC25" s="95" t="e">
        <f>VLOOKUP(U25,'BASE '!$A$4:$H$144,7,0)*Y25/100</f>
        <v>#N/A</v>
      </c>
      <c r="AD25" s="95" t="e">
        <f>VLOOKUP(U25,'BASE '!$A$4:$H$144,8,0)*Y25/100</f>
        <v>#N/A</v>
      </c>
      <c r="AE25" s="96" t="e">
        <f t="shared" si="7"/>
        <v>#N/A</v>
      </c>
      <c r="AF25" s="431"/>
      <c r="AG25" s="91" t="s">
        <v>157</v>
      </c>
      <c r="AH25" s="36" t="e">
        <f>SUMIFS($H$6:$H$165,$D$6:$D$165,AF25,CHOIX,AG25)</f>
        <v>#NAME?</v>
      </c>
      <c r="AI25" s="36" t="e">
        <f>SUMIFS($I$6:$I$165,$D$6:$D$165,AF25,CHOIX,AG25)</f>
        <v>#NAME?</v>
      </c>
      <c r="AJ25" s="36" t="e">
        <f>SUMIFS($J$6:$J$165,$D$6:$D$165,AF25,CHOIX,AG25)</f>
        <v>#NAME?</v>
      </c>
      <c r="AK25" s="36" t="e">
        <f>SUMIFS($K$6:$K$165,$D$6:$D$165,AF25,CHOIX,AG25)</f>
        <v>#NAME?</v>
      </c>
      <c r="AL25" s="36" t="e">
        <f>SUMIFS($L$6:$L$165,$D$6:$D$165,AF25,CHOIX,AG25)</f>
        <v>#NAME?</v>
      </c>
      <c r="AM25" s="36" t="e">
        <f>SUMIFS($M$6:$M$165,$D$6:$D$165,AF25,CHOIX,AG25)</f>
        <v>#NAME?</v>
      </c>
      <c r="AN25" s="91" t="s">
        <v>157</v>
      </c>
      <c r="AO25" s="83"/>
      <c r="AP25" s="63"/>
      <c r="AQ25" s="63"/>
      <c r="AR25" s="63"/>
      <c r="AS25" s="79"/>
      <c r="AT25" s="79"/>
      <c r="AU25" s="55" t="e">
        <f>SUMIFS($O$6:$O$165,$D$6:$D$165,AF25,CHOIX,AG25)</f>
        <v>#NAME?</v>
      </c>
      <c r="AV25" s="80" t="e">
        <f>SUMIFS($Q$6:$Q$165,$D$6:$D$165,AF25,CHOIX,AG25)</f>
        <v>#NAME?</v>
      </c>
      <c r="AW25" s="12"/>
      <c r="AX25" s="12"/>
      <c r="AY25" s="12"/>
      <c r="AZ25" s="8"/>
      <c r="BA25" s="148"/>
      <c r="BB25" s="148"/>
      <c r="BC25" s="148"/>
      <c r="BD25" s="10"/>
      <c r="BE25" s="10"/>
      <c r="BF25" s="10"/>
      <c r="BG25" s="10"/>
      <c r="BH25" s="10"/>
      <c r="BI25" s="10"/>
      <c r="BJ25" s="10"/>
      <c r="BK25" s="10"/>
      <c r="BL25" s="10"/>
      <c r="BM25" s="147">
        <f t="shared" si="8"/>
        <v>0</v>
      </c>
      <c r="BN25" s="147">
        <f t="shared" si="9"/>
        <v>0</v>
      </c>
      <c r="BO25" s="149"/>
      <c r="BP25" s="49"/>
      <c r="BQ25" s="12"/>
      <c r="BR25" s="12"/>
      <c r="BS25" s="593" t="s">
        <v>178</v>
      </c>
      <c r="BT25" s="522"/>
      <c r="BU25" s="522"/>
      <c r="BV25" s="522"/>
      <c r="BW25" s="522"/>
      <c r="BX25" s="522"/>
      <c r="BY25" s="522"/>
      <c r="BZ25" s="522"/>
      <c r="CA25" s="522"/>
      <c r="CB25" s="522"/>
      <c r="CC25" s="493">
        <f>CC23+BV23</f>
        <v>0</v>
      </c>
      <c r="CV25" s="64"/>
      <c r="CW25" s="148"/>
      <c r="CX25" s="109"/>
      <c r="CY25" s="132"/>
      <c r="CZ25" s="143"/>
      <c r="DA25" s="63"/>
      <c r="DB25" s="50"/>
      <c r="DC25" s="10"/>
      <c r="DD25" s="10"/>
      <c r="DE25" s="10"/>
      <c r="DF25" s="10"/>
      <c r="DG25" s="10"/>
      <c r="DH25" s="39"/>
      <c r="DI25" s="33">
        <f t="shared" si="4"/>
        <v>0</v>
      </c>
      <c r="DJ25" s="52" t="b">
        <f>IF(AND(CZ25="CLIENT S+L",DA25="HUILE"),(DN25*3333.33+(VLOOKUP(DC25,'BASE '!$I$112:$J$142,2,0)))-((DN25*3333.33)*DB25),IF(AND(CZ25="CLIENT S+L",DA25="LAIT"),((DN25*952.4)-(DN25*952.4)*DB25),IF(CZ25="CLIENT O","OFFERT",IF(AND(DA25="HUILE",CZ25="CLIENT L"),(((VLOOKUP(DC25,'BASE '!$I$112:$J$142,2,0))+(VLOOKUP(DN25,'BASE '!#REF!,2,0)))),IF(AND(DA25="LAIT",CZ25="CLIENT L"),(DN25*952.4),IF(AND(DA25="HUILE",CZ25="CLIENT D"),(DN25*3809.53+(VLOOKUP(DC25,'BASE '!$I$112:$J$142,2,0))),IF(AND(DA25="LAIT",CZ25="CLIENT D"),(DN25*952.4),IF(AND(DA25="HUILE",CZ25="CLIENT S+D"),((DN25*3809.53+(VLOOKUP(DC25,'BASE '!$I$112:$J$142,2,0)))-((DN25*3809.53)*DB25)),IF(AND(DA25="LAIT",CZ25="CLIENT S+D"),((DN25*952.4)-((DN25*952.4)*DB25)),IF(AND(CZ25="CLIENT S",DA25="LAIT"),((DN25*952.4)-((DN25*952.4)*DB25)),IF(AND(DA25="HUILE",CZ25="CLIENT S"),(VLOOKUP(DC25,'BASE '!$I$112:$J$142,2,0)+(VLOOKUP(DN25,'BASE '!#REF!,2,0)))-(DB25*((VLOOKUP(DN25,'BASE '!#REF!,2,0)+(VLOOKUP(DC25,'BASE '!$I$112:$J$142,2,0))))))))))))))))</f>
        <v>0</v>
      </c>
      <c r="DK25" s="52" t="b">
        <f t="shared" si="5"/>
        <v>0</v>
      </c>
      <c r="DL25" s="53" t="b">
        <f t="shared" si="12"/>
        <v>0</v>
      </c>
      <c r="DM25" s="149"/>
      <c r="DN25" s="116">
        <f t="shared" si="13"/>
        <v>0</v>
      </c>
      <c r="DO25" s="124"/>
      <c r="DP25" s="42"/>
      <c r="DQ25" s="70"/>
      <c r="DR25" s="159"/>
      <c r="DS25" s="159"/>
      <c r="DT25" s="159"/>
      <c r="DU25" s="160"/>
      <c r="DV25" s="95"/>
      <c r="DW25" s="95"/>
      <c r="DX25" s="95"/>
      <c r="DY25" s="96"/>
    </row>
    <row r="26" spans="2:129" ht="15" customHeight="1" thickBot="1" x14ac:dyDescent="0.35">
      <c r="B26" s="64"/>
      <c r="C26" s="148"/>
      <c r="D26" s="109"/>
      <c r="E26" s="63"/>
      <c r="F26" s="127"/>
      <c r="G26" s="50"/>
      <c r="H26" s="10"/>
      <c r="I26" s="10"/>
      <c r="J26" s="10"/>
      <c r="K26" s="10"/>
      <c r="L26" s="10"/>
      <c r="M26" s="39"/>
      <c r="N26" s="33">
        <f t="shared" si="0"/>
        <v>0</v>
      </c>
      <c r="O26" s="52" t="b">
        <f>IF(AND(E26="CLIENT S+L",F26="HUILE"),(S26*3333.33+(VLOOKUP(H26,'BASE '!$I$112:$J$142,2,0)))-((S26*3333.33)*G26),IF(AND(E26="CLIENT S+L",F26="LAIT"),((S26*952.4)-(S26*952.4)*G26),IF(E26="CLIENT O","OFFERT",IF(AND(F26="HUILE",E26="CLIENT L"),(((VLOOKUP(H26,'BASE '!$I$112:$J$142,2,0))+(VLOOKUP(S26,'BASE '!#REF!,2,0)))),IF(AND(F26="LAIT",E26="CLIENT L"),(S26*952.4),IF(AND(F26="HUILE",E26="CLIENT D"),(S26*3809.53+(VLOOKUP(H26,'BASE '!$I$112:$J$142,2,0))),IF(AND(F26="LAIT",E26="CLIENT D"),(S26*952.4),IF(AND(F26="HUILE",E26="CLIENT S+D"),((S26*3809.53+(VLOOKUP(H26,'BASE '!$I$112:$J$142,2,0)))-((S26*3809.53)*G26)),IF(AND(F26="LAIT",E26="CLIENT S+D"),((S26*952.4)-((S26*952.4)*G26)),IF(AND(E26="CLIENT S",F26="LAIT"),((S26*952.4)-((S26*952.4)*G26)),IF(AND(F26="HUILE",E26="CLIENT S"),(VLOOKUP(H26,'BASE '!$I$112:$J$142,2,0)+(VLOOKUP(S26,'BASE '!#REF!,2,0)))-(G26*((VLOOKUP(S26,'BASE '!#REF!,2,0)+(VLOOKUP(H26,'BASE '!$I$112:$J$142,2,0))))))))))))))))</f>
        <v>0</v>
      </c>
      <c r="P26" s="52" t="b">
        <f t="shared" si="1"/>
        <v>0</v>
      </c>
      <c r="Q26" s="53" t="b">
        <f t="shared" si="2"/>
        <v>0</v>
      </c>
      <c r="R26" s="152" t="s">
        <v>175</v>
      </c>
      <c r="S26" s="184">
        <f t="shared" si="6"/>
        <v>0</v>
      </c>
      <c r="T26" s="124"/>
      <c r="U26" s="41" t="s">
        <v>175</v>
      </c>
      <c r="V26" s="70" t="e">
        <f>VLOOKUP(U26,'BASE '!$A$4:$H$144,2,0)</f>
        <v>#N/A</v>
      </c>
      <c r="W26" s="159"/>
      <c r="X26" s="159"/>
      <c r="Y26" s="160"/>
      <c r="Z26" s="158" t="e">
        <f>VLOOKUP(U26,'BASE '!$A$4:$H$144,3,0)</f>
        <v>#N/A</v>
      </c>
      <c r="AA26" s="94" t="e">
        <f t="shared" si="3"/>
        <v>#N/A</v>
      </c>
      <c r="AB26" s="95" t="e">
        <f>VLOOKUP(U26,'BASE '!$A$4:$H$144,6,0)*Y26/100</f>
        <v>#N/A</v>
      </c>
      <c r="AC26" s="95" t="e">
        <f>VLOOKUP(U26,'BASE '!$A$4:$H$144,7,0)*Y26/100</f>
        <v>#N/A</v>
      </c>
      <c r="AD26" s="95" t="e">
        <f>VLOOKUP(U26,'BASE '!$A$4:$H$144,8,0)*Y26/100</f>
        <v>#N/A</v>
      </c>
      <c r="AE26" s="96" t="e">
        <f t="shared" si="7"/>
        <v>#N/A</v>
      </c>
      <c r="AF26" s="431"/>
      <c r="AG26" s="1" t="s">
        <v>155</v>
      </c>
      <c r="AH26" s="36" t="e">
        <f>SUMIFS($H$6:$H$165,$D$6:$D$165,AF25,CHOIX,AG26)</f>
        <v>#NAME?</v>
      </c>
      <c r="AI26" s="36" t="e">
        <f>SUMIFS($I$6:$I$165,$D$6:$D$165,AF25,CHOIX,AG26)</f>
        <v>#NAME?</v>
      </c>
      <c r="AJ26" s="36" t="e">
        <f>SUMIFS($J$6:$J$165,$D$6:$D$165,AF25,CHOIX,AG26)</f>
        <v>#NAME?</v>
      </c>
      <c r="AK26" s="36" t="e">
        <f>SUMIFS($K$6:$K$165,$D$6:$D$165,AF25,CHOIX,AG26)</f>
        <v>#NAME?</v>
      </c>
      <c r="AL26" s="36" t="e">
        <f>SUMIFS($L$6:$L$165,$D$6:$D$165,AF25,CHOIX,AG26)</f>
        <v>#NAME?</v>
      </c>
      <c r="AM26" s="36" t="e">
        <f>SUMIFS($M$6:$M$165,$D$6:$D$165,AF25,CHOIX,AG26)</f>
        <v>#NAME?</v>
      </c>
      <c r="AN26" s="1" t="s">
        <v>155</v>
      </c>
      <c r="AO26" s="83"/>
      <c r="AP26" s="63"/>
      <c r="AQ26" s="63"/>
      <c r="AR26" s="63"/>
      <c r="AS26" s="79"/>
      <c r="AT26" s="79"/>
      <c r="AU26" s="55" t="e">
        <f>SUMIFS($O$6:$O$165,$D$6:$D$165,AF25,CHOIX,AG26)</f>
        <v>#NAME?</v>
      </c>
      <c r="AV26" s="80" t="e">
        <f>SUMIFS($Q$6:$Q$165,$D$6:$D$165,AF25,CHOIX,AG26)</f>
        <v>#NAME?</v>
      </c>
      <c r="AW26" s="12"/>
      <c r="AX26" s="12"/>
      <c r="AY26" s="12"/>
      <c r="AZ26" s="8"/>
      <c r="BA26" s="148"/>
      <c r="BB26" s="148"/>
      <c r="BC26" s="148"/>
      <c r="BD26" s="10"/>
      <c r="BE26" s="10"/>
      <c r="BF26" s="10"/>
      <c r="BG26" s="10"/>
      <c r="BH26" s="10"/>
      <c r="BI26" s="10"/>
      <c r="BJ26" s="10"/>
      <c r="BK26" s="10"/>
      <c r="BL26" s="10"/>
      <c r="BM26" s="147">
        <f t="shared" si="8"/>
        <v>0</v>
      </c>
      <c r="BN26" s="147">
        <f t="shared" si="9"/>
        <v>0</v>
      </c>
      <c r="BO26" s="149"/>
      <c r="BP26" s="49"/>
      <c r="BQ26" s="12"/>
      <c r="BR26" s="12"/>
      <c r="BS26" s="594"/>
      <c r="BT26" s="523"/>
      <c r="BU26" s="523"/>
      <c r="BV26" s="523"/>
      <c r="BW26" s="523"/>
      <c r="BX26" s="523"/>
      <c r="BY26" s="523"/>
      <c r="BZ26" s="523"/>
      <c r="CA26" s="523"/>
      <c r="CB26" s="523"/>
      <c r="CC26" s="494"/>
      <c r="CV26" s="64"/>
      <c r="CW26" s="148"/>
      <c r="CX26" s="109"/>
      <c r="CY26" s="132"/>
      <c r="CZ26" s="143"/>
      <c r="DA26" s="63"/>
      <c r="DB26" s="50"/>
      <c r="DC26" s="10"/>
      <c r="DD26" s="10"/>
      <c r="DE26" s="10"/>
      <c r="DF26" s="10"/>
      <c r="DG26" s="10"/>
      <c r="DH26" s="39"/>
      <c r="DI26" s="33">
        <f t="shared" si="4"/>
        <v>0</v>
      </c>
      <c r="DJ26" s="52" t="b">
        <f>IF(AND(CZ26="CLIENT S+L",DA26="HUILE"),(DN26*3333.33+(VLOOKUP(DC26,'BASE '!$I$112:$J$142,2,0)))-((DN26*3333.33)*DB26),IF(AND(CZ26="CLIENT S+L",DA26="LAIT"),((DN26*952.4)-(DN26*952.4)*DB26),IF(CZ26="CLIENT O","OFFERT",IF(AND(DA26="HUILE",CZ26="CLIENT L"),(((VLOOKUP(DC26,'BASE '!$I$112:$J$142,2,0))+(VLOOKUP(DN26,'BASE '!#REF!,2,0)))),IF(AND(DA26="LAIT",CZ26="CLIENT L"),(DN26*952.4),IF(AND(DA26="HUILE",CZ26="CLIENT D"),(DN26*3809.53+(VLOOKUP(DC26,'BASE '!$I$112:$J$142,2,0))),IF(AND(DA26="LAIT",CZ26="CLIENT D"),(DN26*952.4),IF(AND(DA26="HUILE",CZ26="CLIENT S+D"),((DN26*3809.53+(VLOOKUP(DC26,'BASE '!$I$112:$J$142,2,0)))-((DN26*3809.53)*DB26)),IF(AND(DA26="LAIT",CZ26="CLIENT S+D"),((DN26*952.4)-((DN26*952.4)*DB26)),IF(AND(CZ26="CLIENT S",DA26="LAIT"),((DN26*952.4)-((DN26*952.4)*DB26)),IF(AND(DA26="HUILE",CZ26="CLIENT S"),(VLOOKUP(DC26,'BASE '!$I$112:$J$142,2,0)+(VLOOKUP(DN26,'BASE '!#REF!,2,0)))-(DB26*((VLOOKUP(DN26,'BASE '!#REF!,2,0)+(VLOOKUP(DC26,'BASE '!$I$112:$J$142,2,0))))))))))))))))</f>
        <v>0</v>
      </c>
      <c r="DK26" s="52" t="b">
        <f t="shared" si="5"/>
        <v>0</v>
      </c>
      <c r="DL26" s="53" t="b">
        <f t="shared" si="12"/>
        <v>0</v>
      </c>
      <c r="DM26" s="149"/>
      <c r="DN26" s="116">
        <f t="shared" si="13"/>
        <v>0</v>
      </c>
      <c r="DO26" s="124"/>
      <c r="DP26" s="42"/>
      <c r="DQ26" s="70"/>
      <c r="DR26" s="159"/>
      <c r="DS26" s="159"/>
      <c r="DT26" s="159"/>
      <c r="DU26" s="160"/>
      <c r="DV26" s="95"/>
      <c r="DW26" s="95"/>
      <c r="DX26" s="95"/>
      <c r="DY26" s="96"/>
    </row>
    <row r="27" spans="2:129" ht="15" customHeight="1" x14ac:dyDescent="0.3">
      <c r="B27" s="64"/>
      <c r="C27" s="148"/>
      <c r="D27" s="109"/>
      <c r="E27" s="63"/>
      <c r="F27" s="127"/>
      <c r="G27" s="50"/>
      <c r="H27" s="10"/>
      <c r="I27" s="10"/>
      <c r="J27" s="10"/>
      <c r="K27" s="10"/>
      <c r="L27" s="10"/>
      <c r="M27" s="39"/>
      <c r="N27" s="33">
        <f t="shared" si="0"/>
        <v>0</v>
      </c>
      <c r="O27" s="52" t="b">
        <f>IF(AND(E27="CLIENT S+L",F27="HUILE"),(S27*3333.33+(VLOOKUP(H27,'BASE '!$I$112:$J$142,2,0)))-((S27*3333.33)*G27),IF(AND(E27="CLIENT S+L",F27="LAIT"),((S27*952.4)-(S27*952.4)*G27),IF(E27="CLIENT O","OFFERT",IF(AND(F27="HUILE",E27="CLIENT L"),(((VLOOKUP(H27,'BASE '!$I$112:$J$142,2,0))+(VLOOKUP(S27,'BASE '!#REF!,2,0)))),IF(AND(F27="LAIT",E27="CLIENT L"),(S27*952.4),IF(AND(F27="HUILE",E27="CLIENT D"),(S27*3809.53+(VLOOKUP(H27,'BASE '!$I$112:$J$142,2,0))),IF(AND(F27="LAIT",E27="CLIENT D"),(S27*952.4),IF(AND(F27="HUILE",E27="CLIENT S+D"),((S27*3809.53+(VLOOKUP(H27,'BASE '!$I$112:$J$142,2,0)))-((S27*3809.53)*G27)),IF(AND(F27="LAIT",E27="CLIENT S+D"),((S27*952.4)-((S27*952.4)*G27)),IF(AND(E27="CLIENT S",F27="LAIT"),((S27*952.4)-((S27*952.4)*G27)),IF(AND(F27="HUILE",E27="CLIENT S"),(VLOOKUP(H27,'BASE '!$I$112:$J$142,2,0)+(VLOOKUP(S27,'BASE '!#REF!,2,0)))-(G27*((VLOOKUP(S27,'BASE '!#REF!,2,0)+(VLOOKUP(H27,'BASE '!$I$112:$J$142,2,0))))))))))))))))</f>
        <v>0</v>
      </c>
      <c r="P27" s="52" t="b">
        <f t="shared" si="1"/>
        <v>0</v>
      </c>
      <c r="Q27" s="53" t="b">
        <f t="shared" si="2"/>
        <v>0</v>
      </c>
      <c r="R27" s="152" t="s">
        <v>175</v>
      </c>
      <c r="S27" s="184">
        <f t="shared" si="6"/>
        <v>0</v>
      </c>
      <c r="T27" s="124"/>
      <c r="U27" s="41" t="s">
        <v>175</v>
      </c>
      <c r="V27" s="70" t="e">
        <f>VLOOKUP(U27,'BASE '!$A$4:$H$144,2,0)</f>
        <v>#N/A</v>
      </c>
      <c r="W27" s="159"/>
      <c r="X27" s="159"/>
      <c r="Y27" s="160"/>
      <c r="Z27" s="158" t="e">
        <f>VLOOKUP(U27,'BASE '!$A$4:$H$144,3,0)</f>
        <v>#N/A</v>
      </c>
      <c r="AA27" s="94" t="e">
        <f t="shared" si="3"/>
        <v>#N/A</v>
      </c>
      <c r="AB27" s="95" t="e">
        <f>VLOOKUP(U27,'BASE '!$A$4:$H$144,6,0)*Y27/100</f>
        <v>#N/A</v>
      </c>
      <c r="AC27" s="95" t="e">
        <f>VLOOKUP(U27,'BASE '!$A$4:$H$144,7,0)*Y27/100</f>
        <v>#N/A</v>
      </c>
      <c r="AD27" s="95" t="e">
        <f>VLOOKUP(U27,'BASE '!$A$4:$H$144,8,0)*Y27/100</f>
        <v>#N/A</v>
      </c>
      <c r="AE27" s="96" t="e">
        <f t="shared" si="7"/>
        <v>#N/A</v>
      </c>
      <c r="AF27" s="431"/>
      <c r="AG27" s="91" t="s">
        <v>157</v>
      </c>
      <c r="AH27" s="36" t="e">
        <f>SUMIFS($H$6:$H$165,$D$6:$D$165,AF27,CHOIX,AG27)</f>
        <v>#NAME?</v>
      </c>
      <c r="AI27" s="36" t="e">
        <f>SUMIFS($I$6:$I$165,$D$6:$D$165,AF27,CHOIX,AG27)</f>
        <v>#NAME?</v>
      </c>
      <c r="AJ27" s="36" t="e">
        <f>SUMIFS($J$6:$J$165,$D$6:$D$165,AF27,CHOIX,AG27)</f>
        <v>#NAME?</v>
      </c>
      <c r="AK27" s="36" t="e">
        <f>SUMIFS($K$6:$K$165,$D$6:$D$165,AF27,CHOIX,AG27)</f>
        <v>#NAME?</v>
      </c>
      <c r="AL27" s="36" t="e">
        <f>SUMIFS($L$6:$L$165,$D$6:$D$165,AF27,CHOIX,AG27)</f>
        <v>#NAME?</v>
      </c>
      <c r="AM27" s="36" t="e">
        <f>SUMIFS($M$6:$M$165,$D$6:$D$165,AF27,CHOIX,AG27)</f>
        <v>#NAME?</v>
      </c>
      <c r="AN27" s="91" t="s">
        <v>157</v>
      </c>
      <c r="AO27" s="83"/>
      <c r="AP27" s="63"/>
      <c r="AQ27" s="63"/>
      <c r="AR27" s="63"/>
      <c r="AS27" s="79"/>
      <c r="AT27" s="79"/>
      <c r="AU27" s="55" t="e">
        <f>SUMIFS($O$6:$O$165,$D$6:$D$165,AF27,CHOIX,AG27)</f>
        <v>#NAME?</v>
      </c>
      <c r="AV27" s="80" t="e">
        <f>SUMIFS($Q$6:$Q$165,$D$6:$D$165,AF27,CHOIX,AG27)</f>
        <v>#NAME?</v>
      </c>
      <c r="AW27" s="12"/>
      <c r="AX27" s="12"/>
      <c r="AY27" s="12"/>
      <c r="AZ27" s="8"/>
      <c r="BA27" s="148"/>
      <c r="BB27" s="148"/>
      <c r="BC27" s="148"/>
      <c r="BD27" s="10"/>
      <c r="BE27" s="10"/>
      <c r="BF27" s="10"/>
      <c r="BG27" s="10"/>
      <c r="BH27" s="10"/>
      <c r="BI27" s="10"/>
      <c r="BJ27" s="10"/>
      <c r="BK27" s="10"/>
      <c r="BL27" s="10"/>
      <c r="BM27" s="147">
        <f t="shared" si="8"/>
        <v>0</v>
      </c>
      <c r="BN27" s="147">
        <f t="shared" si="9"/>
        <v>0</v>
      </c>
      <c r="BO27" s="149"/>
      <c r="BP27" s="49"/>
      <c r="BQ27" s="12"/>
      <c r="BR27" s="12"/>
      <c r="BS27" s="12"/>
      <c r="BT27" s="12"/>
      <c r="BU27" s="12"/>
      <c r="BV27" s="51"/>
      <c r="BW27" s="51"/>
      <c r="BX27" s="12"/>
      <c r="CV27" s="64"/>
      <c r="CW27" s="148"/>
      <c r="CX27" s="109"/>
      <c r="CY27" s="132"/>
      <c r="CZ27" s="143"/>
      <c r="DA27" s="63"/>
      <c r="DB27" s="50"/>
      <c r="DC27" s="10"/>
      <c r="DD27" s="10"/>
      <c r="DE27" s="10"/>
      <c r="DF27" s="10"/>
      <c r="DG27" s="10"/>
      <c r="DH27" s="39"/>
      <c r="DI27" s="33">
        <f t="shared" si="4"/>
        <v>0</v>
      </c>
      <c r="DJ27" s="52" t="b">
        <f>IF(AND(CZ27="CLIENT S+L",DA27="HUILE"),(DN27*3333.33+(VLOOKUP(DC27,'BASE '!$I$112:$J$142,2,0)))-((DN27*3333.33)*DB27),IF(AND(CZ27="CLIENT S+L",DA27="LAIT"),((DN27*952.4)-(DN27*952.4)*DB27),IF(CZ27="CLIENT O","OFFERT",IF(AND(DA27="HUILE",CZ27="CLIENT L"),(((VLOOKUP(DC27,'BASE '!$I$112:$J$142,2,0))+(VLOOKUP(DN27,'BASE '!#REF!,2,0)))),IF(AND(DA27="LAIT",CZ27="CLIENT L"),(DN27*952.4),IF(AND(DA27="HUILE",CZ27="CLIENT D"),(DN27*3809.53+(VLOOKUP(DC27,'BASE '!$I$112:$J$142,2,0))),IF(AND(DA27="LAIT",CZ27="CLIENT D"),(DN27*952.4),IF(AND(DA27="HUILE",CZ27="CLIENT S+D"),((DN27*3809.53+(VLOOKUP(DC27,'BASE '!$I$112:$J$142,2,0)))-((DN27*3809.53)*DB27)),IF(AND(DA27="LAIT",CZ27="CLIENT S+D"),((DN27*952.4)-((DN27*952.4)*DB27)),IF(AND(CZ27="CLIENT S",DA27="LAIT"),((DN27*952.4)-((DN27*952.4)*DB27)),IF(AND(DA27="HUILE",CZ27="CLIENT S"),(VLOOKUP(DC27,'BASE '!$I$112:$J$142,2,0)+(VLOOKUP(DN27,'BASE '!#REF!,2,0)))-(DB27*((VLOOKUP(DN27,'BASE '!#REF!,2,0)+(VLOOKUP(DC27,'BASE '!$I$112:$J$142,2,0))))))))))))))))</f>
        <v>0</v>
      </c>
      <c r="DK27" s="52" t="b">
        <f t="shared" si="5"/>
        <v>0</v>
      </c>
      <c r="DL27" s="53" t="b">
        <f t="shared" si="12"/>
        <v>0</v>
      </c>
      <c r="DM27" s="149"/>
      <c r="DN27" s="116">
        <f t="shared" si="13"/>
        <v>0</v>
      </c>
      <c r="DO27" s="124"/>
      <c r="DP27" s="42"/>
      <c r="DQ27" s="70"/>
      <c r="DR27" s="159"/>
      <c r="DS27" s="159"/>
      <c r="DT27" s="159"/>
      <c r="DU27" s="160"/>
      <c r="DV27" s="95"/>
      <c r="DW27" s="95"/>
      <c r="DX27" s="95"/>
      <c r="DY27" s="96"/>
    </row>
    <row r="28" spans="2:129" ht="15" customHeight="1" x14ac:dyDescent="0.3">
      <c r="B28" s="64"/>
      <c r="C28" s="148"/>
      <c r="D28" s="109"/>
      <c r="E28" s="63"/>
      <c r="F28" s="127"/>
      <c r="G28" s="50"/>
      <c r="H28" s="10"/>
      <c r="I28" s="10"/>
      <c r="J28" s="10"/>
      <c r="K28" s="10"/>
      <c r="L28" s="10"/>
      <c r="M28" s="39"/>
      <c r="N28" s="33">
        <f t="shared" si="0"/>
        <v>0</v>
      </c>
      <c r="O28" s="52" t="b">
        <f>IF(AND(E28="CLIENT S+L",F28="HUILE"),(S28*3333.33+(VLOOKUP(H28,'BASE '!$I$112:$J$142,2,0)))-((S28*3333.33)*G28),IF(AND(E28="CLIENT S+L",F28="LAIT"),((S28*952.4)-(S28*952.4)*G28),IF(E28="CLIENT O","OFFERT",IF(AND(F28="HUILE",E28="CLIENT L"),(((VLOOKUP(H28,'BASE '!$I$112:$J$142,2,0))+(VLOOKUP(S28,'BASE '!#REF!,2,0)))),IF(AND(F28="LAIT",E28="CLIENT L"),(S28*952.4),IF(AND(F28="HUILE",E28="CLIENT D"),(S28*3809.53+(VLOOKUP(H28,'BASE '!$I$112:$J$142,2,0))),IF(AND(F28="LAIT",E28="CLIENT D"),(S28*952.4),IF(AND(F28="HUILE",E28="CLIENT S+D"),((S28*3809.53+(VLOOKUP(H28,'BASE '!$I$112:$J$142,2,0)))-((S28*3809.53)*G28)),IF(AND(F28="LAIT",E28="CLIENT S+D"),((S28*952.4)-((S28*952.4)*G28)),IF(AND(E28="CLIENT S",F28="LAIT"),((S28*952.4)-((S28*952.4)*G28)),IF(AND(F28="HUILE",E28="CLIENT S"),(VLOOKUP(H28,'BASE '!$I$112:$J$142,2,0)+(VLOOKUP(S28,'BASE '!#REF!,2,0)))-(G28*((VLOOKUP(S28,'BASE '!#REF!,2,0)+(VLOOKUP(H28,'BASE '!$I$112:$J$142,2,0))))))))))))))))</f>
        <v>0</v>
      </c>
      <c r="P28" s="52" t="b">
        <f t="shared" si="1"/>
        <v>0</v>
      </c>
      <c r="Q28" s="53" t="b">
        <f t="shared" si="2"/>
        <v>0</v>
      </c>
      <c r="R28" s="152" t="s">
        <v>175</v>
      </c>
      <c r="S28" s="184">
        <f t="shared" si="6"/>
        <v>0</v>
      </c>
      <c r="T28" s="124"/>
      <c r="U28" s="41" t="s">
        <v>175</v>
      </c>
      <c r="V28" s="70" t="e">
        <f>VLOOKUP(U28,'BASE '!$A$4:$H$144,2,0)</f>
        <v>#N/A</v>
      </c>
      <c r="W28" s="159"/>
      <c r="X28" s="159"/>
      <c r="Y28" s="160"/>
      <c r="Z28" s="158" t="e">
        <f>VLOOKUP(U28,'BASE '!$A$4:$H$144,3,0)</f>
        <v>#N/A</v>
      </c>
      <c r="AA28" s="94" t="e">
        <f t="shared" si="3"/>
        <v>#N/A</v>
      </c>
      <c r="AB28" s="95" t="e">
        <f>VLOOKUP(U28,'BASE '!$A$4:$H$144,6,0)*Y28/100</f>
        <v>#N/A</v>
      </c>
      <c r="AC28" s="95" t="e">
        <f>VLOOKUP(U28,'BASE '!$A$4:$H$144,7,0)*Y28/100</f>
        <v>#N/A</v>
      </c>
      <c r="AD28" s="95" t="e">
        <f>VLOOKUP(U28,'BASE '!$A$4:$H$144,8,0)*Y28/100</f>
        <v>#N/A</v>
      </c>
      <c r="AE28" s="96" t="e">
        <f t="shared" si="7"/>
        <v>#N/A</v>
      </c>
      <c r="AF28" s="431"/>
      <c r="AG28" s="1" t="s">
        <v>155</v>
      </c>
      <c r="AH28" s="36" t="e">
        <f>SUMIFS($H$6:$H$165,$D$6:$D$165,AF27,CHOIX,AG28)</f>
        <v>#NAME?</v>
      </c>
      <c r="AI28" s="36" t="e">
        <f>SUMIFS($I$6:$I$165,$D$6:$D$165,AF27,CHOIX,AG28)</f>
        <v>#NAME?</v>
      </c>
      <c r="AJ28" s="36" t="e">
        <f>SUMIFS($J$6:$J$165,$D$6:$D$165,AF27,CHOIX,AG28)</f>
        <v>#NAME?</v>
      </c>
      <c r="AK28" s="36" t="e">
        <f>SUMIFS($K$6:$K$165,$D$6:$D$165,AF27,CHOIX,AG28)</f>
        <v>#NAME?</v>
      </c>
      <c r="AL28" s="36" t="e">
        <f>SUMIFS($L$6:$L$165,$D$6:$D$165,AF27,CHOIX,AG28)</f>
        <v>#NAME?</v>
      </c>
      <c r="AM28" s="36" t="e">
        <f>SUMIFS($M$6:$M$165,$D$6:$D$165,AF27,CHOIX,AG28)</f>
        <v>#NAME?</v>
      </c>
      <c r="AN28" s="1" t="s">
        <v>155</v>
      </c>
      <c r="AO28" s="83"/>
      <c r="AP28" s="63"/>
      <c r="AQ28" s="63"/>
      <c r="AR28" s="63"/>
      <c r="AS28" s="79"/>
      <c r="AT28" s="79"/>
      <c r="AU28" s="55" t="e">
        <f>SUMIFS($O$6:$O$165,$D$6:$D$165,AF27,CHOIX,AG28)</f>
        <v>#NAME?</v>
      </c>
      <c r="AV28" s="80" t="e">
        <f>SUMIFS($Q$6:$Q$165,$D$6:$D$165,AF27,CHOIX,AG28)</f>
        <v>#NAME?</v>
      </c>
      <c r="AW28" s="12"/>
      <c r="AX28" s="12"/>
      <c r="AY28" s="12"/>
      <c r="AZ28" s="8"/>
      <c r="BA28" s="148"/>
      <c r="BB28" s="148"/>
      <c r="BC28" s="148"/>
      <c r="BD28" s="10"/>
      <c r="BE28" s="10"/>
      <c r="BF28" s="10"/>
      <c r="BG28" s="10"/>
      <c r="BH28" s="10"/>
      <c r="BI28" s="10"/>
      <c r="BJ28" s="10"/>
      <c r="BK28" s="10"/>
      <c r="BL28" s="10"/>
      <c r="BM28" s="147">
        <f t="shared" si="8"/>
        <v>0</v>
      </c>
      <c r="BN28" s="147">
        <f t="shared" si="9"/>
        <v>0</v>
      </c>
      <c r="BO28" s="149"/>
      <c r="BP28" s="49"/>
      <c r="BQ28" s="12"/>
      <c r="BR28" s="12"/>
      <c r="BS28" s="12"/>
      <c r="BT28" s="12"/>
      <c r="BU28" s="12"/>
      <c r="BV28" s="51"/>
      <c r="BW28" s="51"/>
      <c r="BX28" s="12"/>
      <c r="CV28" s="64"/>
      <c r="CW28" s="148"/>
      <c r="CX28" s="109"/>
      <c r="CY28" s="132"/>
      <c r="CZ28" s="143"/>
      <c r="DA28" s="63"/>
      <c r="DB28" s="50"/>
      <c r="DC28" s="10"/>
      <c r="DD28" s="10"/>
      <c r="DE28" s="10"/>
      <c r="DF28" s="10"/>
      <c r="DG28" s="10"/>
      <c r="DH28" s="39"/>
      <c r="DI28" s="33">
        <f t="shared" si="4"/>
        <v>0</v>
      </c>
      <c r="DJ28" s="52" t="b">
        <f>IF(AND(CZ28="CLIENT S+L",DA28="HUILE"),(DN28*3333.33+(VLOOKUP(DC28,'BASE '!$I$112:$J$142,2,0)))-((DN28*3333.33)*DB28),IF(AND(CZ28="CLIENT S+L",DA28="LAIT"),((DN28*952.4)-(DN28*952.4)*DB28),IF(CZ28="CLIENT O","OFFERT",IF(AND(DA28="HUILE",CZ28="CLIENT L"),(((VLOOKUP(DC28,'BASE '!$I$112:$J$142,2,0))+(VLOOKUP(DN28,'BASE '!#REF!,2,0)))),IF(AND(DA28="LAIT",CZ28="CLIENT L"),(DN28*952.4),IF(AND(DA28="HUILE",CZ28="CLIENT D"),(DN28*3809.53+(VLOOKUP(DC28,'BASE '!$I$112:$J$142,2,0))),IF(AND(DA28="LAIT",CZ28="CLIENT D"),(DN28*952.4),IF(AND(DA28="HUILE",CZ28="CLIENT S+D"),((DN28*3809.53+(VLOOKUP(DC28,'BASE '!$I$112:$J$142,2,0)))-((DN28*3809.53)*DB28)),IF(AND(DA28="LAIT",CZ28="CLIENT S+D"),((DN28*952.4)-((DN28*952.4)*DB28)),IF(AND(CZ28="CLIENT S",DA28="LAIT"),((DN28*952.4)-((DN28*952.4)*DB28)),IF(AND(DA28="HUILE",CZ28="CLIENT S"),(VLOOKUP(DC28,'BASE '!$I$112:$J$142,2,0)+(VLOOKUP(DN28,'BASE '!#REF!,2,0)))-(DB28*((VLOOKUP(DN28,'BASE '!#REF!,2,0)+(VLOOKUP(DC28,'BASE '!$I$112:$J$142,2,0))))))))))))))))</f>
        <v>0</v>
      </c>
      <c r="DK28" s="52" t="b">
        <f t="shared" si="5"/>
        <v>0</v>
      </c>
      <c r="DL28" s="53" t="b">
        <f t="shared" si="12"/>
        <v>0</v>
      </c>
      <c r="DM28" s="149"/>
      <c r="DN28" s="116">
        <f t="shared" si="13"/>
        <v>0</v>
      </c>
      <c r="DO28" s="124"/>
      <c r="DP28" s="42"/>
      <c r="DQ28" s="70"/>
      <c r="DR28" s="159"/>
      <c r="DS28" s="159"/>
      <c r="DT28" s="159"/>
      <c r="DU28" s="160"/>
      <c r="DV28" s="95"/>
      <c r="DW28" s="95"/>
      <c r="DX28" s="95"/>
      <c r="DY28" s="96"/>
    </row>
    <row r="29" spans="2:129" ht="15" customHeight="1" thickBot="1" x14ac:dyDescent="0.35">
      <c r="B29" s="64"/>
      <c r="C29" s="148"/>
      <c r="D29" s="109"/>
      <c r="E29" s="63"/>
      <c r="F29" s="127"/>
      <c r="G29" s="50"/>
      <c r="H29" s="10"/>
      <c r="I29" s="10"/>
      <c r="J29" s="10"/>
      <c r="K29" s="10"/>
      <c r="L29" s="10"/>
      <c r="M29" s="39"/>
      <c r="N29" s="33">
        <f t="shared" si="0"/>
        <v>0</v>
      </c>
      <c r="O29" s="52" t="b">
        <f>IF(AND(E29="CLIENT S+L",F29="HUILE"),(S29*3333.33+(VLOOKUP(H29,'BASE '!$I$112:$J$142,2,0)))-((S29*3333.33)*G29),IF(AND(E29="CLIENT S+L",F29="LAIT"),((S29*952.4)-(S29*952.4)*G29),IF(E29="CLIENT O","OFFERT",IF(AND(F29="HUILE",E29="CLIENT L"),(((VLOOKUP(H29,'BASE '!$I$112:$J$142,2,0))+(VLOOKUP(S29,'BASE '!#REF!,2,0)))),IF(AND(F29="LAIT",E29="CLIENT L"),(S29*952.4),IF(AND(F29="HUILE",E29="CLIENT D"),(S29*3809.53+(VLOOKUP(H29,'BASE '!$I$112:$J$142,2,0))),IF(AND(F29="LAIT",E29="CLIENT D"),(S29*952.4),IF(AND(F29="HUILE",E29="CLIENT S+D"),((S29*3809.53+(VLOOKUP(H29,'BASE '!$I$112:$J$142,2,0)))-((S29*3809.53)*G29)),IF(AND(F29="LAIT",E29="CLIENT S+D"),((S29*952.4)-((S29*952.4)*G29)),IF(AND(E29="CLIENT S",F29="LAIT"),((S29*952.4)-((S29*952.4)*G29)),IF(AND(F29="HUILE",E29="CLIENT S"),(VLOOKUP(H29,'BASE '!$I$112:$J$142,2,0)+(VLOOKUP(S29,'BASE '!#REF!,2,0)))-(G29*((VLOOKUP(S29,'BASE '!#REF!,2,0)+(VLOOKUP(H29,'BASE '!$I$112:$J$142,2,0))))))))))))))))</f>
        <v>0</v>
      </c>
      <c r="P29" s="52" t="b">
        <f t="shared" si="1"/>
        <v>0</v>
      </c>
      <c r="Q29" s="53" t="b">
        <f t="shared" si="2"/>
        <v>0</v>
      </c>
      <c r="R29" s="152" t="s">
        <v>175</v>
      </c>
      <c r="S29" s="184">
        <f t="shared" si="6"/>
        <v>0</v>
      </c>
      <c r="T29" s="124"/>
      <c r="U29" s="41" t="s">
        <v>175</v>
      </c>
      <c r="V29" s="70" t="e">
        <f>VLOOKUP(U29,'BASE '!$A$4:$H$144,2,0)</f>
        <v>#N/A</v>
      </c>
      <c r="W29" s="159"/>
      <c r="X29" s="159"/>
      <c r="Y29" s="160"/>
      <c r="Z29" s="158" t="e">
        <f>VLOOKUP(U29,'BASE '!$A$4:$H$144,3,0)</f>
        <v>#N/A</v>
      </c>
      <c r="AA29" s="94" t="e">
        <f t="shared" si="3"/>
        <v>#N/A</v>
      </c>
      <c r="AB29" s="95" t="e">
        <f>VLOOKUP(U29,'BASE '!$A$4:$H$144,6,0)*Y29/100</f>
        <v>#N/A</v>
      </c>
      <c r="AC29" s="95" t="e">
        <f>VLOOKUP(U29,'BASE '!$A$4:$H$144,7,0)*Y29/100</f>
        <v>#N/A</v>
      </c>
      <c r="AD29" s="95" t="e">
        <f>VLOOKUP(U29,'BASE '!$A$4:$H$144,8,0)*Y29/100</f>
        <v>#N/A</v>
      </c>
      <c r="AE29" s="96" t="e">
        <f t="shared" si="7"/>
        <v>#N/A</v>
      </c>
      <c r="AF29" s="431"/>
      <c r="AG29" s="91" t="s">
        <v>157</v>
      </c>
      <c r="AH29" s="36" t="e">
        <f>SUMIFS($H$6:$H$165,$D$6:$D$165,AF29,CHOIX,AG29)</f>
        <v>#NAME?</v>
      </c>
      <c r="AI29" s="36" t="e">
        <f>SUMIFS($I$6:$I$165,$D$6:$D$165,AF29,CHOIX,AG29)</f>
        <v>#NAME?</v>
      </c>
      <c r="AJ29" s="36" t="e">
        <f>SUMIFS($J$6:$J$165,$D$6:$D$165,AF29,CHOIX,AG29)</f>
        <v>#NAME?</v>
      </c>
      <c r="AK29" s="36" t="e">
        <f>SUMIFS($K$6:$K$165,$D$6:$D$165,AF29,CHOIX,AG29)</f>
        <v>#NAME?</v>
      </c>
      <c r="AL29" s="36" t="e">
        <f>SUMIFS($L$6:$L$165,$D$6:$D$165,AF29,CHOIX,AG29)</f>
        <v>#NAME?</v>
      </c>
      <c r="AM29" s="36" t="e">
        <f>SUMIFS($M$6:$M$165,$D$6:$D$165,AF29,CHOIX,AG29)</f>
        <v>#NAME?</v>
      </c>
      <c r="AN29" s="91" t="s">
        <v>157</v>
      </c>
      <c r="AO29" s="83"/>
      <c r="AP29" s="63"/>
      <c r="AQ29" s="63"/>
      <c r="AR29" s="63"/>
      <c r="AS29" s="79"/>
      <c r="AT29" s="79"/>
      <c r="AU29" s="55" t="e">
        <f>SUMIFS($O$6:$O$165,$D$6:$D$165,AF29,CHOIX,AG29)</f>
        <v>#NAME?</v>
      </c>
      <c r="AV29" s="80" t="e">
        <f>SUMIFS($Q$6:$Q$165,$D$6:$D$165,AF29,CHOIX,AG29)</f>
        <v>#NAME?</v>
      </c>
      <c r="AW29" s="12"/>
      <c r="AX29" s="12"/>
      <c r="AY29" s="12"/>
      <c r="AZ29" s="8"/>
      <c r="BA29" s="148"/>
      <c r="BB29" s="148"/>
      <c r="BC29" s="148"/>
      <c r="BD29" s="10"/>
      <c r="BE29" s="10"/>
      <c r="BF29" s="10"/>
      <c r="BG29" s="10"/>
      <c r="BH29" s="10"/>
      <c r="BI29" s="10"/>
      <c r="BJ29" s="10"/>
      <c r="BK29" s="10"/>
      <c r="BL29" s="10"/>
      <c r="BM29" s="147">
        <f t="shared" si="8"/>
        <v>0</v>
      </c>
      <c r="BN29" s="147">
        <f t="shared" si="9"/>
        <v>0</v>
      </c>
      <c r="BO29" s="149"/>
      <c r="BP29" s="49"/>
      <c r="BQ29" s="12"/>
      <c r="BR29" s="12"/>
      <c r="BS29" s="12"/>
      <c r="BT29" s="12"/>
      <c r="BU29" s="12"/>
      <c r="BV29" s="51"/>
      <c r="BW29" s="51"/>
      <c r="BX29" s="12"/>
      <c r="CV29" s="64"/>
      <c r="CW29" s="148"/>
      <c r="CX29" s="109"/>
      <c r="CY29" s="132"/>
      <c r="CZ29" s="143"/>
      <c r="DA29" s="63"/>
      <c r="DB29" s="50"/>
      <c r="DC29" s="10"/>
      <c r="DD29" s="10"/>
      <c r="DE29" s="10"/>
      <c r="DF29" s="10"/>
      <c r="DG29" s="10"/>
      <c r="DH29" s="39"/>
      <c r="DI29" s="33">
        <f t="shared" si="4"/>
        <v>0</v>
      </c>
      <c r="DJ29" s="52" t="b">
        <f>IF(AND(CZ29="CLIENT S+L",DA29="HUILE"),(DO29*3333.33+(VLOOKUP(DC29,'BASE '!$I$112:$J$142,2,0)))-((DO29*3333.33)*DB29),IF(AND(CZ29="CLIENT S+L",DA29="LAIT"),((DO29*952.4)-(DO29*952.4)*DB29),IF(CZ29="CLIENT O","OFFERT",IF(AND(DA29="HUILE",CZ29="CLIENT L"),(((VLOOKUP(DC29,'BASE '!$I$112:$J$142,2,0))+(VLOOKUP(DO29,'BASE '!#REF!,2,0)))),IF(AND(DA29="LAIT",CZ29="CLIENT L"),(DO29*952.4),IF(AND(DA29="HUILE",CZ29="CLIENT D"),(DO29*3809.53+(VLOOKUP(DC29,'BASE '!$I$112:$J$142,2,0))),IF(AND(DA29="LAIT",CZ29="CLIENT D"),(DO29*952.4),IF(AND(DA29="HUILE",CZ29="CLIENT S+D"),((DO29*3809.53+(VLOOKUP(DC29,'BASE '!$I$112:$J$142,2,0)))-((DO29*3809.53)*DB29)),IF(AND(DA29="LAIT",CZ29="CLIENT S+D"),((DO29*952.4)-((DO29*952.4)*DB29)),IF(AND(CZ29="CLIENT S",DA29="LAIT"),((DO29*952.4)-((DO29*952.4)*DB29)),IF(AND(DA29="HUILE",CZ29="CLIENT S"),(VLOOKUP(DC29,'BASE '!$I$112:$J$142,2,0)+(VLOOKUP(DO29,'BASE '!#REF!,2,0)))-(DB29*((VLOOKUP(DO29,'BASE '!#REF!,2,0)+(VLOOKUP(DC29,'BASE '!$I$112:$J$142,2,0))))))))))))))))</f>
        <v>0</v>
      </c>
      <c r="DK29" s="52" t="b">
        <f t="shared" si="5"/>
        <v>0</v>
      </c>
      <c r="DL29" s="53" t="b">
        <f t="shared" si="12"/>
        <v>0</v>
      </c>
      <c r="DM29" s="149"/>
      <c r="DO29" s="124"/>
      <c r="DP29" s="42"/>
      <c r="DQ29" s="70"/>
      <c r="DR29" s="159"/>
      <c r="DS29" s="159"/>
      <c r="DT29" s="159"/>
      <c r="DU29" s="160"/>
      <c r="DV29" s="95"/>
      <c r="DW29" s="95"/>
      <c r="DX29" s="95"/>
      <c r="DY29" s="96"/>
    </row>
    <row r="30" spans="2:129" ht="15" customHeight="1" thickBot="1" x14ac:dyDescent="0.35">
      <c r="B30" s="64"/>
      <c r="C30" s="148"/>
      <c r="D30" s="109"/>
      <c r="E30" s="63"/>
      <c r="F30" s="127"/>
      <c r="G30" s="50"/>
      <c r="H30" s="10"/>
      <c r="I30" s="10"/>
      <c r="J30" s="10"/>
      <c r="K30" s="10"/>
      <c r="L30" s="10"/>
      <c r="M30" s="39"/>
      <c r="N30" s="33">
        <f t="shared" si="0"/>
        <v>0</v>
      </c>
      <c r="O30" s="52" t="b">
        <f>IF(AND(E30="CLIENT S+L",F30="HUILE"),(S30*3333.33+(VLOOKUP(H30,'BASE '!$I$112:$J$142,2,0)))-((S30*3333.33)*G30),IF(AND(E30="CLIENT S+L",F30="LAIT"),((S30*952.4)-(S30*952.4)*G30),IF(E30="CLIENT O","OFFERT",IF(AND(F30="HUILE",E30="CLIENT L"),(((VLOOKUP(H30,'BASE '!$I$112:$J$142,2,0))+(VLOOKUP(S30,'BASE '!#REF!,2,0)))),IF(AND(F30="LAIT",E30="CLIENT L"),(S30*952.4),IF(AND(F30="HUILE",E30="CLIENT D"),(S30*3809.53+(VLOOKUP(H30,'BASE '!$I$112:$J$142,2,0))),IF(AND(F30="LAIT",E30="CLIENT D"),(S30*952.4),IF(AND(F30="HUILE",E30="CLIENT S+D"),((S30*3809.53+(VLOOKUP(H30,'BASE '!$I$112:$J$142,2,0)))-((S30*3809.53)*G30)),IF(AND(F30="LAIT",E30="CLIENT S+D"),((S30*952.4)-((S30*952.4)*G30)),IF(AND(E30="CLIENT S",F30="LAIT"),((S30*952.4)-((S30*952.4)*G30)),IF(AND(F30="HUILE",E30="CLIENT S"),(VLOOKUP(H30,'BASE '!$I$112:$J$142,2,0)+(VLOOKUP(S30,'BASE '!#REF!,2,0)))-(G30*((VLOOKUP(S30,'BASE '!#REF!,2,0)+(VLOOKUP(H30,'BASE '!$I$112:$J$142,2,0))))))))))))))))</f>
        <v>0</v>
      </c>
      <c r="P30" s="52" t="b">
        <f t="shared" si="1"/>
        <v>0</v>
      </c>
      <c r="Q30" s="53" t="b">
        <f t="shared" si="2"/>
        <v>0</v>
      </c>
      <c r="R30" s="152" t="s">
        <v>175</v>
      </c>
      <c r="S30" s="184">
        <f t="shared" si="6"/>
        <v>0</v>
      </c>
      <c r="T30" s="124"/>
      <c r="U30" s="41" t="s">
        <v>175</v>
      </c>
      <c r="V30" s="70" t="e">
        <f>VLOOKUP(U30,'BASE '!$A$4:$H$144,2,0)</f>
        <v>#N/A</v>
      </c>
      <c r="W30" s="159"/>
      <c r="X30" s="159"/>
      <c r="Y30" s="160"/>
      <c r="Z30" s="158" t="e">
        <f>VLOOKUP(U30,'BASE '!$A$4:$H$144,3,0)</f>
        <v>#N/A</v>
      </c>
      <c r="AA30" s="94" t="e">
        <f t="shared" si="3"/>
        <v>#N/A</v>
      </c>
      <c r="AB30" s="95" t="e">
        <f>VLOOKUP(U30,'BASE '!$A$4:$H$144,6,0)*Y30/100</f>
        <v>#N/A</v>
      </c>
      <c r="AC30" s="95" t="e">
        <f>VLOOKUP(U30,'BASE '!$A$4:$H$144,7,0)*Y30/100</f>
        <v>#N/A</v>
      </c>
      <c r="AD30" s="95" t="e">
        <f>VLOOKUP(U30,'BASE '!$A$4:$H$144,8,0)*Y30/100</f>
        <v>#N/A</v>
      </c>
      <c r="AE30" s="96" t="e">
        <f t="shared" si="7"/>
        <v>#N/A</v>
      </c>
      <c r="AF30" s="431"/>
      <c r="AG30" s="1" t="s">
        <v>155</v>
      </c>
      <c r="AH30" s="36" t="e">
        <f>SUMIFS($H$6:$H$165,$D$6:$D$165,AF29,CHOIX,AG30)</f>
        <v>#NAME?</v>
      </c>
      <c r="AI30" s="36" t="e">
        <f>SUMIFS($I$6:$I$165,$D$6:$D$165,AF29,CHOIX,AG30)</f>
        <v>#NAME?</v>
      </c>
      <c r="AJ30" s="36" t="e">
        <f>SUMIFS($J$6:$J$165,$D$6:$D$165,AF29,CHOIX,AG30)</f>
        <v>#NAME?</v>
      </c>
      <c r="AK30" s="36" t="e">
        <f>SUMIFS($K$6:$K$165,$D$6:$D$165,AF29,CHOIX,AG30)</f>
        <v>#NAME?</v>
      </c>
      <c r="AL30" s="36" t="e">
        <f>SUMIFS($L$6:$L$165,$D$6:$D$165,AF29,CHOIX,AG30)</f>
        <v>#NAME?</v>
      </c>
      <c r="AM30" s="36" t="e">
        <f>SUMIFS($M$6:$M$165,$D$6:$D$165,AF29,CHOIX,AG30)</f>
        <v>#NAME?</v>
      </c>
      <c r="AN30" s="1" t="s">
        <v>155</v>
      </c>
      <c r="AO30" s="83"/>
      <c r="AP30" s="63"/>
      <c r="AQ30" s="63"/>
      <c r="AR30" s="63"/>
      <c r="AS30" s="79"/>
      <c r="AT30" s="79"/>
      <c r="AU30" s="55" t="e">
        <f>SUMIFS($O$6:$O$165,$D$6:$D$165,AF29,CHOIX,AG30)</f>
        <v>#NAME?</v>
      </c>
      <c r="AV30" s="80" t="e">
        <f>SUMIFS($Q$6:$Q$165,$D$6:$D$165,AF29,CHOIX,AG30)</f>
        <v>#NAME?</v>
      </c>
      <c r="AW30" s="12"/>
      <c r="AX30" s="12"/>
      <c r="AY30" s="12"/>
      <c r="AZ30" s="8"/>
      <c r="BA30" s="148"/>
      <c r="BB30" s="148"/>
      <c r="BC30" s="148"/>
      <c r="BD30" s="10"/>
      <c r="BE30" s="10"/>
      <c r="BF30" s="10"/>
      <c r="BG30" s="10"/>
      <c r="BH30" s="10"/>
      <c r="BI30" s="10"/>
      <c r="BJ30" s="10"/>
      <c r="BK30" s="10"/>
      <c r="BL30" s="10"/>
      <c r="BM30" s="147">
        <f t="shared" si="8"/>
        <v>0</v>
      </c>
      <c r="BN30" s="147">
        <f t="shared" si="9"/>
        <v>0</v>
      </c>
      <c r="BO30" s="149"/>
      <c r="BP30" s="49"/>
      <c r="BQ30" s="12"/>
      <c r="BR30" s="12"/>
      <c r="CV30" s="597" t="s">
        <v>186</v>
      </c>
      <c r="CW30" s="597"/>
      <c r="CX30" s="597"/>
      <c r="CY30" s="597"/>
      <c r="CZ30" s="597"/>
      <c r="DA30" s="597"/>
      <c r="DB30" s="597"/>
      <c r="DC30" s="537">
        <f>SUMIF($DA$6:$DA$29,"HUILE",DC6:DC29)</f>
        <v>0</v>
      </c>
      <c r="DD30" s="537">
        <f t="shared" ref="DD30:DI30" si="28">SUMIF($DA$6:$DA$29,"HUILE",DD6:DD29)</f>
        <v>0</v>
      </c>
      <c r="DE30" s="537">
        <f t="shared" si="28"/>
        <v>0</v>
      </c>
      <c r="DF30" s="537">
        <f t="shared" si="28"/>
        <v>0</v>
      </c>
      <c r="DG30" s="537">
        <f t="shared" si="28"/>
        <v>0</v>
      </c>
      <c r="DH30" s="537">
        <f t="shared" si="28"/>
        <v>0</v>
      </c>
      <c r="DI30" s="537">
        <f t="shared" si="28"/>
        <v>0</v>
      </c>
      <c r="DJ30" s="596"/>
      <c r="DK30" s="596"/>
      <c r="DL30" s="596"/>
      <c r="DM30" s="596"/>
      <c r="DO30" s="124"/>
      <c r="DP30" s="42"/>
      <c r="DQ30" s="70"/>
      <c r="DR30" s="159"/>
      <c r="DS30" s="159"/>
      <c r="DT30" s="159"/>
      <c r="DU30" s="160"/>
      <c r="DV30" s="95"/>
      <c r="DW30" s="95"/>
      <c r="DX30" s="95"/>
      <c r="DY30" s="96"/>
    </row>
    <row r="31" spans="2:129" ht="15" customHeight="1" thickBot="1" x14ac:dyDescent="0.35">
      <c r="B31" s="64"/>
      <c r="C31" s="148"/>
      <c r="D31" s="109"/>
      <c r="E31" s="63"/>
      <c r="F31" s="127"/>
      <c r="G31" s="50"/>
      <c r="H31" s="10"/>
      <c r="I31" s="10"/>
      <c r="J31" s="10"/>
      <c r="K31" s="10"/>
      <c r="L31" s="10"/>
      <c r="M31" s="39"/>
      <c r="N31" s="33">
        <f t="shared" si="0"/>
        <v>0</v>
      </c>
      <c r="O31" s="52" t="b">
        <f>IF(AND(E31="CLIENT S+L",F31="HUILE"),(S31*3333.33+(VLOOKUP(H31,'BASE '!$I$112:$J$142,2,0)))-((S31*3333.33)*G31),IF(AND(E31="CLIENT S+L",F31="LAIT"),((S31*952.4)-(S31*952.4)*G31),IF(E31="CLIENT O","OFFERT",IF(AND(F31="HUILE",E31="CLIENT L"),(((VLOOKUP(H31,'BASE '!$I$112:$J$142,2,0))+(VLOOKUP(S31,'BASE '!#REF!,2,0)))),IF(AND(F31="LAIT",E31="CLIENT L"),(S31*952.4),IF(AND(F31="HUILE",E31="CLIENT D"),(S31*3809.53+(VLOOKUP(H31,'BASE '!$I$112:$J$142,2,0))),IF(AND(F31="LAIT",E31="CLIENT D"),(S31*952.4),IF(AND(F31="HUILE",E31="CLIENT S+D"),((S31*3809.53+(VLOOKUP(H31,'BASE '!$I$112:$J$142,2,0)))-((S31*3809.53)*G31)),IF(AND(F31="LAIT",E31="CLIENT S+D"),((S31*952.4)-((S31*952.4)*G31)),IF(AND(E31="CLIENT S",F31="LAIT"),((S31*952.4)-((S31*952.4)*G31)),IF(AND(F31="HUILE",E31="CLIENT S"),(VLOOKUP(H31,'BASE '!$I$112:$J$142,2,0)+(VLOOKUP(S31,'BASE '!#REF!,2,0)))-(G31*((VLOOKUP(S31,'BASE '!#REF!,2,0)+(VLOOKUP(H31,'BASE '!$I$112:$J$142,2,0))))))))))))))))</f>
        <v>0</v>
      </c>
      <c r="P31" s="52" t="b">
        <f t="shared" si="1"/>
        <v>0</v>
      </c>
      <c r="Q31" s="53" t="b">
        <f t="shared" si="2"/>
        <v>0</v>
      </c>
      <c r="R31" s="152" t="s">
        <v>175</v>
      </c>
      <c r="S31" s="184">
        <f t="shared" si="6"/>
        <v>0</v>
      </c>
      <c r="T31" s="124"/>
      <c r="U31" s="41" t="s">
        <v>175</v>
      </c>
      <c r="V31" s="70" t="e">
        <f>VLOOKUP(U31,'BASE '!$A$4:$H$144,2,0)</f>
        <v>#N/A</v>
      </c>
      <c r="W31" s="159"/>
      <c r="X31" s="159"/>
      <c r="Y31" s="160"/>
      <c r="Z31" s="158" t="e">
        <f>VLOOKUP(U31,'BASE '!$A$4:$H$144,3,0)</f>
        <v>#N/A</v>
      </c>
      <c r="AA31" s="94" t="e">
        <f t="shared" si="3"/>
        <v>#N/A</v>
      </c>
      <c r="AB31" s="95" t="e">
        <f>VLOOKUP(U31,'BASE '!$A$4:$H$144,6,0)*Y31/100</f>
        <v>#N/A</v>
      </c>
      <c r="AC31" s="95" t="e">
        <f>VLOOKUP(U31,'BASE '!$A$4:$H$144,7,0)*Y31/100</f>
        <v>#N/A</v>
      </c>
      <c r="AD31" s="95" t="e">
        <f>VLOOKUP(U31,'BASE '!$A$4:$H$144,8,0)*Y31/100</f>
        <v>#N/A</v>
      </c>
      <c r="AE31" s="96" t="e">
        <f t="shared" si="7"/>
        <v>#N/A</v>
      </c>
      <c r="AF31" s="431"/>
      <c r="AG31" s="91" t="s">
        <v>157</v>
      </c>
      <c r="AH31" s="36" t="e">
        <f>SUMIFS($H$6:$H$165,$D$6:$D$165,AF31,CHOIX,AG31)</f>
        <v>#NAME?</v>
      </c>
      <c r="AI31" s="36" t="e">
        <f>SUMIFS($I$6:$I$165,$D$6:$D$165,AF31,CHOIX,AG31)</f>
        <v>#NAME?</v>
      </c>
      <c r="AJ31" s="36" t="e">
        <f>SUMIFS($J$6:$J$165,$D$6:$D$165,AF31,CHOIX,AG31)</f>
        <v>#NAME?</v>
      </c>
      <c r="AK31" s="36" t="e">
        <f>SUMIFS($K$6:$K$165,$D$6:$D$165,AF31,CHOIX,AG31)</f>
        <v>#NAME?</v>
      </c>
      <c r="AL31" s="36" t="e">
        <f>SUMIFS($L$6:$L$165,$D$6:$D$165,AF31,CHOIX,AG31)</f>
        <v>#NAME?</v>
      </c>
      <c r="AM31" s="36" t="e">
        <f>SUMIFS($M$6:$M$165,$D$6:$D$165,AF31,CHOIX,AG31)</f>
        <v>#NAME?</v>
      </c>
      <c r="AN31" s="91" t="s">
        <v>157</v>
      </c>
      <c r="AO31" s="83"/>
      <c r="AP31" s="63"/>
      <c r="AQ31" s="63"/>
      <c r="AR31" s="63"/>
      <c r="AS31" s="79"/>
      <c r="AT31" s="79"/>
      <c r="AU31" s="55" t="e">
        <f>SUMIFS($O$6:$O$165,$D$6:$D$165,AF31,CHOIX,AG31)</f>
        <v>#NAME?</v>
      </c>
      <c r="AV31" s="80" t="e">
        <f>SUMIFS($Q$6:$Q$165,$D$6:$D$165,AF31,CHOIX,AG31)</f>
        <v>#NAME?</v>
      </c>
      <c r="AZ31" s="8"/>
      <c r="BA31" s="148"/>
      <c r="BB31" s="148"/>
      <c r="BC31" s="148"/>
      <c r="BD31" s="10"/>
      <c r="BE31" s="10"/>
      <c r="BF31" s="10"/>
      <c r="BG31" s="10"/>
      <c r="BH31" s="10"/>
      <c r="BI31" s="10"/>
      <c r="BJ31" s="10"/>
      <c r="BK31" s="10"/>
      <c r="BL31" s="10"/>
      <c r="BM31" s="147">
        <f t="shared" si="8"/>
        <v>0</v>
      </c>
      <c r="BN31" s="147">
        <f t="shared" si="9"/>
        <v>0</v>
      </c>
      <c r="BO31" s="149"/>
      <c r="BP31" s="49"/>
      <c r="BQ31" s="12"/>
      <c r="BR31" s="12"/>
      <c r="CV31" s="597"/>
      <c r="CW31" s="597"/>
      <c r="CX31" s="597"/>
      <c r="CY31" s="597"/>
      <c r="CZ31" s="597"/>
      <c r="DA31" s="597"/>
      <c r="DB31" s="597"/>
      <c r="DC31" s="538"/>
      <c r="DD31" s="538"/>
      <c r="DE31" s="538"/>
      <c r="DF31" s="538"/>
      <c r="DG31" s="538"/>
      <c r="DH31" s="538"/>
      <c r="DI31" s="538"/>
      <c r="DJ31" s="596"/>
      <c r="DK31" s="596"/>
      <c r="DL31" s="596"/>
      <c r="DM31" s="596"/>
      <c r="DO31" s="124"/>
      <c r="DP31" s="42"/>
      <c r="DQ31" s="70"/>
      <c r="DR31" s="159"/>
      <c r="DS31" s="159"/>
      <c r="DT31" s="159"/>
      <c r="DU31" s="160"/>
      <c r="DV31" s="95"/>
      <c r="DW31" s="95"/>
      <c r="DX31" s="95"/>
      <c r="DY31" s="96"/>
    </row>
    <row r="32" spans="2:129" ht="15" customHeight="1" thickBot="1" x14ac:dyDescent="0.35">
      <c r="B32" s="64"/>
      <c r="C32" s="148"/>
      <c r="D32" s="109"/>
      <c r="E32" s="63"/>
      <c r="F32" s="127"/>
      <c r="G32" s="50"/>
      <c r="H32" s="10"/>
      <c r="I32" s="10"/>
      <c r="J32" s="10"/>
      <c r="K32" s="10"/>
      <c r="L32" s="10"/>
      <c r="M32" s="39"/>
      <c r="N32" s="33">
        <f t="shared" si="0"/>
        <v>0</v>
      </c>
      <c r="O32" s="52" t="b">
        <f>IF(AND(E32="CLIENT S+L",F32="HUILE"),(S32*3333.33+(VLOOKUP(H32,'BASE '!$I$112:$J$142,2,0)))-((S32*3333.33)*G32),IF(AND(E32="CLIENT S+L",F32="LAIT"),((S32*952.4)-(S32*952.4)*G32),IF(E32="CLIENT O","OFFERT",IF(AND(F32="HUILE",E32="CLIENT L"),(((VLOOKUP(H32,'BASE '!$I$112:$J$142,2,0))+(VLOOKUP(S32,'BASE '!#REF!,2,0)))),IF(AND(F32="LAIT",E32="CLIENT L"),(S32*952.4),IF(AND(F32="HUILE",E32="CLIENT D"),(S32*3809.53+(VLOOKUP(H32,'BASE '!$I$112:$J$142,2,0))),IF(AND(F32="LAIT",E32="CLIENT D"),(S32*952.4),IF(AND(F32="HUILE",E32="CLIENT S+D"),((S32*3809.53+(VLOOKUP(H32,'BASE '!$I$112:$J$142,2,0)))-((S32*3809.53)*G32)),IF(AND(F32="LAIT",E32="CLIENT S+D"),((S32*952.4)-((S32*952.4)*G32)),IF(AND(E32="CLIENT S",F32="LAIT"),((S32*952.4)-((S32*952.4)*G32)),IF(AND(F32="HUILE",E32="CLIENT S"),(VLOOKUP(H32,'BASE '!$I$112:$J$142,2,0)+(VLOOKUP(S32,'BASE '!#REF!,2,0)))-(G32*((VLOOKUP(S32,'BASE '!#REF!,2,0)+(VLOOKUP(H32,'BASE '!$I$112:$J$142,2,0))))))))))))))))</f>
        <v>0</v>
      </c>
      <c r="P32" s="52" t="b">
        <f t="shared" si="1"/>
        <v>0</v>
      </c>
      <c r="Q32" s="53" t="b">
        <f t="shared" si="2"/>
        <v>0</v>
      </c>
      <c r="R32" s="152" t="s">
        <v>175</v>
      </c>
      <c r="S32" s="184">
        <f t="shared" si="6"/>
        <v>0</v>
      </c>
      <c r="T32" s="124"/>
      <c r="U32" s="41" t="s">
        <v>175</v>
      </c>
      <c r="V32" s="70" t="e">
        <f>VLOOKUP(U32,'BASE '!$A$4:$H$144,2,0)</f>
        <v>#N/A</v>
      </c>
      <c r="W32" s="159"/>
      <c r="X32" s="159"/>
      <c r="Y32" s="160"/>
      <c r="Z32" s="158" t="e">
        <f>VLOOKUP(U32,'BASE '!$A$4:$H$144,3,0)</f>
        <v>#N/A</v>
      </c>
      <c r="AA32" s="94" t="e">
        <f t="shared" si="3"/>
        <v>#N/A</v>
      </c>
      <c r="AB32" s="95" t="e">
        <f>VLOOKUP(U32,'BASE '!$A$4:$H$144,6,0)*Y32/100</f>
        <v>#N/A</v>
      </c>
      <c r="AC32" s="95" t="e">
        <f>VLOOKUP(U32,'BASE '!$A$4:$H$144,7,0)*Y32/100</f>
        <v>#N/A</v>
      </c>
      <c r="AD32" s="95" t="e">
        <f>VLOOKUP(U32,'BASE '!$A$4:$H$144,8,0)*Y32/100</f>
        <v>#N/A</v>
      </c>
      <c r="AE32" s="96" t="e">
        <f t="shared" si="7"/>
        <v>#N/A</v>
      </c>
      <c r="AF32" s="431"/>
      <c r="AG32" s="1" t="s">
        <v>155</v>
      </c>
      <c r="AH32" s="36" t="e">
        <f>SUMIFS($H$6:$H$165,$D$6:$D$165,AF31,CHOIX,AG32)</f>
        <v>#NAME?</v>
      </c>
      <c r="AI32" s="36" t="e">
        <f>SUMIFS($I$6:$I$165,$D$6:$D$165,AF31,CHOIX,AG32)</f>
        <v>#NAME?</v>
      </c>
      <c r="AJ32" s="36" t="e">
        <f>SUMIFS($J$6:$J$165,$D$6:$D$165,AF31,CHOIX,AG32)</f>
        <v>#NAME?</v>
      </c>
      <c r="AK32" s="36" t="e">
        <f>SUMIFS($K$6:$K$165,$D$6:$D$165,AF31,CHOIX,AG32)</f>
        <v>#NAME?</v>
      </c>
      <c r="AL32" s="36" t="e">
        <f>SUMIFS($L$6:$L$165,$D$6:$D$165,AF31,CHOIX,AG32)</f>
        <v>#NAME?</v>
      </c>
      <c r="AM32" s="36" t="e">
        <f>SUMIFS($M$6:$M$165,$D$6:$D$165,AF31,CHOIX,AG32)</f>
        <v>#NAME?</v>
      </c>
      <c r="AN32" s="1" t="s">
        <v>155</v>
      </c>
      <c r="AO32" s="83"/>
      <c r="AP32" s="63"/>
      <c r="AQ32" s="63"/>
      <c r="AR32" s="63"/>
      <c r="AS32" s="79"/>
      <c r="AT32" s="79"/>
      <c r="AU32" s="55" t="e">
        <f>SUMIFS($O$6:$O$165,$D$6:$D$165,AF31,CHOIX,AG32)</f>
        <v>#NAME?</v>
      </c>
      <c r="AV32" s="80" t="e">
        <f>SUMIFS($Q$6:$Q$165,$D$6:$D$165,AF31,CHOIX,AG32)</f>
        <v>#NAME?</v>
      </c>
      <c r="AZ32" s="8"/>
      <c r="BA32" s="148"/>
      <c r="BB32" s="148"/>
      <c r="BC32" s="148"/>
      <c r="BD32" s="10"/>
      <c r="BE32" s="10"/>
      <c r="BF32" s="10"/>
      <c r="BG32" s="10"/>
      <c r="BH32" s="10"/>
      <c r="BI32" s="10"/>
      <c r="BJ32" s="10"/>
      <c r="BK32" s="10"/>
      <c r="BL32" s="10"/>
      <c r="BM32" s="147">
        <f t="shared" si="8"/>
        <v>0</v>
      </c>
      <c r="BN32" s="147">
        <f t="shared" si="9"/>
        <v>0</v>
      </c>
      <c r="BO32" s="149"/>
      <c r="BP32" s="166"/>
      <c r="BQ32" s="12"/>
      <c r="BR32" s="12"/>
      <c r="CV32" s="597" t="s">
        <v>181</v>
      </c>
      <c r="CW32" s="597"/>
      <c r="CX32" s="597"/>
      <c r="CY32" s="597"/>
      <c r="CZ32" s="597"/>
      <c r="DA32" s="597"/>
      <c r="DB32" s="597"/>
      <c r="DC32" s="537">
        <f>SUMIF($DA$6:$DA$29,"LAIT",DC8:DC31)</f>
        <v>0</v>
      </c>
      <c r="DD32" s="537">
        <f t="shared" ref="DD32:DI32" si="29">SUMIF($DA$6:$DA$29,"LAIT",DD8:DD31)</f>
        <v>0</v>
      </c>
      <c r="DE32" s="537">
        <f t="shared" si="29"/>
        <v>0</v>
      </c>
      <c r="DF32" s="537">
        <f t="shared" si="29"/>
        <v>0</v>
      </c>
      <c r="DG32" s="537">
        <f t="shared" si="29"/>
        <v>0</v>
      </c>
      <c r="DH32" s="537">
        <f t="shared" si="29"/>
        <v>0</v>
      </c>
      <c r="DI32" s="537">
        <f t="shared" si="29"/>
        <v>0</v>
      </c>
      <c r="DJ32" s="598"/>
      <c r="DK32" s="599"/>
      <c r="DL32" s="599"/>
      <c r="DM32" s="600"/>
      <c r="DO32" s="124"/>
      <c r="DP32" s="42"/>
      <c r="DQ32" s="70"/>
      <c r="DR32" s="159"/>
      <c r="DS32" s="159"/>
      <c r="DT32" s="159"/>
      <c r="DU32" s="160"/>
      <c r="DV32" s="95"/>
      <c r="DW32" s="95"/>
      <c r="DX32" s="95"/>
      <c r="DY32" s="96"/>
    </row>
    <row r="33" spans="2:129" ht="15" thickBot="1" x14ac:dyDescent="0.35">
      <c r="B33" s="64"/>
      <c r="C33" s="148"/>
      <c r="D33" s="109"/>
      <c r="E33" s="63"/>
      <c r="F33" s="127"/>
      <c r="G33" s="50"/>
      <c r="H33" s="10"/>
      <c r="I33" s="10"/>
      <c r="J33" s="10"/>
      <c r="K33" s="10"/>
      <c r="L33" s="10"/>
      <c r="M33" s="39"/>
      <c r="N33" s="33">
        <f t="shared" si="0"/>
        <v>0</v>
      </c>
      <c r="O33" s="52" t="b">
        <f>IF(AND(E33="CLIENT S+L",F33="HUILE"),(S33*3333.33+(VLOOKUP(H33,'BASE '!$I$112:$J$142,2,0)))-((S33*3333.33)*G33),IF(AND(E33="CLIENT S+L",F33="LAIT"),((S33*952.4)-(S33*952.4)*G33),IF(E33="CLIENT O","OFFERT",IF(AND(F33="HUILE",E33="CLIENT L"),(((VLOOKUP(H33,'BASE '!$I$112:$J$142,2,0))+(VLOOKUP(S33,'BASE '!#REF!,2,0)))),IF(AND(F33="LAIT",E33="CLIENT L"),(S33*952.4),IF(AND(F33="HUILE",E33="CLIENT D"),(S33*3809.53+(VLOOKUP(H33,'BASE '!$I$112:$J$142,2,0))),IF(AND(F33="LAIT",E33="CLIENT D"),(S33*952.4),IF(AND(F33="HUILE",E33="CLIENT S+D"),((S33*3809.53+(VLOOKUP(H33,'BASE '!$I$112:$J$142,2,0)))-((S33*3809.53)*G33)),IF(AND(F33="LAIT",E33="CLIENT S+D"),((S33*952.4)-((S33*952.4)*G33)),IF(AND(E33="CLIENT S",F33="LAIT"),((S33*952.4)-((S33*952.4)*G33)),IF(AND(F33="HUILE",E33="CLIENT S"),(VLOOKUP(H33,'BASE '!$I$112:$J$142,2,0)+(VLOOKUP(S33,'BASE '!#REF!,2,0)))-(G33*((VLOOKUP(S33,'BASE '!#REF!,2,0)+(VLOOKUP(H33,'BASE '!$I$112:$J$142,2,0))))))))))))))))</f>
        <v>0</v>
      </c>
      <c r="P33" s="52" t="b">
        <f t="shared" si="1"/>
        <v>0</v>
      </c>
      <c r="Q33" s="53" t="b">
        <f t="shared" si="2"/>
        <v>0</v>
      </c>
      <c r="R33" s="152" t="s">
        <v>175</v>
      </c>
      <c r="S33" s="184">
        <f t="shared" si="6"/>
        <v>0</v>
      </c>
      <c r="T33" s="124"/>
      <c r="U33" s="41" t="s">
        <v>175</v>
      </c>
      <c r="V33" s="70" t="e">
        <f>VLOOKUP(U33,'BASE '!$A$4:$H$144,2,0)</f>
        <v>#N/A</v>
      </c>
      <c r="W33" s="159"/>
      <c r="X33" s="159"/>
      <c r="Y33" s="160"/>
      <c r="Z33" s="158" t="e">
        <f>VLOOKUP(U33,'BASE '!$A$4:$H$144,3,0)</f>
        <v>#N/A</v>
      </c>
      <c r="AA33" s="94" t="e">
        <f t="shared" si="3"/>
        <v>#N/A</v>
      </c>
      <c r="AB33" s="95" t="e">
        <f>VLOOKUP(U33,'BASE '!$A$4:$H$144,6,0)*Y33/100</f>
        <v>#N/A</v>
      </c>
      <c r="AC33" s="95" t="e">
        <f>VLOOKUP(U33,'BASE '!$A$4:$H$144,7,0)*Y33/100</f>
        <v>#N/A</v>
      </c>
      <c r="AD33" s="95" t="e">
        <f>VLOOKUP(U33,'BASE '!$A$4:$H$144,8,0)*Y33/100</f>
        <v>#N/A</v>
      </c>
      <c r="AE33" s="96" t="e">
        <f t="shared" si="7"/>
        <v>#N/A</v>
      </c>
      <c r="AF33" s="431"/>
      <c r="AG33" s="91" t="s">
        <v>157</v>
      </c>
      <c r="AH33" s="36" t="e">
        <f>SUMIFS($H$6:$H$165,$D$6:$D$165,AF33,CHOIX,AG33)</f>
        <v>#NAME?</v>
      </c>
      <c r="AI33" s="36" t="e">
        <f>SUMIFS($I$6:$I$165,$D$6:$D$165,AF33,CHOIX,AG33)</f>
        <v>#NAME?</v>
      </c>
      <c r="AJ33" s="36" t="e">
        <f>SUMIFS($J$6:$J$165,$D$6:$D$165,AF33,CHOIX,AG33)</f>
        <v>#NAME?</v>
      </c>
      <c r="AK33" s="36" t="e">
        <f>SUMIFS($K$6:$K$165,$D$6:$D$165,AF33,CHOIX,AG33)</f>
        <v>#NAME?</v>
      </c>
      <c r="AL33" s="36" t="e">
        <f>SUMIFS($L$6:$L$165,$D$6:$D$165,AF33,CHOIX,AG33)</f>
        <v>#NAME?</v>
      </c>
      <c r="AM33" s="36" t="e">
        <f>SUMIFS($M$6:$M$165,$D$6:$D$165,AF33,CHOIX,AG33)</f>
        <v>#NAME?</v>
      </c>
      <c r="AN33" s="91" t="s">
        <v>157</v>
      </c>
      <c r="AO33" s="83"/>
      <c r="AP33" s="63"/>
      <c r="AQ33" s="63"/>
      <c r="AR33" s="63"/>
      <c r="AS33" s="79"/>
      <c r="AT33" s="79"/>
      <c r="AU33" s="55" t="e">
        <f>SUMIFS($O$6:$O$165,$D$6:$D$165,AF33,CHOIX,AG33)</f>
        <v>#NAME?</v>
      </c>
      <c r="AV33" s="80" t="e">
        <f>SUMIFS($Q$6:$Q$165,$D$6:$D$165,AF33,CHOIX,AG33)</f>
        <v>#NAME?</v>
      </c>
      <c r="AZ33" s="8"/>
      <c r="BA33" s="148"/>
      <c r="BB33" s="148"/>
      <c r="BC33" s="148"/>
      <c r="BD33" s="10"/>
      <c r="BE33" s="10"/>
      <c r="BF33" s="10"/>
      <c r="BG33" s="10"/>
      <c r="BH33" s="10"/>
      <c r="BI33" s="10"/>
      <c r="BJ33" s="10"/>
      <c r="BK33" s="10"/>
      <c r="BL33" s="10"/>
      <c r="BM33" s="147">
        <f t="shared" si="8"/>
        <v>0</v>
      </c>
      <c r="BN33" s="147">
        <f t="shared" si="9"/>
        <v>0</v>
      </c>
      <c r="BO33" s="149"/>
      <c r="BP33" s="49"/>
      <c r="BQ33" s="12"/>
      <c r="BR33" s="12"/>
      <c r="CV33" s="597"/>
      <c r="CW33" s="597"/>
      <c r="CX33" s="597"/>
      <c r="CY33" s="597"/>
      <c r="CZ33" s="597"/>
      <c r="DA33" s="597"/>
      <c r="DB33" s="597"/>
      <c r="DC33" s="538"/>
      <c r="DD33" s="538"/>
      <c r="DE33" s="538"/>
      <c r="DF33" s="538"/>
      <c r="DG33" s="538"/>
      <c r="DH33" s="538"/>
      <c r="DI33" s="538"/>
      <c r="DJ33" s="601"/>
      <c r="DK33" s="602"/>
      <c r="DL33" s="602"/>
      <c r="DM33" s="603"/>
      <c r="DO33" s="124"/>
      <c r="DP33" s="42"/>
      <c r="DQ33" s="70"/>
      <c r="DR33" s="159"/>
      <c r="DS33" s="159"/>
      <c r="DT33" s="159"/>
      <c r="DU33" s="160"/>
      <c r="DV33" s="95"/>
      <c r="DW33" s="95"/>
      <c r="DX33" s="95"/>
      <c r="DY33" s="96"/>
    </row>
    <row r="34" spans="2:129" ht="15" thickBot="1" x14ac:dyDescent="0.35">
      <c r="B34" s="64"/>
      <c r="C34" s="148"/>
      <c r="D34" s="109"/>
      <c r="E34" s="63"/>
      <c r="F34" s="127"/>
      <c r="G34" s="50"/>
      <c r="H34" s="10"/>
      <c r="I34" s="10"/>
      <c r="J34" s="10"/>
      <c r="K34" s="10"/>
      <c r="L34" s="10"/>
      <c r="M34" s="39"/>
      <c r="N34" s="33">
        <f t="shared" si="0"/>
        <v>0</v>
      </c>
      <c r="O34" s="52" t="b">
        <f>IF(AND(E34="CLIENT S+L",F34="HUILE"),(S34*3333.33+(VLOOKUP(H34,'BASE '!$I$112:$J$142,2,0)))-((S34*3333.33)*G34),IF(AND(E34="CLIENT S+L",F34="LAIT"),((S34*952.4)-(S34*952.4)*G34),IF(E34="CLIENT O","OFFERT",IF(AND(F34="HUILE",E34="CLIENT L"),(((VLOOKUP(H34,'BASE '!$I$112:$J$142,2,0))+(VLOOKUP(S34,'BASE '!#REF!,2,0)))),IF(AND(F34="LAIT",E34="CLIENT L"),(S34*952.4),IF(AND(F34="HUILE",E34="CLIENT D"),(S34*3809.53+(VLOOKUP(H34,'BASE '!$I$112:$J$142,2,0))),IF(AND(F34="LAIT",E34="CLIENT D"),(S34*952.4),IF(AND(F34="HUILE",E34="CLIENT S+D"),((S34*3809.53+(VLOOKUP(H34,'BASE '!$I$112:$J$142,2,0)))-((S34*3809.53)*G34)),IF(AND(F34="LAIT",E34="CLIENT S+D"),((S34*952.4)-((S34*952.4)*G34)),IF(AND(E34="CLIENT S",F34="LAIT"),((S34*952.4)-((S34*952.4)*G34)),IF(AND(F34="HUILE",E34="CLIENT S"),(VLOOKUP(H34,'BASE '!$I$112:$J$142,2,0)+(VLOOKUP(S34,'BASE '!#REF!,2,0)))-(G34*((VLOOKUP(S34,'BASE '!#REF!,2,0)+(VLOOKUP(H34,'BASE '!$I$112:$J$142,2,0))))))))))))))))</f>
        <v>0</v>
      </c>
      <c r="P34" s="52" t="b">
        <f t="shared" si="1"/>
        <v>0</v>
      </c>
      <c r="Q34" s="53" t="b">
        <f t="shared" si="2"/>
        <v>0</v>
      </c>
      <c r="R34" s="152" t="s">
        <v>175</v>
      </c>
      <c r="S34" s="184">
        <f t="shared" si="6"/>
        <v>0</v>
      </c>
      <c r="T34" s="124"/>
      <c r="U34" s="41" t="s">
        <v>175</v>
      </c>
      <c r="V34" s="70" t="e">
        <f>VLOOKUP(U34,'BASE '!$A$4:$H$144,2,0)</f>
        <v>#N/A</v>
      </c>
      <c r="W34" s="159"/>
      <c r="X34" s="159"/>
      <c r="Y34" s="160"/>
      <c r="Z34" s="158" t="e">
        <f>VLOOKUP(U34,'BASE '!$A$4:$H$144,3,0)</f>
        <v>#N/A</v>
      </c>
      <c r="AA34" s="94" t="e">
        <f t="shared" si="3"/>
        <v>#N/A</v>
      </c>
      <c r="AB34" s="95" t="e">
        <f>VLOOKUP(U34,'BASE '!$A$4:$H$144,6,0)*Y34/100</f>
        <v>#N/A</v>
      </c>
      <c r="AC34" s="95" t="e">
        <f>VLOOKUP(U34,'BASE '!$A$4:$H$144,7,0)*Y34/100</f>
        <v>#N/A</v>
      </c>
      <c r="AD34" s="95" t="e">
        <f>VLOOKUP(U34,'BASE '!$A$4:$H$144,8,0)*Y34/100</f>
        <v>#N/A</v>
      </c>
      <c r="AE34" s="96" t="e">
        <f t="shared" si="7"/>
        <v>#N/A</v>
      </c>
      <c r="AF34" s="431"/>
      <c r="AG34" s="1" t="s">
        <v>155</v>
      </c>
      <c r="AH34" s="36" t="e">
        <f>SUMIFS($H$6:$H$165,$D$6:$D$165,AF33,CHOIX,AG34)</f>
        <v>#NAME?</v>
      </c>
      <c r="AI34" s="36" t="e">
        <f>SUMIFS($I$6:$I$165,$D$6:$D$165,AF33,CHOIX,AG34)</f>
        <v>#NAME?</v>
      </c>
      <c r="AJ34" s="36" t="e">
        <f>SUMIFS($J$6:$J$165,$D$6:$D$165,AF33,CHOIX,AG34)</f>
        <v>#NAME?</v>
      </c>
      <c r="AK34" s="36" t="e">
        <f>SUMIFS($K$6:$K$165,$D$6:$D$165,AF33,CHOIX,AG34)</f>
        <v>#NAME?</v>
      </c>
      <c r="AL34" s="36" t="e">
        <f>SUMIFS($L$6:$L$165,$D$6:$D$165,AF33,CHOIX,AG34)</f>
        <v>#NAME?</v>
      </c>
      <c r="AM34" s="36" t="e">
        <f>SUMIFS($M$6:$M$165,$D$6:$D$165,AF33,CHOIX,AG34)</f>
        <v>#NAME?</v>
      </c>
      <c r="AN34" s="1" t="s">
        <v>155</v>
      </c>
      <c r="AO34" s="83"/>
      <c r="AP34" s="63"/>
      <c r="AQ34" s="63"/>
      <c r="AR34" s="63"/>
      <c r="AS34" s="79"/>
      <c r="AT34" s="79"/>
      <c r="AU34" s="55" t="e">
        <f>SUMIFS($O$6:$O$165,$D$6:$D$165,AF33,CHOIX,AG34)</f>
        <v>#NAME?</v>
      </c>
      <c r="AV34" s="80" t="e">
        <f>SUMIFS($Q$6:$Q$165,$D$6:$D$165,AF33,CHOIX,AG34)</f>
        <v>#NAME?</v>
      </c>
      <c r="AZ34" s="8"/>
      <c r="BA34" s="148"/>
      <c r="BB34" s="148"/>
      <c r="BC34" s="148"/>
      <c r="BD34" s="10"/>
      <c r="BE34" s="10"/>
      <c r="BF34" s="10"/>
      <c r="BG34" s="10"/>
      <c r="BH34" s="10"/>
      <c r="BI34" s="10"/>
      <c r="BJ34" s="10"/>
      <c r="BK34" s="10"/>
      <c r="BL34" s="10"/>
      <c r="BM34" s="147">
        <f t="shared" si="8"/>
        <v>0</v>
      </c>
      <c r="BN34" s="147">
        <f t="shared" si="9"/>
        <v>0</v>
      </c>
      <c r="BO34" s="149"/>
      <c r="CV34" s="391" t="s">
        <v>28</v>
      </c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0">
        <f>SUMIF(DJ6:DJ29,"&lt;&gt;#N/A")</f>
        <v>0</v>
      </c>
      <c r="DJ34" s="390"/>
      <c r="DK34" s="390"/>
      <c r="DL34" s="390"/>
      <c r="DM34" s="390"/>
      <c r="DO34" s="124"/>
      <c r="DP34" s="42"/>
      <c r="DQ34" s="70"/>
      <c r="DR34" s="159"/>
      <c r="DS34" s="159"/>
      <c r="DT34" s="159"/>
      <c r="DU34" s="160"/>
      <c r="DV34" s="95"/>
      <c r="DW34" s="95"/>
      <c r="DX34" s="95"/>
      <c r="DY34" s="96"/>
    </row>
    <row r="35" spans="2:129" ht="15" thickBot="1" x14ac:dyDescent="0.35">
      <c r="B35" s="64"/>
      <c r="C35" s="148"/>
      <c r="D35" s="109"/>
      <c r="E35" s="63"/>
      <c r="F35" s="127"/>
      <c r="G35" s="50"/>
      <c r="H35" s="10"/>
      <c r="I35" s="10"/>
      <c r="J35" s="10"/>
      <c r="K35" s="10"/>
      <c r="L35" s="10"/>
      <c r="M35" s="39"/>
      <c r="N35" s="33">
        <f t="shared" si="0"/>
        <v>0</v>
      </c>
      <c r="O35" s="52" t="b">
        <f>IF(AND(E35="CLIENT S+L",F35="HUILE"),(S35*3333.33+(VLOOKUP(H35,'BASE '!$I$112:$J$142,2,0)))-((S35*3333.33)*G35),IF(AND(E35="CLIENT S+L",F35="LAIT"),((S35*952.4)-(S35*952.4)*G35),IF(E35="CLIENT O","OFFERT",IF(AND(F35="HUILE",E35="CLIENT L"),(((VLOOKUP(H35,'BASE '!$I$112:$J$142,2,0))+(VLOOKUP(S35,'BASE '!#REF!,2,0)))),IF(AND(F35="LAIT",E35="CLIENT L"),(S35*952.4),IF(AND(F35="HUILE",E35="CLIENT D"),(S35*3809.53+(VLOOKUP(H35,'BASE '!$I$112:$J$142,2,0))),IF(AND(F35="LAIT",E35="CLIENT D"),(S35*952.4),IF(AND(F35="HUILE",E35="CLIENT S+D"),((S35*3809.53+(VLOOKUP(H35,'BASE '!$I$112:$J$142,2,0)))-((S35*3809.53)*G35)),IF(AND(F35="LAIT",E35="CLIENT S+D"),((S35*952.4)-((S35*952.4)*G35)),IF(AND(E35="CLIENT S",F35="LAIT"),((S35*952.4)-((S35*952.4)*G35)),IF(AND(F35="HUILE",E35="CLIENT S"),(VLOOKUP(H35,'BASE '!$I$112:$J$142,2,0)+(VLOOKUP(S35,'BASE '!#REF!,2,0)))-(G35*((VLOOKUP(S35,'BASE '!#REF!,2,0)+(VLOOKUP(H35,'BASE '!$I$112:$J$142,2,0))))))))))))))))</f>
        <v>0</v>
      </c>
      <c r="P35" s="52" t="b">
        <f t="shared" si="1"/>
        <v>0</v>
      </c>
      <c r="Q35" s="53" t="b">
        <f t="shared" si="2"/>
        <v>0</v>
      </c>
      <c r="R35" s="152" t="s">
        <v>175</v>
      </c>
      <c r="S35" s="184">
        <f t="shared" si="6"/>
        <v>0</v>
      </c>
      <c r="T35" s="124"/>
      <c r="U35" s="41" t="s">
        <v>175</v>
      </c>
      <c r="V35" s="70" t="e">
        <f>VLOOKUP(U35,'BASE '!$A$4:$H$144,2,0)</f>
        <v>#N/A</v>
      </c>
      <c r="W35" s="159"/>
      <c r="X35" s="159"/>
      <c r="Y35" s="160"/>
      <c r="Z35" s="158" t="e">
        <f>VLOOKUP(U35,'BASE '!$A$4:$H$144,3,0)</f>
        <v>#N/A</v>
      </c>
      <c r="AA35" s="94" t="e">
        <f t="shared" si="3"/>
        <v>#N/A</v>
      </c>
      <c r="AB35" s="95" t="e">
        <f>VLOOKUP(U35,'BASE '!$A$4:$H$144,6,0)*Y35/100</f>
        <v>#N/A</v>
      </c>
      <c r="AC35" s="95" t="e">
        <f>VLOOKUP(U35,'BASE '!$A$4:$H$144,7,0)*Y35/100</f>
        <v>#N/A</v>
      </c>
      <c r="AD35" s="95" t="e">
        <f>VLOOKUP(U35,'BASE '!$A$4:$H$144,8,0)*Y35/100</f>
        <v>#N/A</v>
      </c>
      <c r="AE35" s="96" t="e">
        <f t="shared" si="7"/>
        <v>#N/A</v>
      </c>
      <c r="AF35" s="431"/>
      <c r="AG35" s="91" t="s">
        <v>157</v>
      </c>
      <c r="AH35" s="36" t="e">
        <f>SUMIFS($H$6:$H$165,$D$6:$D$165,AF35,CHOIX,AG35)</f>
        <v>#NAME?</v>
      </c>
      <c r="AI35" s="36" t="e">
        <f>SUMIFS($I$6:$I$165,$D$6:$D$165,AF35,CHOIX,AG35)</f>
        <v>#NAME?</v>
      </c>
      <c r="AJ35" s="36" t="e">
        <f>SUMIFS($J$6:$J$165,$D$6:$D$165,AF35,CHOIX,AG35)</f>
        <v>#NAME?</v>
      </c>
      <c r="AK35" s="36" t="e">
        <f>SUMIFS($K$6:$K$165,$D$6:$D$165,AF35,CHOIX,AG35)</f>
        <v>#NAME?</v>
      </c>
      <c r="AL35" s="36" t="e">
        <f>SUMIFS($L$6:$L$165,$D$6:$D$165,AF35,CHOIX,AG35)</f>
        <v>#NAME?</v>
      </c>
      <c r="AM35" s="36" t="e">
        <f>SUMIFS($M$6:$M$165,$D$6:$D$165,AF35,CHOIX,AG35)</f>
        <v>#NAME?</v>
      </c>
      <c r="AN35" s="91" t="s">
        <v>157</v>
      </c>
      <c r="AO35" s="83"/>
      <c r="AP35" s="63"/>
      <c r="AQ35" s="63"/>
      <c r="AR35" s="63"/>
      <c r="AS35" s="79"/>
      <c r="AT35" s="79"/>
      <c r="AU35" s="55" t="e">
        <f>SUMIFS($O$6:$O$165,$D$6:$D$165,AF35,CHOIX,AG35)</f>
        <v>#NAME?</v>
      </c>
      <c r="AV35" s="80" t="e">
        <f>SUMIFS($Q$6:$Q$165,$D$6:$D$165,AF35,CHOIX,AG35)</f>
        <v>#NAME?</v>
      </c>
      <c r="AZ35" s="8"/>
      <c r="BA35" s="148"/>
      <c r="BB35" s="148"/>
      <c r="BC35" s="148"/>
      <c r="BD35" s="10"/>
      <c r="BE35" s="10"/>
      <c r="BF35" s="10"/>
      <c r="BG35" s="10"/>
      <c r="BH35" s="10"/>
      <c r="BI35" s="10"/>
      <c r="BJ35" s="10"/>
      <c r="BK35" s="10"/>
      <c r="BL35" s="10"/>
      <c r="BM35" s="147">
        <f t="shared" si="8"/>
        <v>0</v>
      </c>
      <c r="BN35" s="147">
        <f t="shared" si="9"/>
        <v>0</v>
      </c>
      <c r="BO35" s="149"/>
      <c r="CV35" s="391"/>
      <c r="CW35" s="391"/>
      <c r="CX35" s="391"/>
      <c r="CY35" s="391"/>
      <c r="CZ35" s="391"/>
      <c r="DA35" s="391"/>
      <c r="DB35" s="391"/>
      <c r="DC35" s="391"/>
      <c r="DD35" s="391"/>
      <c r="DE35" s="391"/>
      <c r="DF35" s="391"/>
      <c r="DG35" s="391"/>
      <c r="DH35" s="391"/>
      <c r="DI35" s="390"/>
      <c r="DJ35" s="390"/>
      <c r="DK35" s="390"/>
      <c r="DL35" s="390"/>
      <c r="DM35" s="390"/>
      <c r="DN35" s="116" t="e">
        <f>(($I$5*#REF!)/100)+((#REF!*$J$5)/100)+(($K$5*#REF!)/100)+($L$5*#REF!)+($M$5*#REF!)</f>
        <v>#REF!</v>
      </c>
      <c r="DO35" s="124"/>
      <c r="DP35" s="42"/>
      <c r="DQ35" s="70"/>
      <c r="DR35" s="159"/>
      <c r="DS35" s="159"/>
      <c r="DT35" s="159"/>
      <c r="DU35" s="160"/>
      <c r="DV35" s="95"/>
      <c r="DW35" s="95"/>
      <c r="DX35" s="95"/>
      <c r="DY35" s="96"/>
    </row>
    <row r="36" spans="2:129" ht="15" thickBot="1" x14ac:dyDescent="0.35">
      <c r="B36" s="64"/>
      <c r="C36" s="148"/>
      <c r="D36" s="109"/>
      <c r="E36" s="63"/>
      <c r="F36" s="127"/>
      <c r="G36" s="50"/>
      <c r="H36" s="10"/>
      <c r="I36" s="10"/>
      <c r="J36" s="10"/>
      <c r="K36" s="10"/>
      <c r="L36" s="10"/>
      <c r="M36" s="39"/>
      <c r="N36" s="33">
        <f t="shared" si="0"/>
        <v>0</v>
      </c>
      <c r="O36" s="52" t="b">
        <f>IF(AND(E36="CLIENT S+L",F36="HUILE"),(S36*3333.33+(VLOOKUP(H36,'BASE '!$I$112:$J$142,2,0)))-((S36*3333.33)*G36),IF(AND(E36="CLIENT S+L",F36="LAIT"),((S36*952.4)-(S36*952.4)*G36),IF(E36="CLIENT O","OFFERT",IF(AND(F36="HUILE",E36="CLIENT L"),(((VLOOKUP(H36,'BASE '!$I$112:$J$142,2,0))+(VLOOKUP(S36,'BASE '!#REF!,2,0)))),IF(AND(F36="LAIT",E36="CLIENT L"),(S36*952.4),IF(AND(F36="HUILE",E36="CLIENT D"),(S36*3809.53+(VLOOKUP(H36,'BASE '!$I$112:$J$142,2,0))),IF(AND(F36="LAIT",E36="CLIENT D"),(S36*952.4),IF(AND(F36="HUILE",E36="CLIENT S+D"),((S36*3809.53+(VLOOKUP(H36,'BASE '!$I$112:$J$142,2,0)))-((S36*3809.53)*G36)),IF(AND(F36="LAIT",E36="CLIENT S+D"),((S36*952.4)-((S36*952.4)*G36)),IF(AND(E36="CLIENT S",F36="LAIT"),((S36*952.4)-((S36*952.4)*G36)),IF(AND(F36="HUILE",E36="CLIENT S"),(VLOOKUP(H36,'BASE '!$I$112:$J$142,2,0)+(VLOOKUP(S36,'BASE '!#REF!,2,0)))-(G36*((VLOOKUP(S36,'BASE '!#REF!,2,0)+(VLOOKUP(H36,'BASE '!$I$112:$J$142,2,0))))))))))))))))</f>
        <v>0</v>
      </c>
      <c r="P36" s="52" t="b">
        <f t="shared" si="1"/>
        <v>0</v>
      </c>
      <c r="Q36" s="53" t="b">
        <f t="shared" si="2"/>
        <v>0</v>
      </c>
      <c r="R36" s="152" t="s">
        <v>175</v>
      </c>
      <c r="S36" s="184">
        <f t="shared" si="6"/>
        <v>0</v>
      </c>
      <c r="T36" s="124"/>
      <c r="U36" s="41" t="s">
        <v>175</v>
      </c>
      <c r="V36" s="70" t="e">
        <f>VLOOKUP(U36,'BASE '!$A$4:$H$144,2,0)</f>
        <v>#N/A</v>
      </c>
      <c r="W36" s="159"/>
      <c r="X36" s="159"/>
      <c r="Y36" s="160"/>
      <c r="Z36" s="158" t="e">
        <f>VLOOKUP(U36,'BASE '!$A$4:$H$144,3,0)</f>
        <v>#N/A</v>
      </c>
      <c r="AA36" s="94" t="e">
        <f t="shared" si="3"/>
        <v>#N/A</v>
      </c>
      <c r="AB36" s="95" t="e">
        <f>VLOOKUP(U36,'BASE '!$A$4:$H$144,6,0)*Y36/100</f>
        <v>#N/A</v>
      </c>
      <c r="AC36" s="95" t="e">
        <f>VLOOKUP(U36,'BASE '!$A$4:$H$144,7,0)*Y36/100</f>
        <v>#N/A</v>
      </c>
      <c r="AD36" s="95" t="e">
        <f>VLOOKUP(U36,'BASE '!$A$4:$H$144,8,0)*Y36/100</f>
        <v>#N/A</v>
      </c>
      <c r="AE36" s="96" t="e">
        <f t="shared" si="7"/>
        <v>#N/A</v>
      </c>
      <c r="AF36" s="431"/>
      <c r="AG36" s="1" t="s">
        <v>155</v>
      </c>
      <c r="AH36" s="36" t="e">
        <f>SUMIFS($H$6:$H$165,$D$6:$D$165,AF35,CHOIX,AG36)</f>
        <v>#NAME?</v>
      </c>
      <c r="AI36" s="36" t="e">
        <f>SUMIFS($I$6:$I$165,$D$6:$D$165,AF35,CHOIX,AG36)</f>
        <v>#NAME?</v>
      </c>
      <c r="AJ36" s="36" t="e">
        <f>SUMIFS($J$6:$J$165,$D$6:$D$165,AF35,CHOIX,AG36)</f>
        <v>#NAME?</v>
      </c>
      <c r="AK36" s="36" t="e">
        <f>SUMIFS($K$6:$K$165,$D$6:$D$165,AF35,CHOIX,AG36)</f>
        <v>#NAME?</v>
      </c>
      <c r="AL36" s="36" t="e">
        <f>SUMIFS($L$6:$L$165,$D$6:$D$165,AF35,CHOIX,AG36)</f>
        <v>#NAME?</v>
      </c>
      <c r="AM36" s="36" t="e">
        <f>SUMIFS($M$6:$M$165,$D$6:$D$165,AF35,CHOIX,AG36)</f>
        <v>#NAME?</v>
      </c>
      <c r="AN36" s="1" t="s">
        <v>155</v>
      </c>
      <c r="AO36" s="83"/>
      <c r="AP36" s="63"/>
      <c r="AQ36" s="63"/>
      <c r="AR36" s="63"/>
      <c r="AS36" s="79"/>
      <c r="AT36" s="79"/>
      <c r="AU36" s="55" t="e">
        <f>SUMIFS($O$6:$O$165,$D$6:$D$165,AF35,CHOIX,AG36)</f>
        <v>#NAME?</v>
      </c>
      <c r="AV36" s="80" t="e">
        <f>SUMIFS($Q$6:$Q$165,$D$6:$D$165,AF35,CHOIX,AG36)</f>
        <v>#NAME?</v>
      </c>
      <c r="AZ36" s="8"/>
      <c r="BA36" s="148"/>
      <c r="BB36" s="148"/>
      <c r="BC36" s="148"/>
      <c r="BD36" s="10"/>
      <c r="BE36" s="10"/>
      <c r="BF36" s="10"/>
      <c r="BG36" s="10"/>
      <c r="BH36" s="10"/>
      <c r="BI36" s="10"/>
      <c r="BJ36" s="10"/>
      <c r="BK36" s="10"/>
      <c r="BL36" s="10"/>
      <c r="BM36" s="147">
        <f t="shared" si="8"/>
        <v>0</v>
      </c>
      <c r="BN36" s="147">
        <f t="shared" si="9"/>
        <v>0</v>
      </c>
      <c r="BO36" s="149"/>
      <c r="CV36" s="391" t="s">
        <v>29</v>
      </c>
      <c r="CW36" s="391"/>
      <c r="CX36" s="391"/>
      <c r="CY36" s="391"/>
      <c r="CZ36" s="391"/>
      <c r="DA36" s="391"/>
      <c r="DB36" s="391"/>
      <c r="DC36" s="391"/>
      <c r="DD36" s="391"/>
      <c r="DE36" s="391"/>
      <c r="DF36" s="391"/>
      <c r="DG36" s="391"/>
      <c r="DH36" s="391"/>
      <c r="DI36" s="391"/>
      <c r="DJ36" s="390">
        <f>SUMIF(DK6:DK29,"&lt;&gt;#N/A")</f>
        <v>0</v>
      </c>
      <c r="DK36" s="390"/>
      <c r="DL36" s="390"/>
      <c r="DM36" s="390"/>
      <c r="DN36" s="116" t="e">
        <f>(($I$5*#REF!)/100)+((#REF!*$J$5)/100)+(($K$5*#REF!)/100)+($L$5*#REF!)+($M$5*#REF!)</f>
        <v>#REF!</v>
      </c>
      <c r="DO36" s="125"/>
      <c r="DP36" s="126"/>
      <c r="DQ36" s="97"/>
      <c r="DR36" s="163"/>
      <c r="DS36" s="163"/>
      <c r="DT36" s="163"/>
      <c r="DU36" s="164"/>
      <c r="DV36" s="100"/>
      <c r="DW36" s="100"/>
      <c r="DX36" s="100"/>
      <c r="DY36" s="101"/>
    </row>
    <row r="37" spans="2:129" ht="15.6" thickTop="1" thickBot="1" x14ac:dyDescent="0.35">
      <c r="B37" s="64"/>
      <c r="C37" s="148"/>
      <c r="D37" s="109"/>
      <c r="E37" s="63"/>
      <c r="F37" s="127"/>
      <c r="G37" s="50"/>
      <c r="H37" s="10"/>
      <c r="I37" s="10"/>
      <c r="J37" s="10"/>
      <c r="K37" s="10"/>
      <c r="L37" s="10"/>
      <c r="M37" s="39"/>
      <c r="N37" s="33">
        <f t="shared" si="0"/>
        <v>0</v>
      </c>
      <c r="O37" s="52" t="b">
        <f>IF(AND(E37="CLIENT S+L",F37="HUILE"),(S37*3333.33+(VLOOKUP(H37,'BASE '!$I$112:$J$142,2,0)))-((S37*3333.33)*G37),IF(AND(E37="CLIENT S+L",F37="LAIT"),((S37*952.4)-(S37*952.4)*G37),IF(E37="CLIENT O","OFFERT",IF(AND(F37="HUILE",E37="CLIENT L"),(((VLOOKUP(H37,'BASE '!$I$112:$J$142,2,0))+(VLOOKUP(S37,'BASE '!#REF!,2,0)))),IF(AND(F37="LAIT",E37="CLIENT L"),(S37*952.4),IF(AND(F37="HUILE",E37="CLIENT D"),(S37*3809.53+(VLOOKUP(H37,'BASE '!$I$112:$J$142,2,0))),IF(AND(F37="LAIT",E37="CLIENT D"),(S37*952.4),IF(AND(F37="HUILE",E37="CLIENT S+D"),((S37*3809.53+(VLOOKUP(H37,'BASE '!$I$112:$J$142,2,0)))-((S37*3809.53)*G37)),IF(AND(F37="LAIT",E37="CLIENT S+D"),((S37*952.4)-((S37*952.4)*G37)),IF(AND(E37="CLIENT S",F37="LAIT"),((S37*952.4)-((S37*952.4)*G37)),IF(AND(F37="HUILE",E37="CLIENT S"),(VLOOKUP(H37,'BASE '!$I$112:$J$142,2,0)+(VLOOKUP(S37,'BASE '!#REF!,2,0)))-(G37*((VLOOKUP(S37,'BASE '!#REF!,2,0)+(VLOOKUP(H37,'BASE '!$I$112:$J$142,2,0))))))))))))))))</f>
        <v>0</v>
      </c>
      <c r="P37" s="52" t="b">
        <f t="shared" si="1"/>
        <v>0</v>
      </c>
      <c r="Q37" s="53" t="b">
        <f t="shared" si="2"/>
        <v>0</v>
      </c>
      <c r="R37" s="152" t="s">
        <v>175</v>
      </c>
      <c r="S37" s="184">
        <f t="shared" si="6"/>
        <v>0</v>
      </c>
      <c r="T37" s="124"/>
      <c r="U37" s="41" t="s">
        <v>175</v>
      </c>
      <c r="V37" s="70" t="e">
        <f>VLOOKUP(U37,'BASE '!$A$4:$H$144,2,0)</f>
        <v>#N/A</v>
      </c>
      <c r="W37" s="159"/>
      <c r="X37" s="159"/>
      <c r="Y37" s="160"/>
      <c r="Z37" s="158" t="e">
        <f>VLOOKUP(U37,'BASE '!$A$4:$H$144,3,0)</f>
        <v>#N/A</v>
      </c>
      <c r="AA37" s="94" t="e">
        <f t="shared" si="3"/>
        <v>#N/A</v>
      </c>
      <c r="AB37" s="95" t="e">
        <f>VLOOKUP(U37,'BASE '!$A$4:$H$144,6,0)*Y37/100</f>
        <v>#N/A</v>
      </c>
      <c r="AC37" s="95" t="e">
        <f>VLOOKUP(U37,'BASE '!$A$4:$H$144,7,0)*Y37/100</f>
        <v>#N/A</v>
      </c>
      <c r="AD37" s="95" t="e">
        <f>VLOOKUP(U37,'BASE '!$A$4:$H$144,8,0)*Y37/100</f>
        <v>#N/A</v>
      </c>
      <c r="AE37" s="96" t="e">
        <f t="shared" si="7"/>
        <v>#N/A</v>
      </c>
      <c r="AF37" s="431"/>
      <c r="AG37" s="91" t="s">
        <v>157</v>
      </c>
      <c r="AH37" s="36" t="e">
        <f>SUMIFS($H$6:$H$165,$D$6:$D$165,AF37,CHOIX,AG37)</f>
        <v>#NAME?</v>
      </c>
      <c r="AI37" s="36" t="e">
        <f>SUMIFS($I$6:$I$165,$D$6:$D$165,AF37,CHOIX,AG37)</f>
        <v>#NAME?</v>
      </c>
      <c r="AJ37" s="36" t="e">
        <f>SUMIFS($J$6:$J$165,$D$6:$D$165,AF37,CHOIX,AG37)</f>
        <v>#NAME?</v>
      </c>
      <c r="AK37" s="36" t="e">
        <f>SUMIFS($K$6:$K$165,$D$6:$D$165,AF37,CHOIX,AG37)</f>
        <v>#NAME?</v>
      </c>
      <c r="AL37" s="36" t="e">
        <f>SUMIFS($L$6:$L$165,$D$6:$D$165,AF37,CHOIX,AG37)</f>
        <v>#NAME?</v>
      </c>
      <c r="AM37" s="36" t="e">
        <f>SUMIFS($M$6:$M$165,$D$6:$D$165,AF37,CHOIX,AG37)</f>
        <v>#NAME?</v>
      </c>
      <c r="AN37" s="91" t="s">
        <v>157</v>
      </c>
      <c r="AO37" s="83"/>
      <c r="AP37" s="63"/>
      <c r="AQ37" s="63"/>
      <c r="AR37" s="63"/>
      <c r="AS37" s="79"/>
      <c r="AT37" s="79"/>
      <c r="AU37" s="55" t="e">
        <f>SUMIFS($O$6:$O$165,$D$6:$D$165,AF37,CHOIX,AG37)</f>
        <v>#NAME?</v>
      </c>
      <c r="AV37" s="80" t="e">
        <f>SUMIFS($Q$6:$Q$165,$D$6:$D$165,AF37,CHOIX,AG37)</f>
        <v>#NAME?</v>
      </c>
      <c r="AZ37" s="8"/>
      <c r="BA37" s="148"/>
      <c r="BB37" s="148"/>
      <c r="BC37" s="148"/>
      <c r="BD37" s="10"/>
      <c r="BE37" s="10"/>
      <c r="BF37" s="10"/>
      <c r="BG37" s="10"/>
      <c r="BH37" s="10"/>
      <c r="BI37" s="10"/>
      <c r="BJ37" s="10"/>
      <c r="BK37" s="10"/>
      <c r="BL37" s="10"/>
      <c r="BM37" s="147">
        <f t="shared" si="8"/>
        <v>0</v>
      </c>
      <c r="BN37" s="147">
        <f t="shared" si="9"/>
        <v>0</v>
      </c>
      <c r="BO37" s="149"/>
      <c r="CV37" s="391"/>
      <c r="CW37" s="391"/>
      <c r="CX37" s="391"/>
      <c r="CY37" s="391"/>
      <c r="CZ37" s="391"/>
      <c r="DA37" s="391"/>
      <c r="DB37" s="391"/>
      <c r="DC37" s="391"/>
      <c r="DD37" s="391"/>
      <c r="DE37" s="391"/>
      <c r="DF37" s="391"/>
      <c r="DG37" s="391"/>
      <c r="DH37" s="391"/>
      <c r="DI37" s="391"/>
      <c r="DJ37" s="390"/>
      <c r="DK37" s="390"/>
      <c r="DL37" s="390"/>
      <c r="DM37" s="390"/>
      <c r="DN37" s="116" t="e">
        <f>(($I$5*#REF!)/100)+((#REF!*$J$5)/100)+(($K$5*#REF!)/100)+($L$5*#REF!)+($M$5*#REF!)</f>
        <v>#REF!</v>
      </c>
      <c r="DO37" s="413" t="s">
        <v>48</v>
      </c>
      <c r="DP37" s="413"/>
      <c r="DQ37" s="413"/>
      <c r="DR37" s="413"/>
      <c r="DS37" s="413"/>
      <c r="DT37" s="413"/>
      <c r="DU37" s="414">
        <f>SUMIF(DU6:DU36,"&lt;&gt;#N/A")</f>
        <v>0</v>
      </c>
      <c r="DV37" s="414"/>
      <c r="DW37" s="414"/>
      <c r="DX37" s="414"/>
      <c r="DY37" s="414"/>
    </row>
    <row r="38" spans="2:129" ht="15" thickBot="1" x14ac:dyDescent="0.35">
      <c r="B38" s="64"/>
      <c r="C38" s="148"/>
      <c r="D38" s="109"/>
      <c r="E38" s="63"/>
      <c r="F38" s="127"/>
      <c r="G38" s="50"/>
      <c r="H38" s="10"/>
      <c r="I38" s="10"/>
      <c r="J38" s="10"/>
      <c r="K38" s="10"/>
      <c r="L38" s="10"/>
      <c r="M38" s="39"/>
      <c r="N38" s="33">
        <f t="shared" si="0"/>
        <v>0</v>
      </c>
      <c r="O38" s="52" t="b">
        <f>IF(AND(E38="CLIENT S+L",F38="HUILE"),(S38*3333.33+(VLOOKUP(H38,'BASE '!$I$112:$J$142,2,0)))-((S38*3333.33)*G38),IF(AND(E38="CLIENT S+L",F38="LAIT"),((S38*952.4)-(S38*952.4)*G38),IF(E38="CLIENT O","OFFERT",IF(AND(F38="HUILE",E38="CLIENT L"),(((VLOOKUP(H38,'BASE '!$I$112:$J$142,2,0))+(VLOOKUP(S38,'BASE '!#REF!,2,0)))),IF(AND(F38="LAIT",E38="CLIENT L"),(S38*952.4),IF(AND(F38="HUILE",E38="CLIENT D"),(S38*3809.53+(VLOOKUP(H38,'BASE '!$I$112:$J$142,2,0))),IF(AND(F38="LAIT",E38="CLIENT D"),(S38*952.4),IF(AND(F38="HUILE",E38="CLIENT S+D"),((S38*3809.53+(VLOOKUP(H38,'BASE '!$I$112:$J$142,2,0)))-((S38*3809.53)*G38)),IF(AND(F38="LAIT",E38="CLIENT S+D"),((S38*952.4)-((S38*952.4)*G38)),IF(AND(E38="CLIENT S",F38="LAIT"),((S38*952.4)-((S38*952.4)*G38)),IF(AND(F38="HUILE",E38="CLIENT S"),(VLOOKUP(H38,'BASE '!$I$112:$J$142,2,0)+(VLOOKUP(S38,'BASE '!#REF!,2,0)))-(G38*((VLOOKUP(S38,'BASE '!#REF!,2,0)+(VLOOKUP(H38,'BASE '!$I$112:$J$142,2,0))))))))))))))))</f>
        <v>0</v>
      </c>
      <c r="P38" s="52" t="b">
        <f t="shared" si="1"/>
        <v>0</v>
      </c>
      <c r="Q38" s="53" t="b">
        <f t="shared" si="2"/>
        <v>0</v>
      </c>
      <c r="R38" s="152" t="s">
        <v>175</v>
      </c>
      <c r="S38" s="184">
        <f t="shared" si="6"/>
        <v>0</v>
      </c>
      <c r="T38" s="124"/>
      <c r="U38" s="41" t="s">
        <v>175</v>
      </c>
      <c r="V38" s="70" t="e">
        <f>VLOOKUP(U38,'BASE '!$A$4:$H$144,2,0)</f>
        <v>#N/A</v>
      </c>
      <c r="W38" s="159"/>
      <c r="X38" s="159"/>
      <c r="Y38" s="160"/>
      <c r="Z38" s="158" t="e">
        <f>VLOOKUP(U38,'BASE '!$A$4:$H$144,3,0)</f>
        <v>#N/A</v>
      </c>
      <c r="AA38" s="94" t="e">
        <f t="shared" si="3"/>
        <v>#N/A</v>
      </c>
      <c r="AB38" s="95" t="e">
        <f>VLOOKUP(U38,'BASE '!$A$4:$H$144,6,0)*Y38/100</f>
        <v>#N/A</v>
      </c>
      <c r="AC38" s="95" t="e">
        <f>VLOOKUP(U38,'BASE '!$A$4:$H$144,7,0)*Y38/100</f>
        <v>#N/A</v>
      </c>
      <c r="AD38" s="95" t="e">
        <f>VLOOKUP(U38,'BASE '!$A$4:$H$144,8,0)*Y38/100</f>
        <v>#N/A</v>
      </c>
      <c r="AE38" s="96" t="e">
        <f t="shared" si="7"/>
        <v>#N/A</v>
      </c>
      <c r="AF38" s="431"/>
      <c r="AG38" s="1" t="s">
        <v>155</v>
      </c>
      <c r="AH38" s="36" t="e">
        <f>SUMIFS($H$6:$H$165,$D$6:$D$165,AF37,CHOIX,AG38)</f>
        <v>#NAME?</v>
      </c>
      <c r="AI38" s="36" t="e">
        <f>SUMIFS($I$6:$I$165,$D$6:$D$165,AF37,CHOIX,AG38)</f>
        <v>#NAME?</v>
      </c>
      <c r="AJ38" s="36" t="e">
        <f>SUMIFS($J$6:$J$165,$D$6:$D$165,AF37,CHOIX,AG38)</f>
        <v>#NAME?</v>
      </c>
      <c r="AK38" s="36" t="e">
        <f>SUMIFS($K$6:$K$165,$D$6:$D$165,AF37,CHOIX,AG38)</f>
        <v>#NAME?</v>
      </c>
      <c r="AL38" s="36" t="e">
        <f>SUMIFS($L$6:$L$165,$D$6:$D$165,AF37,CHOIX,AG38)</f>
        <v>#NAME?</v>
      </c>
      <c r="AM38" s="36" t="e">
        <f>SUMIFS($M$6:$M$165,$D$6:$D$165,AF37,CHOIX,AG38)</f>
        <v>#NAME?</v>
      </c>
      <c r="AN38" s="1" t="s">
        <v>155</v>
      </c>
      <c r="AO38" s="83"/>
      <c r="AP38" s="63"/>
      <c r="AQ38" s="63"/>
      <c r="AR38" s="63"/>
      <c r="AS38" s="79"/>
      <c r="AT38" s="79"/>
      <c r="AU38" s="55" t="e">
        <f>SUMIFS($O$6:$O$165,$D$6:$D$165,AF37,CHOIX,AG38)</f>
        <v>#NAME?</v>
      </c>
      <c r="AV38" s="80" t="e">
        <f>SUMIFS($Q$6:$Q$165,$D$6:$D$165,AF37,CHOIX,AG38)</f>
        <v>#NAME?</v>
      </c>
      <c r="AZ38" s="8"/>
      <c r="BA38" s="148"/>
      <c r="BB38" s="148"/>
      <c r="BC38" s="148"/>
      <c r="BD38" s="10"/>
      <c r="BE38" s="10"/>
      <c r="BF38" s="10"/>
      <c r="BG38" s="10"/>
      <c r="BH38" s="10"/>
      <c r="BI38" s="10"/>
      <c r="BJ38" s="10"/>
      <c r="BK38" s="10"/>
      <c r="BL38" s="10"/>
      <c r="BM38" s="147">
        <f t="shared" si="8"/>
        <v>0</v>
      </c>
      <c r="BN38" s="147">
        <f t="shared" si="9"/>
        <v>0</v>
      </c>
      <c r="BO38" s="149"/>
      <c r="CV38" s="391" t="s">
        <v>44</v>
      </c>
      <c r="CW38" s="391"/>
      <c r="CX38" s="391"/>
      <c r="CY38" s="391"/>
      <c r="CZ38" s="391"/>
      <c r="DA38" s="391"/>
      <c r="DB38" s="391"/>
      <c r="DC38" s="391"/>
      <c r="DD38" s="391"/>
      <c r="DE38" s="391"/>
      <c r="DF38" s="391"/>
      <c r="DG38" s="391"/>
      <c r="DH38" s="391"/>
      <c r="DI38" s="391"/>
      <c r="DJ38" s="391"/>
      <c r="DK38" s="390">
        <f>SUMIF(DL6:DL29,"&lt;&gt;#N/A")</f>
        <v>0</v>
      </c>
      <c r="DL38" s="390"/>
      <c r="DM38" s="390"/>
      <c r="DN38" s="116" t="e">
        <f>(($I$5*#REF!)/100)+((#REF!*$J$5)/100)+(($K$5*#REF!)/100)+($L$5*#REF!)+($M$5*#REF!)</f>
        <v>#REF!</v>
      </c>
      <c r="DO38" s="407" t="s">
        <v>47</v>
      </c>
      <c r="DP38" s="407"/>
      <c r="DQ38" s="407"/>
      <c r="DR38" s="407"/>
      <c r="DS38" s="407"/>
      <c r="DT38" s="407"/>
      <c r="DU38" s="407"/>
      <c r="DV38" s="408">
        <f>SUMIF(DV6:DV36,"&lt;&gt;#N/A")</f>
        <v>0</v>
      </c>
      <c r="DW38" s="408"/>
      <c r="DX38" s="408"/>
      <c r="DY38" s="408"/>
    </row>
    <row r="39" spans="2:129" ht="15" thickBot="1" x14ac:dyDescent="0.35">
      <c r="B39" s="64"/>
      <c r="C39" s="148"/>
      <c r="D39" s="109"/>
      <c r="E39" s="63"/>
      <c r="F39" s="127"/>
      <c r="G39" s="50"/>
      <c r="H39" s="10"/>
      <c r="I39" s="10"/>
      <c r="J39" s="10"/>
      <c r="K39" s="10"/>
      <c r="L39" s="10"/>
      <c r="M39" s="39"/>
      <c r="N39" s="33">
        <f t="shared" si="0"/>
        <v>0</v>
      </c>
      <c r="O39" s="52" t="b">
        <f>IF(AND(E39="CLIENT S+L",F39="HUILE"),(S39*3333.33+(VLOOKUP(H39,'BASE '!$I$112:$J$142,2,0)))-((S39*3333.33)*G39),IF(AND(E39="CLIENT S+L",F39="LAIT"),((S39*952.4)-(S39*952.4)*G39),IF(E39="CLIENT O","OFFERT",IF(AND(F39="HUILE",E39="CLIENT L"),(((VLOOKUP(H39,'BASE '!$I$112:$J$142,2,0))+(VLOOKUP(S39,'BASE '!#REF!,2,0)))),IF(AND(F39="LAIT",E39="CLIENT L"),(S39*952.4),IF(AND(F39="HUILE",E39="CLIENT D"),(S39*3809.53+(VLOOKUP(H39,'BASE '!$I$112:$J$142,2,0))),IF(AND(F39="LAIT",E39="CLIENT D"),(S39*952.4),IF(AND(F39="HUILE",E39="CLIENT S+D"),((S39*3809.53+(VLOOKUP(H39,'BASE '!$I$112:$J$142,2,0)))-((S39*3809.53)*G39)),IF(AND(F39="LAIT",E39="CLIENT S+D"),((S39*952.4)-((S39*952.4)*G39)),IF(AND(E39="CLIENT S",F39="LAIT"),((S39*952.4)-((S39*952.4)*G39)),IF(AND(F39="HUILE",E39="CLIENT S"),(VLOOKUP(H39,'BASE '!$I$112:$J$142,2,0)+(VLOOKUP(S39,'BASE '!#REF!,2,0)))-(G39*((VLOOKUP(S39,'BASE '!#REF!,2,0)+(VLOOKUP(H39,'BASE '!$I$112:$J$142,2,0))))))))))))))))</f>
        <v>0</v>
      </c>
      <c r="P39" s="52" t="b">
        <f t="shared" si="1"/>
        <v>0</v>
      </c>
      <c r="Q39" s="53" t="b">
        <f t="shared" si="2"/>
        <v>0</v>
      </c>
      <c r="R39" s="152" t="s">
        <v>175</v>
      </c>
      <c r="S39" s="184">
        <f t="shared" si="6"/>
        <v>0</v>
      </c>
      <c r="T39" s="124"/>
      <c r="U39" s="41" t="s">
        <v>175</v>
      </c>
      <c r="V39" s="70" t="e">
        <f>VLOOKUP(U39,'BASE '!$A$4:$H$144,2,0)</f>
        <v>#N/A</v>
      </c>
      <c r="W39" s="159"/>
      <c r="X39" s="159"/>
      <c r="Y39" s="160"/>
      <c r="Z39" s="158" t="e">
        <f>VLOOKUP(U39,'BASE '!$A$4:$H$144,3,0)</f>
        <v>#N/A</v>
      </c>
      <c r="AA39" s="94" t="e">
        <f t="shared" si="3"/>
        <v>#N/A</v>
      </c>
      <c r="AB39" s="95" t="e">
        <f>VLOOKUP(U39,'BASE '!$A$4:$H$144,6,0)*Y39/100</f>
        <v>#N/A</v>
      </c>
      <c r="AC39" s="95" t="e">
        <f>VLOOKUP(U39,'BASE '!$A$4:$H$144,7,0)*Y39/100</f>
        <v>#N/A</v>
      </c>
      <c r="AD39" s="95" t="e">
        <f>VLOOKUP(U39,'BASE '!$A$4:$H$144,8,0)*Y39/100</f>
        <v>#N/A</v>
      </c>
      <c r="AE39" s="96" t="e">
        <f t="shared" si="7"/>
        <v>#N/A</v>
      </c>
      <c r="AF39" s="431"/>
      <c r="AG39" s="91" t="s">
        <v>157</v>
      </c>
      <c r="AH39" s="36" t="e">
        <f>SUMIFS($H$6:$H$165,$D$6:$D$165,AF39,CHOIX,AG39)</f>
        <v>#NAME?</v>
      </c>
      <c r="AI39" s="36" t="e">
        <f>SUMIFS($I$6:$I$165,$D$6:$D$165,AF39,CHOIX,AG39)</f>
        <v>#NAME?</v>
      </c>
      <c r="AJ39" s="36" t="e">
        <f>SUMIFS($J$6:$J$165,$D$6:$D$165,AF39,CHOIX,AG39)</f>
        <v>#NAME?</v>
      </c>
      <c r="AK39" s="36" t="e">
        <f>SUMIFS($K$6:$K$165,$D$6:$D$165,AF39,CHOIX,AG39)</f>
        <v>#NAME?</v>
      </c>
      <c r="AL39" s="36" t="e">
        <f>SUMIFS($L$6:$L$165,$D$6:$D$165,AF39,CHOIX,AG39)</f>
        <v>#NAME?</v>
      </c>
      <c r="AM39" s="36" t="e">
        <f>SUMIFS($M$6:$M$165,$D$6:$D$165,AF39,CHOIX,AG39)</f>
        <v>#NAME?</v>
      </c>
      <c r="AN39" s="91" t="s">
        <v>157</v>
      </c>
      <c r="AO39" s="83"/>
      <c r="AP39" s="63"/>
      <c r="AQ39" s="63"/>
      <c r="AR39" s="63"/>
      <c r="AS39" s="79"/>
      <c r="AT39" s="79"/>
      <c r="AU39" s="55" t="e">
        <f>SUMIFS($O$6:$O$165,$D$6:$D$165,AF39,CHOIX,AG39)</f>
        <v>#NAME?</v>
      </c>
      <c r="AV39" s="80" t="e">
        <f>SUMIFS($Q$6:$Q$165,$D$6:$D$165,AF39,CHOIX,AG39)</f>
        <v>#NAME?</v>
      </c>
      <c r="AZ39" s="8"/>
      <c r="BA39" s="148"/>
      <c r="BB39" s="148"/>
      <c r="BC39" s="148"/>
      <c r="BD39" s="10"/>
      <c r="BE39" s="10"/>
      <c r="BF39" s="10"/>
      <c r="BG39" s="10"/>
      <c r="BH39" s="10"/>
      <c r="BI39" s="10"/>
      <c r="BJ39" s="10"/>
      <c r="BK39" s="10"/>
      <c r="BL39" s="10"/>
      <c r="BM39" s="147">
        <f t="shared" si="8"/>
        <v>0</v>
      </c>
      <c r="BN39" s="147">
        <f t="shared" si="9"/>
        <v>0</v>
      </c>
      <c r="BO39" s="149"/>
      <c r="CV39" s="540"/>
      <c r="CW39" s="540"/>
      <c r="CX39" s="540"/>
      <c r="CY39" s="540"/>
      <c r="CZ39" s="540"/>
      <c r="DA39" s="540"/>
      <c r="DB39" s="540"/>
      <c r="DC39" s="540"/>
      <c r="DD39" s="540"/>
      <c r="DE39" s="540"/>
      <c r="DF39" s="540"/>
      <c r="DG39" s="540"/>
      <c r="DH39" s="540"/>
      <c r="DI39" s="540"/>
      <c r="DJ39" s="540"/>
      <c r="DK39" s="541"/>
      <c r="DL39" s="541"/>
      <c r="DM39" s="541"/>
      <c r="DN39" s="116" t="e">
        <f>(($I$5*#REF!)/100)+((#REF!*$J$5)/100)+(($K$5*#REF!)/100)+($L$5*#REF!)+($M$5*#REF!)</f>
        <v>#REF!</v>
      </c>
      <c r="DO39" s="407" t="s">
        <v>46</v>
      </c>
      <c r="DP39" s="407"/>
      <c r="DQ39" s="407"/>
      <c r="DR39" s="407"/>
      <c r="DS39" s="407"/>
      <c r="DT39" s="407"/>
      <c r="DU39" s="407"/>
      <c r="DV39" s="415">
        <f>SUMIF(DW6:DW36,"&lt;&gt;#N/A")</f>
        <v>0</v>
      </c>
      <c r="DW39" s="415"/>
      <c r="DX39" s="415"/>
      <c r="DY39" s="415"/>
    </row>
    <row r="40" spans="2:129" ht="15.6" thickTop="1" thickBot="1" x14ac:dyDescent="0.35">
      <c r="B40" s="64"/>
      <c r="C40" s="148"/>
      <c r="D40" s="109"/>
      <c r="E40" s="63"/>
      <c r="F40" s="127"/>
      <c r="G40" s="50"/>
      <c r="H40" s="10"/>
      <c r="I40" s="10"/>
      <c r="J40" s="10"/>
      <c r="K40" s="10"/>
      <c r="L40" s="10"/>
      <c r="M40" s="39"/>
      <c r="N40" s="33">
        <f t="shared" si="0"/>
        <v>0</v>
      </c>
      <c r="O40" s="52" t="b">
        <f>IF(AND(E40="CLIENT S+L",F40="HUILE"),(S40*3333.33+(VLOOKUP(H40,'BASE '!$I$112:$J$142,2,0)))-((S40*3333.33)*G40),IF(AND(E40="CLIENT S+L",F40="LAIT"),((S40*952.4)-(S40*952.4)*G40),IF(E40="CLIENT O","OFFERT",IF(AND(F40="HUILE",E40="CLIENT L"),(((VLOOKUP(H40,'BASE '!$I$112:$J$142,2,0))+(VLOOKUP(S40,'BASE '!#REF!,2,0)))),IF(AND(F40="LAIT",E40="CLIENT L"),(S40*952.4),IF(AND(F40="HUILE",E40="CLIENT D"),(S40*3809.53+(VLOOKUP(H40,'BASE '!$I$112:$J$142,2,0))),IF(AND(F40="LAIT",E40="CLIENT D"),(S40*952.4),IF(AND(F40="HUILE",E40="CLIENT S+D"),((S40*3809.53+(VLOOKUP(H40,'BASE '!$I$112:$J$142,2,0)))-((S40*3809.53)*G40)),IF(AND(F40="LAIT",E40="CLIENT S+D"),((S40*952.4)-((S40*952.4)*G40)),IF(AND(E40="CLIENT S",F40="LAIT"),((S40*952.4)-((S40*952.4)*G40)),IF(AND(F40="HUILE",E40="CLIENT S"),(VLOOKUP(H40,'BASE '!$I$112:$J$142,2,0)+(VLOOKUP(S40,'BASE '!#REF!,2,0)))-(G40*((VLOOKUP(S40,'BASE '!#REF!,2,0)+(VLOOKUP(H40,'BASE '!$I$112:$J$142,2,0))))))))))))))))</f>
        <v>0</v>
      </c>
      <c r="P40" s="52" t="b">
        <f t="shared" si="1"/>
        <v>0</v>
      </c>
      <c r="Q40" s="53" t="b">
        <f t="shared" si="2"/>
        <v>0</v>
      </c>
      <c r="R40" s="152" t="s">
        <v>175</v>
      </c>
      <c r="S40" s="184">
        <f t="shared" si="6"/>
        <v>0</v>
      </c>
      <c r="T40" s="124"/>
      <c r="U40" s="41" t="s">
        <v>175</v>
      </c>
      <c r="V40" s="70" t="e">
        <f>VLOOKUP(U40,'BASE '!$A$4:$H$144,2,0)</f>
        <v>#N/A</v>
      </c>
      <c r="W40" s="159"/>
      <c r="X40" s="159"/>
      <c r="Y40" s="160"/>
      <c r="Z40" s="158" t="e">
        <f>VLOOKUP(U40,'BASE '!$A$4:$H$144,3,0)</f>
        <v>#N/A</v>
      </c>
      <c r="AA40" s="94" t="e">
        <f t="shared" si="3"/>
        <v>#N/A</v>
      </c>
      <c r="AB40" s="95" t="e">
        <f>VLOOKUP(U40,'BASE '!$A$4:$H$144,6,0)*Y40/100</f>
        <v>#N/A</v>
      </c>
      <c r="AC40" s="95" t="e">
        <f>VLOOKUP(U40,'BASE '!$A$4:$H$144,7,0)*Y40/100</f>
        <v>#N/A</v>
      </c>
      <c r="AD40" s="95" t="e">
        <f>VLOOKUP(U40,'BASE '!$A$4:$H$144,8,0)*Y40/100</f>
        <v>#N/A</v>
      </c>
      <c r="AE40" s="96" t="e">
        <f t="shared" si="7"/>
        <v>#N/A</v>
      </c>
      <c r="AF40" s="431"/>
      <c r="AG40" s="1" t="s">
        <v>155</v>
      </c>
      <c r="AH40" s="36" t="e">
        <f>SUMIFS($H$6:$H$165,$D$6:$D$165,AF39,CHOIX,AG40)</f>
        <v>#NAME?</v>
      </c>
      <c r="AI40" s="36" t="e">
        <f>SUMIFS($I$6:$I$165,$D$6:$D$165,AF39,CHOIX,AG40)</f>
        <v>#NAME?</v>
      </c>
      <c r="AJ40" s="36" t="e">
        <f>SUMIFS($J$6:$J$165,$D$6:$D$165,AF39,CHOIX,AG40)</f>
        <v>#NAME?</v>
      </c>
      <c r="AK40" s="36" t="e">
        <f>SUMIFS($K$6:$K$165,$D$6:$D$165,AF39,CHOIX,AG40)</f>
        <v>#NAME?</v>
      </c>
      <c r="AL40" s="36" t="e">
        <f>SUMIFS($L$6:$L$165,$D$6:$D$165,AF39,CHOIX,AG40)</f>
        <v>#NAME?</v>
      </c>
      <c r="AM40" s="36" t="e">
        <f>SUMIFS($M$6:$M$165,$D$6:$D$165,AF39,CHOIX,AG40)</f>
        <v>#NAME?</v>
      </c>
      <c r="AN40" s="1" t="s">
        <v>155</v>
      </c>
      <c r="AO40" s="83"/>
      <c r="AP40" s="63"/>
      <c r="AQ40" s="63"/>
      <c r="AR40" s="63"/>
      <c r="AS40" s="79"/>
      <c r="AT40" s="79"/>
      <c r="AU40" s="55" t="e">
        <f>SUMIFS($O$6:$O$165,$D$6:$D$165,AF39,CHOIX,AG40)</f>
        <v>#NAME?</v>
      </c>
      <c r="AV40" s="80" t="e">
        <f>SUMIFS($Q$6:$Q$165,$D$6:$D$165,AF39,CHOIX,AG40)</f>
        <v>#NAME?</v>
      </c>
      <c r="AZ40" s="8"/>
      <c r="BA40" s="148"/>
      <c r="BB40" s="148"/>
      <c r="BC40" s="148"/>
      <c r="BD40" s="10"/>
      <c r="BE40" s="10"/>
      <c r="BF40" s="10"/>
      <c r="BG40" s="10"/>
      <c r="BH40" s="10"/>
      <c r="BI40" s="10"/>
      <c r="BJ40" s="10"/>
      <c r="BK40" s="10"/>
      <c r="BL40" s="10"/>
      <c r="BM40" s="147">
        <f t="shared" si="8"/>
        <v>0</v>
      </c>
      <c r="BN40" s="147">
        <f t="shared" si="9"/>
        <v>0</v>
      </c>
      <c r="BO40" s="149"/>
      <c r="DN40" s="116" t="e">
        <f>(($I$5*#REF!)/100)+((#REF!*$J$5)/100)+(($K$5*#REF!)/100)+($L$5*#REF!)+($M$5*#REF!)</f>
        <v>#REF!</v>
      </c>
      <c r="DO40" s="407" t="s">
        <v>45</v>
      </c>
      <c r="DP40" s="407"/>
      <c r="DQ40" s="407"/>
      <c r="DR40" s="407"/>
      <c r="DS40" s="407"/>
      <c r="DT40" s="407"/>
      <c r="DU40" s="407"/>
      <c r="DV40" s="407"/>
      <c r="DW40" s="415">
        <f>SUMIF(DX6:DX36,"&lt;&gt;#N/A")</f>
        <v>0</v>
      </c>
      <c r="DX40" s="415"/>
      <c r="DY40" s="415"/>
    </row>
    <row r="41" spans="2:129" ht="15" thickBot="1" x14ac:dyDescent="0.35">
      <c r="B41" s="64"/>
      <c r="C41" s="148"/>
      <c r="D41" s="109"/>
      <c r="E41" s="63"/>
      <c r="F41" s="127"/>
      <c r="G41" s="50"/>
      <c r="H41" s="10"/>
      <c r="I41" s="10"/>
      <c r="J41" s="10"/>
      <c r="K41" s="10"/>
      <c r="L41" s="10"/>
      <c r="M41" s="39"/>
      <c r="N41" s="33">
        <f t="shared" si="0"/>
        <v>0</v>
      </c>
      <c r="O41" s="52" t="b">
        <f>IF(AND(E41="CLIENT S+L",F41="HUILE"),(S41*3333.33+(VLOOKUP(H41,'BASE '!$I$112:$J$142,2,0)))-((S41*3333.33)*G41),IF(AND(E41="CLIENT S+L",F41="LAIT"),((S41*952.4)-(S41*952.4)*G41),IF(E41="CLIENT O","OFFERT",IF(AND(F41="HUILE",E41="CLIENT L"),(((VLOOKUP(H41,'BASE '!$I$112:$J$142,2,0))+(VLOOKUP(S41,'BASE '!#REF!,2,0)))),IF(AND(F41="LAIT",E41="CLIENT L"),(S41*952.4),IF(AND(F41="HUILE",E41="CLIENT D"),(S41*3809.53+(VLOOKUP(H41,'BASE '!$I$112:$J$142,2,0))),IF(AND(F41="LAIT",E41="CLIENT D"),(S41*952.4),IF(AND(F41="HUILE",E41="CLIENT S+D"),((S41*3809.53+(VLOOKUP(H41,'BASE '!$I$112:$J$142,2,0)))-((S41*3809.53)*G41)),IF(AND(F41="LAIT",E41="CLIENT S+D"),((S41*952.4)-((S41*952.4)*G41)),IF(AND(E41="CLIENT S",F41="LAIT"),((S41*952.4)-((S41*952.4)*G41)),IF(AND(F41="HUILE",E41="CLIENT S"),(VLOOKUP(H41,'BASE '!$I$112:$J$142,2,0)+(VLOOKUP(S41,'BASE '!#REF!,2,0)))-(G41*((VLOOKUP(S41,'BASE '!#REF!,2,0)+(VLOOKUP(H41,'BASE '!$I$112:$J$142,2,0))))))))))))))))</f>
        <v>0</v>
      </c>
      <c r="P41" s="52" t="b">
        <f t="shared" si="1"/>
        <v>0</v>
      </c>
      <c r="Q41" s="53" t="b">
        <f t="shared" si="2"/>
        <v>0</v>
      </c>
      <c r="R41" s="152" t="s">
        <v>175</v>
      </c>
      <c r="S41" s="184">
        <f t="shared" si="6"/>
        <v>0</v>
      </c>
      <c r="T41" s="124"/>
      <c r="U41" s="41" t="s">
        <v>175</v>
      </c>
      <c r="V41" s="70" t="e">
        <f>VLOOKUP(U41,'BASE '!$A$4:$H$144,2,0)</f>
        <v>#N/A</v>
      </c>
      <c r="W41" s="159"/>
      <c r="X41" s="159"/>
      <c r="Y41" s="160"/>
      <c r="Z41" s="158" t="e">
        <f>VLOOKUP(U41,'BASE '!$A$4:$H$144,3,0)</f>
        <v>#N/A</v>
      </c>
      <c r="AA41" s="94" t="e">
        <f t="shared" si="3"/>
        <v>#N/A</v>
      </c>
      <c r="AB41" s="95" t="e">
        <f>VLOOKUP(U41,'BASE '!$A$4:$H$144,6,0)*Y41/100</f>
        <v>#N/A</v>
      </c>
      <c r="AC41" s="95" t="e">
        <f>VLOOKUP(U41,'BASE '!$A$4:$H$144,7,0)*Y41/100</f>
        <v>#N/A</v>
      </c>
      <c r="AD41" s="95" t="e">
        <f>VLOOKUP(U41,'BASE '!$A$4:$H$144,8,0)*Y41/100</f>
        <v>#N/A</v>
      </c>
      <c r="AE41" s="96" t="e">
        <f t="shared" si="7"/>
        <v>#N/A</v>
      </c>
      <c r="AF41" s="431"/>
      <c r="AG41" s="91" t="s">
        <v>157</v>
      </c>
      <c r="AH41" s="36" t="e">
        <f>SUMIFS($H$6:$H$165,$D$6:$D$165,AF41,CHOIX,AG41)</f>
        <v>#NAME?</v>
      </c>
      <c r="AI41" s="36" t="e">
        <f>SUMIFS($I$6:$I$165,$D$6:$D$165,AF41,CHOIX,AG41)</f>
        <v>#NAME?</v>
      </c>
      <c r="AJ41" s="36" t="e">
        <f>SUMIFS($J$6:$J$165,$D$6:$D$165,AF41,CHOIX,AG41)</f>
        <v>#NAME?</v>
      </c>
      <c r="AK41" s="36" t="e">
        <f>SUMIFS($K$6:$K$165,$D$6:$D$165,AF41,CHOIX,AG41)</f>
        <v>#NAME?</v>
      </c>
      <c r="AL41" s="36" t="e">
        <f>SUMIFS($L$6:$L$165,$D$6:$D$165,AF41,CHOIX,AG41)</f>
        <v>#NAME?</v>
      </c>
      <c r="AM41" s="36" t="e">
        <f>SUMIFS($M$6:$M$165,$D$6:$D$165,AF41,CHOIX,AG41)</f>
        <v>#NAME?</v>
      </c>
      <c r="AN41" s="91" t="s">
        <v>157</v>
      </c>
      <c r="AO41" s="83"/>
      <c r="AP41" s="63"/>
      <c r="AQ41" s="63"/>
      <c r="AR41" s="63"/>
      <c r="AS41" s="79"/>
      <c r="AT41" s="79"/>
      <c r="AU41" s="55" t="e">
        <f>SUMIFS($O$6:$O$165,$D$6:$D$165,AF41,CHOIX,AG41)</f>
        <v>#NAME?</v>
      </c>
      <c r="AV41" s="80" t="e">
        <f>SUMIFS($Q$6:$Q$165,$D$6:$D$165,AF41,CHOIX,AG41)</f>
        <v>#NAME?</v>
      </c>
      <c r="AZ41" s="8"/>
      <c r="BA41" s="148"/>
      <c r="BB41" s="148"/>
      <c r="BC41" s="148"/>
      <c r="BD41" s="10"/>
      <c r="BE41" s="10"/>
      <c r="BF41" s="10"/>
      <c r="BG41" s="10"/>
      <c r="BH41" s="10"/>
      <c r="BI41" s="10"/>
      <c r="BJ41" s="10"/>
      <c r="BK41" s="10"/>
      <c r="BL41" s="10"/>
      <c r="BM41" s="147">
        <f t="shared" si="8"/>
        <v>0</v>
      </c>
      <c r="BN41" s="147">
        <f t="shared" si="9"/>
        <v>0</v>
      </c>
      <c r="BO41" s="149"/>
      <c r="DN41" s="116" t="e">
        <f>(($I$5*#REF!)/100)+((#REF!*$J$5)/100)+(($K$5*#REF!)/100)+($L$5*#REF!)+($M$5*#REF!)</f>
        <v>#REF!</v>
      </c>
      <c r="DO41" s="407" t="s">
        <v>44</v>
      </c>
      <c r="DP41" s="407"/>
      <c r="DQ41" s="407"/>
      <c r="DR41" s="407"/>
      <c r="DS41" s="407"/>
      <c r="DT41" s="407"/>
      <c r="DU41" s="407"/>
      <c r="DV41" s="407"/>
      <c r="DW41" s="407"/>
      <c r="DX41" s="408">
        <f>SUMIF(DY6:DY36,"&lt;&gt;#N/A")</f>
        <v>0</v>
      </c>
      <c r="DY41" s="408"/>
    </row>
    <row r="42" spans="2:129" x14ac:dyDescent="0.3">
      <c r="B42" s="64"/>
      <c r="C42" s="148"/>
      <c r="D42" s="109"/>
      <c r="E42" s="63"/>
      <c r="F42" s="127"/>
      <c r="G42" s="50"/>
      <c r="H42" s="10"/>
      <c r="I42" s="10"/>
      <c r="J42" s="10"/>
      <c r="K42" s="10"/>
      <c r="L42" s="10"/>
      <c r="M42" s="39"/>
      <c r="N42" s="33">
        <f t="shared" si="0"/>
        <v>0</v>
      </c>
      <c r="O42" s="52" t="b">
        <f>IF(AND(E42="CLIENT S+L",F42="HUILE"),(S42*3333.33+(VLOOKUP(H42,'BASE '!$I$112:$J$142,2,0)))-((S42*3333.33)*G42),IF(AND(E42="CLIENT S+L",F42="LAIT"),((S42*952.4)-(S42*952.4)*G42),IF(E42="CLIENT O","OFFERT",IF(AND(F42="HUILE",E42="CLIENT L"),(((VLOOKUP(H42,'BASE '!$I$112:$J$142,2,0))+(VLOOKUP(S42,'BASE '!#REF!,2,0)))),IF(AND(F42="LAIT",E42="CLIENT L"),(S42*952.4),IF(AND(F42="HUILE",E42="CLIENT D"),(S42*3809.53+(VLOOKUP(H42,'BASE '!$I$112:$J$142,2,0))),IF(AND(F42="LAIT",E42="CLIENT D"),(S42*952.4),IF(AND(F42="HUILE",E42="CLIENT S+D"),((S42*3809.53+(VLOOKUP(H42,'BASE '!$I$112:$J$142,2,0)))-((S42*3809.53)*G42)),IF(AND(F42="LAIT",E42="CLIENT S+D"),((S42*952.4)-((S42*952.4)*G42)),IF(AND(E42="CLIENT S",F42="LAIT"),((S42*952.4)-((S42*952.4)*G42)),IF(AND(F42="HUILE",E42="CLIENT S"),(VLOOKUP(H42,'BASE '!$I$112:$J$142,2,0)+(VLOOKUP(S42,'BASE '!#REF!,2,0)))-(G42*((VLOOKUP(S42,'BASE '!#REF!,2,0)+(VLOOKUP(H42,'BASE '!$I$112:$J$142,2,0))))))))))))))))</f>
        <v>0</v>
      </c>
      <c r="P42" s="52" t="b">
        <f t="shared" si="1"/>
        <v>0</v>
      </c>
      <c r="Q42" s="53" t="b">
        <f t="shared" si="2"/>
        <v>0</v>
      </c>
      <c r="R42" s="152" t="s">
        <v>175</v>
      </c>
      <c r="S42" s="184">
        <f t="shared" si="6"/>
        <v>0</v>
      </c>
      <c r="T42" s="124"/>
      <c r="U42" s="41" t="s">
        <v>175</v>
      </c>
      <c r="V42" s="70" t="e">
        <f>VLOOKUP(U42,'BASE '!$A$4:$H$144,2,0)</f>
        <v>#N/A</v>
      </c>
      <c r="W42" s="159"/>
      <c r="X42" s="159"/>
      <c r="Y42" s="160"/>
      <c r="Z42" s="158" t="e">
        <f>VLOOKUP(U42,'BASE '!$A$4:$H$144,3,0)</f>
        <v>#N/A</v>
      </c>
      <c r="AA42" s="94" t="e">
        <f t="shared" si="3"/>
        <v>#N/A</v>
      </c>
      <c r="AB42" s="95" t="e">
        <f>VLOOKUP(U42,'BASE '!$A$4:$H$144,6,0)*Y42/100</f>
        <v>#N/A</v>
      </c>
      <c r="AC42" s="95" t="e">
        <f>VLOOKUP(U42,'BASE '!$A$4:$H$144,7,0)*Y42/100</f>
        <v>#N/A</v>
      </c>
      <c r="AD42" s="95" t="e">
        <f>VLOOKUP(U42,'BASE '!$A$4:$H$144,8,0)*Y42/100</f>
        <v>#N/A</v>
      </c>
      <c r="AE42" s="96" t="e">
        <f t="shared" si="7"/>
        <v>#N/A</v>
      </c>
      <c r="AF42" s="431"/>
      <c r="AG42" s="1" t="s">
        <v>155</v>
      </c>
      <c r="AH42" s="36" t="e">
        <f>SUMIFS($H$6:$H$165,$D$6:$D$165,AF41,CHOIX,AG42)</f>
        <v>#NAME?</v>
      </c>
      <c r="AI42" s="36" t="e">
        <f>SUMIFS($I$6:$I$165,$D$6:$D$165,AF41,CHOIX,AG42)</f>
        <v>#NAME?</v>
      </c>
      <c r="AJ42" s="36" t="e">
        <f>SUMIFS($J$6:$J$165,$D$6:$D$165,AF41,CHOIX,AG42)</f>
        <v>#NAME?</v>
      </c>
      <c r="AK42" s="36" t="e">
        <f>SUMIFS($K$6:$K$165,$D$6:$D$165,AF41,CHOIX,AG42)</f>
        <v>#NAME?</v>
      </c>
      <c r="AL42" s="36" t="e">
        <f>SUMIFS($L$6:$L$165,$D$6:$D$165,AF41,CHOIX,AG42)</f>
        <v>#NAME?</v>
      </c>
      <c r="AM42" s="36" t="e">
        <f>SUMIFS($M$6:$M$165,$D$6:$D$165,AF41,CHOIX,AG42)</f>
        <v>#NAME?</v>
      </c>
      <c r="AN42" s="1" t="s">
        <v>155</v>
      </c>
      <c r="AO42" s="83"/>
      <c r="AP42" s="63"/>
      <c r="AQ42" s="63"/>
      <c r="AR42" s="63"/>
      <c r="AS42" s="79"/>
      <c r="AT42" s="79"/>
      <c r="AU42" s="55" t="e">
        <f>SUMIFS($O$6:$O$165,$D$6:$D$165,AF41,CHOIX,AG42)</f>
        <v>#NAME?</v>
      </c>
      <c r="AV42" s="80" t="e">
        <f>SUMIFS($Q$6:$Q$165,$D$6:$D$165,AF41,CHOIX,AG42)</f>
        <v>#NAME?</v>
      </c>
      <c r="AZ42" s="8"/>
      <c r="BA42" s="148"/>
      <c r="BB42" s="148"/>
      <c r="BC42" s="148"/>
      <c r="BD42" s="10"/>
      <c r="BE42" s="10"/>
      <c r="BF42" s="10"/>
      <c r="BG42" s="10"/>
      <c r="BH42" s="10"/>
      <c r="BI42" s="10"/>
      <c r="BJ42" s="10"/>
      <c r="BK42" s="10"/>
      <c r="BL42" s="10"/>
      <c r="BM42" s="147">
        <f t="shared" si="8"/>
        <v>0</v>
      </c>
      <c r="BN42" s="147">
        <f t="shared" si="9"/>
        <v>0</v>
      </c>
      <c r="BO42" s="149"/>
      <c r="DN42" s="116" t="e">
        <f>(($I$5*#REF!)/100)+((#REF!*$J$5)/100)+(($K$5*#REF!)/100)+($L$5*#REF!)+($M$5*#REF!)</f>
        <v>#REF!</v>
      </c>
    </row>
    <row r="43" spans="2:129" x14ac:dyDescent="0.3">
      <c r="B43" s="64"/>
      <c r="C43" s="148"/>
      <c r="D43" s="109"/>
      <c r="E43" s="63"/>
      <c r="F43" s="127"/>
      <c r="G43" s="50"/>
      <c r="H43" s="10"/>
      <c r="I43" s="10"/>
      <c r="J43" s="10"/>
      <c r="K43" s="10"/>
      <c r="L43" s="10"/>
      <c r="M43" s="39"/>
      <c r="N43" s="33">
        <f t="shared" si="0"/>
        <v>0</v>
      </c>
      <c r="O43" s="52" t="b">
        <f>IF(AND(E43="CLIENT S+L",F43="HUILE"),(S43*3333.33+(VLOOKUP(H43,'BASE '!$I$112:$J$142,2,0)))-((S43*3333.33)*G43),IF(AND(E43="CLIENT S+L",F43="LAIT"),((S43*952.4)-(S43*952.4)*G43),IF(E43="CLIENT O","OFFERT",IF(AND(F43="HUILE",E43="CLIENT L"),(((VLOOKUP(H43,'BASE '!$I$112:$J$142,2,0))+(VLOOKUP(S43,'BASE '!#REF!,2,0)))),IF(AND(F43="LAIT",E43="CLIENT L"),(S43*952.4),IF(AND(F43="HUILE",E43="CLIENT D"),(S43*3809.53+(VLOOKUP(H43,'BASE '!$I$112:$J$142,2,0))),IF(AND(F43="LAIT",E43="CLIENT D"),(S43*952.4),IF(AND(F43="HUILE",E43="CLIENT S+D"),((S43*3809.53+(VLOOKUP(H43,'BASE '!$I$112:$J$142,2,0)))-((S43*3809.53)*G43)),IF(AND(F43="LAIT",E43="CLIENT S+D"),((S43*952.4)-((S43*952.4)*G43)),IF(AND(E43="CLIENT S",F43="LAIT"),((S43*952.4)-((S43*952.4)*G43)),IF(AND(F43="HUILE",E43="CLIENT S"),(VLOOKUP(H43,'BASE '!$I$112:$J$142,2,0)+(VLOOKUP(S43,'BASE '!#REF!,2,0)))-(G43*((VLOOKUP(S43,'BASE '!#REF!,2,0)+(VLOOKUP(H43,'BASE '!$I$112:$J$142,2,0))))))))))))))))</f>
        <v>0</v>
      </c>
      <c r="P43" s="52" t="b">
        <f t="shared" si="1"/>
        <v>0</v>
      </c>
      <c r="Q43" s="53" t="b">
        <f t="shared" si="2"/>
        <v>0</v>
      </c>
      <c r="R43" s="152" t="s">
        <v>175</v>
      </c>
      <c r="S43" s="184">
        <f t="shared" si="6"/>
        <v>0</v>
      </c>
      <c r="T43" s="124"/>
      <c r="U43" s="41" t="s">
        <v>175</v>
      </c>
      <c r="V43" s="70" t="e">
        <f>VLOOKUP(U43,'BASE '!$A$4:$H$144,2,0)</f>
        <v>#N/A</v>
      </c>
      <c r="W43" s="159"/>
      <c r="X43" s="159"/>
      <c r="Y43" s="160"/>
      <c r="Z43" s="158" t="e">
        <f>VLOOKUP(U43,'BASE '!$A$4:$H$144,3,0)</f>
        <v>#N/A</v>
      </c>
      <c r="AA43" s="94" t="e">
        <f t="shared" si="3"/>
        <v>#N/A</v>
      </c>
      <c r="AB43" s="95" t="e">
        <f>VLOOKUP(U43,'BASE '!$A$4:$H$144,6,0)*Y43/100</f>
        <v>#N/A</v>
      </c>
      <c r="AC43" s="95" t="e">
        <f>VLOOKUP(U43,'BASE '!$A$4:$H$144,7,0)*Y43/100</f>
        <v>#N/A</v>
      </c>
      <c r="AD43" s="95" t="e">
        <f>VLOOKUP(U43,'BASE '!$A$4:$H$144,8,0)*Y43/100</f>
        <v>#N/A</v>
      </c>
      <c r="AE43" s="96" t="e">
        <f t="shared" si="7"/>
        <v>#N/A</v>
      </c>
      <c r="AF43" s="431"/>
      <c r="AG43" s="91" t="s">
        <v>157</v>
      </c>
      <c r="AH43" s="36" t="e">
        <f>SUMIFS($H$6:$H$165,$D$6:$D$165,AF43,CHOIX,AG43)</f>
        <v>#NAME?</v>
      </c>
      <c r="AI43" s="36" t="e">
        <f>SUMIFS($I$6:$I$165,$D$6:$D$165,AF43,CHOIX,AG43)</f>
        <v>#NAME?</v>
      </c>
      <c r="AJ43" s="36" t="e">
        <f>SUMIFS($J$6:$J$165,$D$6:$D$165,AF43,CHOIX,AG43)</f>
        <v>#NAME?</v>
      </c>
      <c r="AK43" s="36" t="e">
        <f>SUMIFS($K$6:$K$165,$D$6:$D$165,AF43,CHOIX,AG43)</f>
        <v>#NAME?</v>
      </c>
      <c r="AL43" s="36" t="e">
        <f>SUMIFS($L$6:$L$165,$D$6:$D$165,AF43,CHOIX,AG43)</f>
        <v>#NAME?</v>
      </c>
      <c r="AM43" s="36" t="e">
        <f>SUMIFS($M$6:$M$165,$D$6:$D$165,AF43,CHOIX,AG43)</f>
        <v>#NAME?</v>
      </c>
      <c r="AN43" s="91" t="s">
        <v>157</v>
      </c>
      <c r="AO43" s="83"/>
      <c r="AP43" s="63"/>
      <c r="AQ43" s="63"/>
      <c r="AR43" s="63"/>
      <c r="AS43" s="79"/>
      <c r="AT43" s="79"/>
      <c r="AU43" s="55" t="e">
        <f>SUMIFS($O$6:$O$165,$D$6:$D$165,AF43,CHOIX,AG43)</f>
        <v>#NAME?</v>
      </c>
      <c r="AV43" s="80" t="e">
        <f>SUMIFS($Q$6:$Q$165,$D$6:$D$165,AF43,CHOIX,AG43)</f>
        <v>#NAME?</v>
      </c>
      <c r="AZ43" s="8"/>
      <c r="BA43" s="148"/>
      <c r="BB43" s="148"/>
      <c r="BC43" s="148"/>
      <c r="BD43" s="10"/>
      <c r="BE43" s="10"/>
      <c r="BF43" s="10"/>
      <c r="BG43" s="10"/>
      <c r="BH43" s="10"/>
      <c r="BI43" s="10"/>
      <c r="BJ43" s="10"/>
      <c r="BK43" s="10"/>
      <c r="BL43" s="10"/>
      <c r="BM43" s="147">
        <f t="shared" si="8"/>
        <v>0</v>
      </c>
      <c r="BN43" s="147">
        <f t="shared" si="9"/>
        <v>0</v>
      </c>
      <c r="BO43" s="149"/>
      <c r="DN43" s="116" t="e">
        <f>(($I$5*#REF!)/100)+((#REF!*$J$5)/100)+(($K$5*#REF!)/100)+($L$5*#REF!)+($M$5*#REF!)</f>
        <v>#REF!</v>
      </c>
    </row>
    <row r="44" spans="2:129" x14ac:dyDescent="0.3">
      <c r="B44" s="64"/>
      <c r="C44" s="148"/>
      <c r="D44" s="109"/>
      <c r="E44" s="63"/>
      <c r="F44" s="127"/>
      <c r="G44" s="50"/>
      <c r="H44" s="10"/>
      <c r="I44" s="10"/>
      <c r="J44" s="10"/>
      <c r="K44" s="10"/>
      <c r="L44" s="10"/>
      <c r="M44" s="39"/>
      <c r="N44" s="33">
        <f t="shared" si="0"/>
        <v>0</v>
      </c>
      <c r="O44" s="52" t="b">
        <f>IF(AND(E44="CLIENT S+L",F44="HUILE"),(S44*3333.33+(VLOOKUP(H44,'BASE '!$I$112:$J$142,2,0)))-((S44*3333.33)*G44),IF(AND(E44="CLIENT S+L",F44="LAIT"),((S44*952.4)-(S44*952.4)*G44),IF(E44="CLIENT O","OFFERT",IF(AND(F44="HUILE",E44="CLIENT L"),(((VLOOKUP(H44,'BASE '!$I$112:$J$142,2,0))+(VLOOKUP(S44,'BASE '!#REF!,2,0)))),IF(AND(F44="LAIT",E44="CLIENT L"),(S44*952.4),IF(AND(F44="HUILE",E44="CLIENT D"),(S44*3809.53+(VLOOKUP(H44,'BASE '!$I$112:$J$142,2,0))),IF(AND(F44="LAIT",E44="CLIENT D"),(S44*952.4),IF(AND(F44="HUILE",E44="CLIENT S+D"),((S44*3809.53+(VLOOKUP(H44,'BASE '!$I$112:$J$142,2,0)))-((S44*3809.53)*G44)),IF(AND(F44="LAIT",E44="CLIENT S+D"),((S44*952.4)-((S44*952.4)*G44)),IF(AND(E44="CLIENT S",F44="LAIT"),((S44*952.4)-((S44*952.4)*G44)),IF(AND(F44="HUILE",E44="CLIENT S"),(VLOOKUP(H44,'BASE '!$I$112:$J$142,2,0)+(VLOOKUP(S44,'BASE '!#REF!,2,0)))-(G44*((VLOOKUP(S44,'BASE '!#REF!,2,0)+(VLOOKUP(H44,'BASE '!$I$112:$J$142,2,0))))))))))))))))</f>
        <v>0</v>
      </c>
      <c r="P44" s="52" t="b">
        <f t="shared" si="1"/>
        <v>0</v>
      </c>
      <c r="Q44" s="53" t="b">
        <f t="shared" si="2"/>
        <v>0</v>
      </c>
      <c r="R44" s="152" t="s">
        <v>175</v>
      </c>
      <c r="S44" s="184">
        <f t="shared" si="6"/>
        <v>0</v>
      </c>
      <c r="T44" s="124"/>
      <c r="U44" s="41" t="s">
        <v>175</v>
      </c>
      <c r="V44" s="70" t="e">
        <f>VLOOKUP(U44,'BASE '!$A$4:$H$144,2,0)</f>
        <v>#N/A</v>
      </c>
      <c r="W44" s="159"/>
      <c r="X44" s="159"/>
      <c r="Y44" s="160"/>
      <c r="Z44" s="158" t="e">
        <f>VLOOKUP(U44,'BASE '!$A$4:$H$144,3,0)</f>
        <v>#N/A</v>
      </c>
      <c r="AA44" s="94" t="e">
        <f t="shared" si="3"/>
        <v>#N/A</v>
      </c>
      <c r="AB44" s="95" t="e">
        <f>VLOOKUP(U44,'BASE '!$A$4:$H$144,6,0)*Y44/100</f>
        <v>#N/A</v>
      </c>
      <c r="AC44" s="95" t="e">
        <f>VLOOKUP(U44,'BASE '!$A$4:$H$144,7,0)*Y44/100</f>
        <v>#N/A</v>
      </c>
      <c r="AD44" s="95" t="e">
        <f>VLOOKUP(U44,'BASE '!$A$4:$H$144,8,0)*Y44/100</f>
        <v>#N/A</v>
      </c>
      <c r="AE44" s="96" t="e">
        <f t="shared" si="7"/>
        <v>#N/A</v>
      </c>
      <c r="AF44" s="431"/>
      <c r="AG44" s="1" t="s">
        <v>155</v>
      </c>
      <c r="AH44" s="36" t="e">
        <f>SUMIFS($H$6:$H$165,$D$6:$D$165,AF43,CHOIX,AG44)</f>
        <v>#NAME?</v>
      </c>
      <c r="AI44" s="36" t="e">
        <f>SUMIFS($I$6:$I$165,$D$6:$D$165,AF43,CHOIX,AG44)</f>
        <v>#NAME?</v>
      </c>
      <c r="AJ44" s="36" t="e">
        <f>SUMIFS($J$6:$J$165,$D$6:$D$165,AF43,CHOIX,AG44)</f>
        <v>#NAME?</v>
      </c>
      <c r="AK44" s="36" t="e">
        <f>SUMIFS($K$6:$K$165,$D$6:$D$165,AF43,CHOIX,AG44)</f>
        <v>#NAME?</v>
      </c>
      <c r="AL44" s="36" t="e">
        <f>SUMIFS($L$6:$L$165,$D$6:$D$165,AF43,CHOIX,AG44)</f>
        <v>#NAME?</v>
      </c>
      <c r="AM44" s="36" t="e">
        <f>SUMIFS($M$6:$M$165,$D$6:$D$165,AF43,CHOIX,AG44)</f>
        <v>#NAME?</v>
      </c>
      <c r="AN44" s="1" t="s">
        <v>155</v>
      </c>
      <c r="AO44" s="83"/>
      <c r="AP44" s="63"/>
      <c r="AQ44" s="63"/>
      <c r="AR44" s="63"/>
      <c r="AS44" s="79"/>
      <c r="AT44" s="79"/>
      <c r="AU44" s="55" t="e">
        <f>SUMIFS($O$6:$O$165,$D$6:$D$165,AF43,CHOIX,AG44)</f>
        <v>#NAME?</v>
      </c>
      <c r="AV44" s="80" t="e">
        <f>SUMIFS($Q$6:$Q$165,$D$6:$D$165,AF43,CHOIX,AG44)</f>
        <v>#NAME?</v>
      </c>
      <c r="AZ44" s="8"/>
      <c r="BA44" s="148"/>
      <c r="BB44" s="148"/>
      <c r="BC44" s="148"/>
      <c r="BD44" s="10"/>
      <c r="BE44" s="10"/>
      <c r="BF44" s="10"/>
      <c r="BG44" s="10"/>
      <c r="BH44" s="10"/>
      <c r="BI44" s="10"/>
      <c r="BJ44" s="10"/>
      <c r="BK44" s="10"/>
      <c r="BL44" s="10"/>
      <c r="BM44" s="147">
        <f t="shared" si="8"/>
        <v>0</v>
      </c>
      <c r="BN44" s="147">
        <f t="shared" si="9"/>
        <v>0</v>
      </c>
      <c r="BO44" s="149"/>
      <c r="DN44" s="116" t="e">
        <f>(($I$5*#REF!)/100)+((#REF!*$J$5)/100)+(($K$5*#REF!)/100)+($L$5*#REF!)+($M$5*#REF!)</f>
        <v>#REF!</v>
      </c>
    </row>
    <row r="45" spans="2:129" x14ac:dyDescent="0.3">
      <c r="B45" s="64"/>
      <c r="C45" s="148"/>
      <c r="D45" s="109"/>
      <c r="E45" s="63"/>
      <c r="F45" s="127"/>
      <c r="G45" s="50"/>
      <c r="H45" s="10"/>
      <c r="I45" s="10"/>
      <c r="J45" s="10"/>
      <c r="K45" s="10"/>
      <c r="L45" s="10"/>
      <c r="M45" s="39"/>
      <c r="N45" s="33">
        <f t="shared" si="0"/>
        <v>0</v>
      </c>
      <c r="O45" s="52" t="b">
        <f>IF(AND(E45="CLIENT S+L",F45="HUILE"),(S45*3333.33+(VLOOKUP(H45,'BASE '!$I$112:$J$142,2,0)))-((S45*3333.33)*G45),IF(AND(E45="CLIENT S+L",F45="LAIT"),((S45*952.4)-(S45*952.4)*G45),IF(E45="CLIENT O","OFFERT",IF(AND(F45="HUILE",E45="CLIENT L"),(((VLOOKUP(H45,'BASE '!$I$112:$J$142,2,0))+(VLOOKUP(S45,'BASE '!#REF!,2,0)))),IF(AND(F45="LAIT",E45="CLIENT L"),(S45*952.4),IF(AND(F45="HUILE",E45="CLIENT D"),(S45*3809.53+(VLOOKUP(H45,'BASE '!$I$112:$J$142,2,0))),IF(AND(F45="LAIT",E45="CLIENT D"),(S45*952.4),IF(AND(F45="HUILE",E45="CLIENT S+D"),((S45*3809.53+(VLOOKUP(H45,'BASE '!$I$112:$J$142,2,0)))-((S45*3809.53)*G45)),IF(AND(F45="LAIT",E45="CLIENT S+D"),((S45*952.4)-((S45*952.4)*G45)),IF(AND(E45="CLIENT S",F45="LAIT"),((S45*952.4)-((S45*952.4)*G45)),IF(AND(F45="HUILE",E45="CLIENT S"),(VLOOKUP(H45,'BASE '!$I$112:$J$142,2,0)+(VLOOKUP(S45,'BASE '!#REF!,2,0)))-(G45*((VLOOKUP(S45,'BASE '!#REF!,2,0)+(VLOOKUP(H45,'BASE '!$I$112:$J$142,2,0))))))))))))))))</f>
        <v>0</v>
      </c>
      <c r="P45" s="52" t="b">
        <f t="shared" si="1"/>
        <v>0</v>
      </c>
      <c r="Q45" s="53" t="b">
        <f t="shared" si="2"/>
        <v>0</v>
      </c>
      <c r="R45" s="152" t="s">
        <v>175</v>
      </c>
      <c r="S45" s="184">
        <f t="shared" si="6"/>
        <v>0</v>
      </c>
      <c r="T45" s="124"/>
      <c r="U45" s="41" t="s">
        <v>175</v>
      </c>
      <c r="V45" s="70" t="e">
        <f>VLOOKUP(U45,'BASE '!$A$4:$H$144,2,0)</f>
        <v>#N/A</v>
      </c>
      <c r="W45" s="159"/>
      <c r="X45" s="159"/>
      <c r="Y45" s="160"/>
      <c r="Z45" s="158" t="e">
        <f>VLOOKUP(U45,'BASE '!$A$4:$H$144,3,0)</f>
        <v>#N/A</v>
      </c>
      <c r="AA45" s="94" t="e">
        <f t="shared" si="3"/>
        <v>#N/A</v>
      </c>
      <c r="AB45" s="95" t="e">
        <f>VLOOKUP(U45,'BASE '!$A$4:$H$144,6,0)*Y45/100</f>
        <v>#N/A</v>
      </c>
      <c r="AC45" s="95" t="e">
        <f>VLOOKUP(U45,'BASE '!$A$4:$H$144,7,0)*Y45/100</f>
        <v>#N/A</v>
      </c>
      <c r="AD45" s="95" t="e">
        <f>VLOOKUP(U45,'BASE '!$A$4:$H$144,8,0)*Y45/100</f>
        <v>#N/A</v>
      </c>
      <c r="AE45" s="96" t="e">
        <f t="shared" si="7"/>
        <v>#N/A</v>
      </c>
      <c r="AF45" s="431"/>
      <c r="AG45" s="91" t="s">
        <v>157</v>
      </c>
      <c r="AH45" s="36" t="e">
        <f>SUMIFS($H$6:$H$165,$D$6:$D$165,AF45,CHOIX,AG45)</f>
        <v>#NAME?</v>
      </c>
      <c r="AI45" s="36" t="e">
        <f>SUMIFS($I$6:$I$165,$D$6:$D$165,AF45,CHOIX,AG45)</f>
        <v>#NAME?</v>
      </c>
      <c r="AJ45" s="36" t="e">
        <f>SUMIFS($J$6:$J$165,$D$6:$D$165,AF45,CHOIX,AG45)</f>
        <v>#NAME?</v>
      </c>
      <c r="AK45" s="36" t="e">
        <f>SUMIFS($K$6:$K$165,$D$6:$D$165,AF45,CHOIX,AG45)</f>
        <v>#NAME?</v>
      </c>
      <c r="AL45" s="36" t="e">
        <f>SUMIFS($L$6:$L$165,$D$6:$D$165,AF45,CHOIX,AG45)</f>
        <v>#NAME?</v>
      </c>
      <c r="AM45" s="36" t="e">
        <f>SUMIFS($M$6:$M$165,$D$6:$D$165,AF45,CHOIX,AG45)</f>
        <v>#NAME?</v>
      </c>
      <c r="AN45" s="91" t="s">
        <v>157</v>
      </c>
      <c r="AO45" s="83"/>
      <c r="AP45" s="63"/>
      <c r="AQ45" s="63"/>
      <c r="AR45" s="63"/>
      <c r="AS45" s="79"/>
      <c r="AT45" s="79"/>
      <c r="AU45" s="55" t="e">
        <f>SUMIFS($O$6:$O$165,$D$6:$D$165,AF45,CHOIX,AG45)</f>
        <v>#NAME?</v>
      </c>
      <c r="AV45" s="80" t="e">
        <f>SUMIFS($Q$6:$Q$165,$D$6:$D$165,AF45,CHOIX,AG45)</f>
        <v>#NAME?</v>
      </c>
      <c r="AZ45" s="8"/>
      <c r="BA45" s="148"/>
      <c r="BB45" s="148"/>
      <c r="BC45" s="148"/>
      <c r="BD45" s="10"/>
      <c r="BE45" s="10"/>
      <c r="BF45" s="10"/>
      <c r="BG45" s="10"/>
      <c r="BH45" s="10"/>
      <c r="BI45" s="10"/>
      <c r="BJ45" s="10"/>
      <c r="BK45" s="10"/>
      <c r="BL45" s="10"/>
      <c r="BM45" s="147">
        <f t="shared" si="8"/>
        <v>0</v>
      </c>
      <c r="BN45" s="147">
        <f t="shared" si="9"/>
        <v>0</v>
      </c>
      <c r="BO45" s="149"/>
      <c r="DN45" s="116" t="e">
        <f>(($I$5*#REF!)/100)+((#REF!*$J$5)/100)+(($K$5*#REF!)/100)+($L$5*#REF!)+($M$5*#REF!)</f>
        <v>#REF!</v>
      </c>
    </row>
    <row r="46" spans="2:129" x14ac:dyDescent="0.3">
      <c r="B46" s="64"/>
      <c r="C46" s="148"/>
      <c r="D46" s="109"/>
      <c r="E46" s="63"/>
      <c r="F46" s="127"/>
      <c r="G46" s="50"/>
      <c r="H46" s="10"/>
      <c r="I46" s="10"/>
      <c r="J46" s="10"/>
      <c r="K46" s="10"/>
      <c r="L46" s="10"/>
      <c r="M46" s="39"/>
      <c r="N46" s="33">
        <f t="shared" si="0"/>
        <v>0</v>
      </c>
      <c r="O46" s="52" t="b">
        <f>IF(AND(E46="CLIENT S+L",F46="HUILE"),(S46*3333.33+(VLOOKUP(H46,'BASE '!$I$112:$J$142,2,0)))-((S46*3333.33)*G46),IF(AND(E46="CLIENT S+L",F46="LAIT"),((S46*952.4)-(S46*952.4)*G46),IF(E46="CLIENT O","OFFERT",IF(AND(F46="HUILE",E46="CLIENT L"),(((VLOOKUP(H46,'BASE '!$I$112:$J$142,2,0))+(VLOOKUP(S46,'BASE '!#REF!,2,0)))),IF(AND(F46="LAIT",E46="CLIENT L"),(S46*952.4),IF(AND(F46="HUILE",E46="CLIENT D"),(S46*3809.53+(VLOOKUP(H46,'BASE '!$I$112:$J$142,2,0))),IF(AND(F46="LAIT",E46="CLIENT D"),(S46*952.4),IF(AND(F46="HUILE",E46="CLIENT S+D"),((S46*3809.53+(VLOOKUP(H46,'BASE '!$I$112:$J$142,2,0)))-((S46*3809.53)*G46)),IF(AND(F46="LAIT",E46="CLIENT S+D"),((S46*952.4)-((S46*952.4)*G46)),IF(AND(E46="CLIENT S",F46="LAIT"),((S46*952.4)-((S46*952.4)*G46)),IF(AND(F46="HUILE",E46="CLIENT S"),(VLOOKUP(H46,'BASE '!$I$112:$J$142,2,0)+(VLOOKUP(S46,'BASE '!#REF!,2,0)))-(G46*((VLOOKUP(S46,'BASE '!#REF!,2,0)+(VLOOKUP(H46,'BASE '!$I$112:$J$142,2,0))))))))))))))))</f>
        <v>0</v>
      </c>
      <c r="P46" s="52" t="b">
        <f t="shared" si="1"/>
        <v>0</v>
      </c>
      <c r="Q46" s="53" t="b">
        <f t="shared" si="2"/>
        <v>0</v>
      </c>
      <c r="R46" s="152" t="s">
        <v>175</v>
      </c>
      <c r="S46" s="184">
        <f t="shared" si="6"/>
        <v>0</v>
      </c>
      <c r="T46" s="124"/>
      <c r="U46" s="41" t="s">
        <v>175</v>
      </c>
      <c r="V46" s="70" t="e">
        <f>VLOOKUP(U46,'BASE '!$A$4:$H$144,2,0)</f>
        <v>#N/A</v>
      </c>
      <c r="W46" s="159"/>
      <c r="X46" s="159"/>
      <c r="Y46" s="160"/>
      <c r="Z46" s="158" t="e">
        <f>VLOOKUP(U46,'BASE '!$A$4:$H$144,3,0)</f>
        <v>#N/A</v>
      </c>
      <c r="AA46" s="94" t="e">
        <f t="shared" si="3"/>
        <v>#N/A</v>
      </c>
      <c r="AB46" s="95" t="e">
        <f>VLOOKUP(U46,'BASE '!$A$4:$H$144,6,0)*Y46/100</f>
        <v>#N/A</v>
      </c>
      <c r="AC46" s="95" t="e">
        <f>VLOOKUP(U46,'BASE '!$A$4:$H$144,7,0)*Y46/100</f>
        <v>#N/A</v>
      </c>
      <c r="AD46" s="95" t="e">
        <f>VLOOKUP(U46,'BASE '!$A$4:$H$144,8,0)*Y46/100</f>
        <v>#N/A</v>
      </c>
      <c r="AE46" s="96" t="e">
        <f t="shared" si="7"/>
        <v>#N/A</v>
      </c>
      <c r="AF46" s="431"/>
      <c r="AG46" s="1" t="s">
        <v>155</v>
      </c>
      <c r="AH46" s="36" t="e">
        <f>SUMIFS($H$6:$H$165,$D$6:$D$165,AF45,CHOIX,AG46)</f>
        <v>#NAME?</v>
      </c>
      <c r="AI46" s="36" t="e">
        <f>SUMIFS($I$6:$I$165,$D$6:$D$165,AF45,CHOIX,AG46)</f>
        <v>#NAME?</v>
      </c>
      <c r="AJ46" s="36" t="e">
        <f>SUMIFS($J$6:$J$165,$D$6:$D$165,AF45,CHOIX,AG46)</f>
        <v>#NAME?</v>
      </c>
      <c r="AK46" s="36" t="e">
        <f>SUMIFS($K$6:$K$165,$D$6:$D$165,AF45,CHOIX,AG46)</f>
        <v>#NAME?</v>
      </c>
      <c r="AL46" s="36" t="e">
        <f>SUMIFS($L$6:$L$165,$D$6:$D$165,AF45,CHOIX,AG46)</f>
        <v>#NAME?</v>
      </c>
      <c r="AM46" s="36" t="e">
        <f>SUMIFS($M$6:$M$165,$D$6:$D$165,AF45,CHOIX,AG46)</f>
        <v>#NAME?</v>
      </c>
      <c r="AN46" s="1" t="s">
        <v>155</v>
      </c>
      <c r="AO46" s="83"/>
      <c r="AP46" s="63"/>
      <c r="AQ46" s="63"/>
      <c r="AR46" s="63"/>
      <c r="AS46" s="79"/>
      <c r="AT46" s="79"/>
      <c r="AU46" s="55" t="e">
        <f>SUMIFS($O$6:$O$165,$D$6:$D$165,AF45,CHOIX,AG46)</f>
        <v>#NAME?</v>
      </c>
      <c r="AV46" s="80" t="e">
        <f>SUMIFS($Q$6:$Q$165,$D$6:$D$165,AF45,CHOIX,AG46)</f>
        <v>#NAME?</v>
      </c>
      <c r="AZ46" s="8"/>
      <c r="BA46" s="148"/>
      <c r="BB46" s="148"/>
      <c r="BC46" s="148"/>
      <c r="BD46" s="10"/>
      <c r="BE46" s="10"/>
      <c r="BF46" s="10"/>
      <c r="BG46" s="10"/>
      <c r="BH46" s="10"/>
      <c r="BI46" s="10"/>
      <c r="BJ46" s="10"/>
      <c r="BK46" s="10"/>
      <c r="BL46" s="10"/>
      <c r="BM46" s="147">
        <f t="shared" si="8"/>
        <v>0</v>
      </c>
      <c r="BN46" s="147">
        <f t="shared" si="9"/>
        <v>0</v>
      </c>
      <c r="BO46" s="149"/>
      <c r="DN46" s="116" t="e">
        <f>(($I$5*#REF!)/100)+((#REF!*$J$5)/100)+(($K$5*#REF!)/100)+($L$5*#REF!)+($M$5*#REF!)</f>
        <v>#REF!</v>
      </c>
    </row>
    <row r="47" spans="2:129" x14ac:dyDescent="0.3">
      <c r="B47" s="64"/>
      <c r="C47" s="148"/>
      <c r="D47" s="109"/>
      <c r="E47" s="63"/>
      <c r="F47" s="127"/>
      <c r="G47" s="50"/>
      <c r="H47" s="10"/>
      <c r="I47" s="10"/>
      <c r="J47" s="10"/>
      <c r="K47" s="10"/>
      <c r="L47" s="10"/>
      <c r="M47" s="39"/>
      <c r="N47" s="33">
        <f t="shared" si="0"/>
        <v>0</v>
      </c>
      <c r="O47" s="52" t="b">
        <f>IF(AND(E47="CLIENT S+L",F47="HUILE"),(S47*3333.33+(VLOOKUP(H47,'BASE '!$I$112:$J$142,2,0)))-((S47*3333.33)*G47),IF(AND(E47="CLIENT S+L",F47="LAIT"),((S47*952.4)-(S47*952.4)*G47),IF(E47="CLIENT O","OFFERT",IF(AND(F47="HUILE",E47="CLIENT L"),(((VLOOKUP(H47,'BASE '!$I$112:$J$142,2,0))+(VLOOKUP(S47,'BASE '!#REF!,2,0)))),IF(AND(F47="LAIT",E47="CLIENT L"),(S47*952.4),IF(AND(F47="HUILE",E47="CLIENT D"),(S47*3809.53+(VLOOKUP(H47,'BASE '!$I$112:$J$142,2,0))),IF(AND(F47="LAIT",E47="CLIENT D"),(S47*952.4),IF(AND(F47="HUILE",E47="CLIENT S+D"),((S47*3809.53+(VLOOKUP(H47,'BASE '!$I$112:$J$142,2,0)))-((S47*3809.53)*G47)),IF(AND(F47="LAIT",E47="CLIENT S+D"),((S47*952.4)-((S47*952.4)*G47)),IF(AND(E47="CLIENT S",F47="LAIT"),((S47*952.4)-((S47*952.4)*G47)),IF(AND(F47="HUILE",E47="CLIENT S"),(VLOOKUP(H47,'BASE '!$I$112:$J$142,2,0)+(VLOOKUP(S47,'BASE '!#REF!,2,0)))-(G47*((VLOOKUP(S47,'BASE '!#REF!,2,0)+(VLOOKUP(H47,'BASE '!$I$112:$J$142,2,0))))))))))))))))</f>
        <v>0</v>
      </c>
      <c r="P47" s="52" t="b">
        <f t="shared" si="1"/>
        <v>0</v>
      </c>
      <c r="Q47" s="53" t="b">
        <f t="shared" si="2"/>
        <v>0</v>
      </c>
      <c r="R47" s="152" t="s">
        <v>175</v>
      </c>
      <c r="S47" s="184">
        <f t="shared" si="6"/>
        <v>0</v>
      </c>
      <c r="T47" s="124"/>
      <c r="U47" s="41" t="s">
        <v>175</v>
      </c>
      <c r="V47" s="70" t="e">
        <f>VLOOKUP(U47,'BASE '!$A$4:$H$144,2,0)</f>
        <v>#N/A</v>
      </c>
      <c r="W47" s="159"/>
      <c r="X47" s="159"/>
      <c r="Y47" s="160"/>
      <c r="Z47" s="158" t="e">
        <f>VLOOKUP(U47,'BASE '!$A$4:$H$144,3,0)</f>
        <v>#N/A</v>
      </c>
      <c r="AA47" s="94" t="e">
        <f t="shared" si="3"/>
        <v>#N/A</v>
      </c>
      <c r="AB47" s="95" t="e">
        <f>VLOOKUP(U47,'BASE '!$A$4:$H$144,6,0)*Y47/100</f>
        <v>#N/A</v>
      </c>
      <c r="AC47" s="95" t="e">
        <f>VLOOKUP(U47,'BASE '!$A$4:$H$144,7,0)*Y47/100</f>
        <v>#N/A</v>
      </c>
      <c r="AD47" s="95" t="e">
        <f>VLOOKUP(U47,'BASE '!$A$4:$H$144,8,0)*Y47/100</f>
        <v>#N/A</v>
      </c>
      <c r="AE47" s="96" t="e">
        <f t="shared" si="7"/>
        <v>#N/A</v>
      </c>
      <c r="AF47" s="431"/>
      <c r="AG47" s="91" t="s">
        <v>157</v>
      </c>
      <c r="AH47" s="36" t="e">
        <f>SUMIFS($H$6:$H$165,$D$6:$D$165,AF47,CHOIX,AG47)</f>
        <v>#NAME?</v>
      </c>
      <c r="AI47" s="36" t="e">
        <f>SUMIFS($I$6:$I$165,$D$6:$D$165,AF47,CHOIX,AG47)</f>
        <v>#NAME?</v>
      </c>
      <c r="AJ47" s="36" t="e">
        <f>SUMIFS($J$6:$J$165,$D$6:$D$165,AF47,CHOIX,AG47)</f>
        <v>#NAME?</v>
      </c>
      <c r="AK47" s="36" t="e">
        <f>SUMIFS($K$6:$K$165,$D$6:$D$165,AF47,CHOIX,AG47)</f>
        <v>#NAME?</v>
      </c>
      <c r="AL47" s="36" t="e">
        <f>SUMIFS($L$6:$L$165,$D$6:$D$165,AF47,CHOIX,AG47)</f>
        <v>#NAME?</v>
      </c>
      <c r="AM47" s="36" t="e">
        <f>SUMIFS($M$6:$M$165,$D$6:$D$165,AF47,CHOIX,AG47)</f>
        <v>#NAME?</v>
      </c>
      <c r="AN47" s="91" t="s">
        <v>157</v>
      </c>
      <c r="AO47" s="83"/>
      <c r="AP47" s="63"/>
      <c r="AQ47" s="63"/>
      <c r="AR47" s="63"/>
      <c r="AS47" s="79"/>
      <c r="AT47" s="79"/>
      <c r="AU47" s="55" t="e">
        <f>SUMIFS($O$6:$O$165,$D$6:$D$165,AF47,CHOIX,AG47)</f>
        <v>#NAME?</v>
      </c>
      <c r="AV47" s="80" t="e">
        <f>SUMIFS($Q$6:$Q$165,$D$6:$D$165,AF47,CHOIX,AG47)</f>
        <v>#NAME?</v>
      </c>
      <c r="AZ47" s="8"/>
      <c r="BA47" s="148"/>
      <c r="BB47" s="148"/>
      <c r="BC47" s="148"/>
      <c r="BD47" s="10"/>
      <c r="BE47" s="10"/>
      <c r="BF47" s="10"/>
      <c r="BG47" s="10"/>
      <c r="BH47" s="10"/>
      <c r="BI47" s="10"/>
      <c r="BJ47" s="10"/>
      <c r="BK47" s="10"/>
      <c r="BL47" s="10"/>
      <c r="BM47" s="147">
        <f t="shared" si="8"/>
        <v>0</v>
      </c>
      <c r="BN47" s="147">
        <f t="shared" si="9"/>
        <v>0</v>
      </c>
      <c r="BO47" s="149"/>
      <c r="DN47" s="116" t="e">
        <f>(($I$5*#REF!)/100)+((#REF!*$J$5)/100)+(($K$5*#REF!)/100)+($L$5*#REF!)+($M$5*#REF!)</f>
        <v>#REF!</v>
      </c>
    </row>
    <row r="48" spans="2:129" x14ac:dyDescent="0.3">
      <c r="B48" s="64"/>
      <c r="C48" s="148"/>
      <c r="D48" s="109"/>
      <c r="E48" s="63"/>
      <c r="F48" s="127"/>
      <c r="G48" s="50"/>
      <c r="H48" s="10"/>
      <c r="I48" s="10"/>
      <c r="J48" s="10"/>
      <c r="K48" s="10"/>
      <c r="L48" s="10"/>
      <c r="M48" s="39"/>
      <c r="N48" s="33">
        <f t="shared" si="0"/>
        <v>0</v>
      </c>
      <c r="O48" s="52" t="b">
        <f>IF(AND(E48="CLIENT S+L",F48="HUILE"),(S48*3333.33+(VLOOKUP(H48,'BASE '!$I$112:$J$142,2,0)))-((S48*3333.33)*G48),IF(AND(E48="CLIENT S+L",F48="LAIT"),((S48*952.4)-(S48*952.4)*G48),IF(E48="CLIENT O","OFFERT",IF(AND(F48="HUILE",E48="CLIENT L"),(((VLOOKUP(H48,'BASE '!$I$112:$J$142,2,0))+(VLOOKUP(S48,'BASE '!#REF!,2,0)))),IF(AND(F48="LAIT",E48="CLIENT L"),(S48*952.4),IF(AND(F48="HUILE",E48="CLIENT D"),(S48*3809.53+(VLOOKUP(H48,'BASE '!$I$112:$J$142,2,0))),IF(AND(F48="LAIT",E48="CLIENT D"),(S48*952.4),IF(AND(F48="HUILE",E48="CLIENT S+D"),((S48*3809.53+(VLOOKUP(H48,'BASE '!$I$112:$J$142,2,0)))-((S48*3809.53)*G48)),IF(AND(F48="LAIT",E48="CLIENT S+D"),((S48*952.4)-((S48*952.4)*G48)),IF(AND(E48="CLIENT S",F48="LAIT"),((S48*952.4)-((S48*952.4)*G48)),IF(AND(F48="HUILE",E48="CLIENT S"),(VLOOKUP(H48,'BASE '!$I$112:$J$142,2,0)+(VLOOKUP(S48,'BASE '!#REF!,2,0)))-(G48*((VLOOKUP(S48,'BASE '!#REF!,2,0)+(VLOOKUP(H48,'BASE '!$I$112:$J$142,2,0))))))))))))))))</f>
        <v>0</v>
      </c>
      <c r="P48" s="52" t="b">
        <f t="shared" si="1"/>
        <v>0</v>
      </c>
      <c r="Q48" s="53" t="b">
        <f t="shared" si="2"/>
        <v>0</v>
      </c>
      <c r="R48" s="152" t="s">
        <v>175</v>
      </c>
      <c r="S48" s="184">
        <f t="shared" si="6"/>
        <v>0</v>
      </c>
      <c r="T48" s="124"/>
      <c r="U48" s="41" t="s">
        <v>175</v>
      </c>
      <c r="V48" s="70" t="e">
        <f>VLOOKUP(U48,'BASE '!$A$4:$H$144,2,0)</f>
        <v>#N/A</v>
      </c>
      <c r="W48" s="159"/>
      <c r="X48" s="159"/>
      <c r="Y48" s="160"/>
      <c r="Z48" s="158" t="e">
        <f>VLOOKUP(U48,'BASE '!$A$4:$H$144,3,0)</f>
        <v>#N/A</v>
      </c>
      <c r="AA48" s="94" t="e">
        <f t="shared" si="3"/>
        <v>#N/A</v>
      </c>
      <c r="AB48" s="95" t="e">
        <f>VLOOKUP(U48,'BASE '!$A$4:$H$144,6,0)*Y48/100</f>
        <v>#N/A</v>
      </c>
      <c r="AC48" s="95" t="e">
        <f>VLOOKUP(U48,'BASE '!$A$4:$H$144,7,0)*Y48/100</f>
        <v>#N/A</v>
      </c>
      <c r="AD48" s="95" t="e">
        <f>VLOOKUP(U48,'BASE '!$A$4:$H$144,8,0)*Y48/100</f>
        <v>#N/A</v>
      </c>
      <c r="AE48" s="96" t="e">
        <f t="shared" si="7"/>
        <v>#N/A</v>
      </c>
      <c r="AF48" s="431"/>
      <c r="AG48" s="1" t="s">
        <v>155</v>
      </c>
      <c r="AH48" s="36" t="e">
        <f>SUMIFS($H$6:$H$165,$D$6:$D$165,AF47,CHOIX,AG48)</f>
        <v>#NAME?</v>
      </c>
      <c r="AI48" s="36" t="e">
        <f>SUMIFS($I$6:$I$165,$D$6:$D$165,AF47,CHOIX,AG48)</f>
        <v>#NAME?</v>
      </c>
      <c r="AJ48" s="36" t="e">
        <f>SUMIFS($J$6:$J$165,$D$6:$D$165,AF47,CHOIX,AG48)</f>
        <v>#NAME?</v>
      </c>
      <c r="AK48" s="36" t="e">
        <f>SUMIFS($K$6:$K$165,$D$6:$D$165,AF47,CHOIX,AG48)</f>
        <v>#NAME?</v>
      </c>
      <c r="AL48" s="36" t="e">
        <f>SUMIFS($L$6:$L$165,$D$6:$D$165,AF47,CHOIX,AG48)</f>
        <v>#NAME?</v>
      </c>
      <c r="AM48" s="36" t="e">
        <f>SUMIFS($M$6:$M$165,$D$6:$D$165,AF47,CHOIX,AG48)</f>
        <v>#NAME?</v>
      </c>
      <c r="AN48" s="1" t="s">
        <v>155</v>
      </c>
      <c r="AO48" s="83"/>
      <c r="AP48" s="63"/>
      <c r="AQ48" s="63"/>
      <c r="AR48" s="63"/>
      <c r="AS48" s="79"/>
      <c r="AT48" s="79"/>
      <c r="AU48" s="55" t="e">
        <f>SUMIFS($O$6:$O$165,$D$6:$D$165,AF47,CHOIX,AG48)</f>
        <v>#NAME?</v>
      </c>
      <c r="AV48" s="80" t="e">
        <f>SUMIFS($Q$6:$Q$165,$D$6:$D$165,AF47,CHOIX,AG48)</f>
        <v>#NAME?</v>
      </c>
      <c r="AZ48" s="8"/>
      <c r="BA48" s="148"/>
      <c r="BB48" s="148"/>
      <c r="BC48" s="148"/>
      <c r="BD48" s="10"/>
      <c r="BE48" s="10"/>
      <c r="BF48" s="10"/>
      <c r="BG48" s="10"/>
      <c r="BH48" s="10"/>
      <c r="BI48" s="10"/>
      <c r="BJ48" s="10"/>
      <c r="BK48" s="10"/>
      <c r="BL48" s="10"/>
      <c r="BM48" s="147">
        <f t="shared" si="8"/>
        <v>0</v>
      </c>
      <c r="BN48" s="147">
        <f t="shared" si="9"/>
        <v>0</v>
      </c>
      <c r="BO48" s="149"/>
      <c r="DN48" s="116" t="e">
        <f>(($I$5*#REF!)/100)+((#REF!*$J$5)/100)+(($K$5*#REF!)/100)+($L$5*#REF!)+($M$5*#REF!)</f>
        <v>#REF!</v>
      </c>
    </row>
    <row r="49" spans="2:118" x14ac:dyDescent="0.3">
      <c r="B49" s="64"/>
      <c r="C49" s="148"/>
      <c r="D49" s="109"/>
      <c r="E49" s="63"/>
      <c r="F49" s="127"/>
      <c r="G49" s="50"/>
      <c r="H49" s="10"/>
      <c r="I49" s="10"/>
      <c r="J49" s="10"/>
      <c r="K49" s="10"/>
      <c r="L49" s="10"/>
      <c r="M49" s="39"/>
      <c r="N49" s="33">
        <f t="shared" si="0"/>
        <v>0</v>
      </c>
      <c r="O49" s="52" t="b">
        <f>IF(AND(E49="CLIENT S+L",F49="HUILE"),(S49*3333.33+(VLOOKUP(H49,'BASE '!$I$112:$J$142,2,0)))-((S49*3333.33)*G49),IF(AND(E49="CLIENT S+L",F49="LAIT"),((S49*952.4)-(S49*952.4)*G49),IF(E49="CLIENT O","OFFERT",IF(AND(F49="HUILE",E49="CLIENT L"),(((VLOOKUP(H49,'BASE '!$I$112:$J$142,2,0))+(VLOOKUP(S49,'BASE '!#REF!,2,0)))),IF(AND(F49="LAIT",E49="CLIENT L"),(S49*952.4),IF(AND(F49="HUILE",E49="CLIENT D"),(S49*3809.53+(VLOOKUP(H49,'BASE '!$I$112:$J$142,2,0))),IF(AND(F49="LAIT",E49="CLIENT D"),(S49*952.4),IF(AND(F49="HUILE",E49="CLIENT S+D"),((S49*3809.53+(VLOOKUP(H49,'BASE '!$I$112:$J$142,2,0)))-((S49*3809.53)*G49)),IF(AND(F49="LAIT",E49="CLIENT S+D"),((S49*952.4)-((S49*952.4)*G49)),IF(AND(E49="CLIENT S",F49="LAIT"),((S49*952.4)-((S49*952.4)*G49)),IF(AND(F49="HUILE",E49="CLIENT S"),(VLOOKUP(H49,'BASE '!$I$112:$J$142,2,0)+(VLOOKUP(S49,'BASE '!#REF!,2,0)))-(G49*((VLOOKUP(S49,'BASE '!#REF!,2,0)+(VLOOKUP(H49,'BASE '!$I$112:$J$142,2,0))))))))))))))))</f>
        <v>0</v>
      </c>
      <c r="P49" s="52" t="b">
        <f t="shared" si="1"/>
        <v>0</v>
      </c>
      <c r="Q49" s="53" t="b">
        <f t="shared" si="2"/>
        <v>0</v>
      </c>
      <c r="R49" s="152" t="s">
        <v>175</v>
      </c>
      <c r="S49" s="184">
        <f t="shared" si="6"/>
        <v>0</v>
      </c>
      <c r="T49" s="124"/>
      <c r="U49" s="41" t="s">
        <v>175</v>
      </c>
      <c r="V49" s="70" t="e">
        <f>VLOOKUP(U49,'BASE '!$A$4:$H$144,2,0)</f>
        <v>#N/A</v>
      </c>
      <c r="W49" s="159"/>
      <c r="X49" s="159"/>
      <c r="Y49" s="160"/>
      <c r="Z49" s="158" t="e">
        <f>VLOOKUP(U49,'BASE '!$A$4:$H$144,3,0)</f>
        <v>#N/A</v>
      </c>
      <c r="AA49" s="94" t="e">
        <f t="shared" si="3"/>
        <v>#N/A</v>
      </c>
      <c r="AB49" s="95" t="e">
        <f>VLOOKUP(U49,'BASE '!$A$4:$H$144,6,0)*Y49/100</f>
        <v>#N/A</v>
      </c>
      <c r="AC49" s="95" t="e">
        <f>VLOOKUP(U49,'BASE '!$A$4:$H$144,7,0)*Y49/100</f>
        <v>#N/A</v>
      </c>
      <c r="AD49" s="95" t="e">
        <f>VLOOKUP(U49,'BASE '!$A$4:$H$144,8,0)*Y49/100</f>
        <v>#N/A</v>
      </c>
      <c r="AE49" s="96" t="e">
        <f t="shared" si="7"/>
        <v>#N/A</v>
      </c>
      <c r="AF49" s="431"/>
      <c r="AG49" s="91" t="s">
        <v>157</v>
      </c>
      <c r="AH49" s="36" t="e">
        <f>SUMIFS($H$6:$H$165,$D$6:$D$165,AF49,CHOIX,AG49)</f>
        <v>#NAME?</v>
      </c>
      <c r="AI49" s="36" t="e">
        <f>SUMIFS($I$6:$I$165,$D$6:$D$165,AF49,CHOIX,AG49)</f>
        <v>#NAME?</v>
      </c>
      <c r="AJ49" s="36" t="e">
        <f>SUMIFS($J$6:$J$165,$D$6:$D$165,AF49,CHOIX,AG49)</f>
        <v>#NAME?</v>
      </c>
      <c r="AK49" s="36" t="e">
        <f>SUMIFS($K$6:$K$165,$D$6:$D$165,AF49,CHOIX,AG49)</f>
        <v>#NAME?</v>
      </c>
      <c r="AL49" s="36" t="e">
        <f>SUMIFS($L$6:$L$165,$D$6:$D$165,AF49,CHOIX,AG49)</f>
        <v>#NAME?</v>
      </c>
      <c r="AM49" s="36" t="e">
        <f>SUMIFS($M$6:$M$165,$D$6:$D$165,AF49,CHOIX,AG49)</f>
        <v>#NAME?</v>
      </c>
      <c r="AN49" s="91" t="s">
        <v>157</v>
      </c>
      <c r="AO49" s="83"/>
      <c r="AP49" s="63"/>
      <c r="AQ49" s="63"/>
      <c r="AR49" s="63"/>
      <c r="AS49" s="79"/>
      <c r="AT49" s="79"/>
      <c r="AU49" s="55" t="e">
        <f>SUMIFS($O$6:$O$165,$D$6:$D$165,AF49,CHOIX,AG49)</f>
        <v>#NAME?</v>
      </c>
      <c r="AV49" s="80" t="e">
        <f>SUMIFS($Q$6:$Q$165,$D$6:$D$165,AF49,CHOIX,AG49)</f>
        <v>#NAME?</v>
      </c>
      <c r="AZ49" s="8"/>
      <c r="BA49" s="148"/>
      <c r="BB49" s="148"/>
      <c r="BC49" s="148"/>
      <c r="BD49" s="10"/>
      <c r="BE49" s="10"/>
      <c r="BF49" s="10"/>
      <c r="BG49" s="10"/>
      <c r="BH49" s="10"/>
      <c r="BI49" s="10"/>
      <c r="BJ49" s="10"/>
      <c r="BK49" s="10"/>
      <c r="BL49" s="10"/>
      <c r="BM49" s="147">
        <f t="shared" si="8"/>
        <v>0</v>
      </c>
      <c r="BN49" s="147">
        <f t="shared" si="9"/>
        <v>0</v>
      </c>
      <c r="BO49" s="149"/>
      <c r="DN49" s="116" t="e">
        <f>(($I$5*#REF!)/100)+((#REF!*$J$5)/100)+(($K$5*#REF!)/100)+($L$5*#REF!)+($M$5*#REF!)</f>
        <v>#REF!</v>
      </c>
    </row>
    <row r="50" spans="2:118" x14ac:dyDescent="0.3">
      <c r="B50" s="64"/>
      <c r="C50" s="148"/>
      <c r="D50" s="109"/>
      <c r="E50" s="63"/>
      <c r="F50" s="127"/>
      <c r="G50" s="50"/>
      <c r="H50" s="10"/>
      <c r="I50" s="10"/>
      <c r="J50" s="10"/>
      <c r="K50" s="10"/>
      <c r="L50" s="10"/>
      <c r="M50" s="39"/>
      <c r="N50" s="33">
        <f t="shared" si="0"/>
        <v>0</v>
      </c>
      <c r="O50" s="52" t="b">
        <f>IF(AND(E50="CLIENT S+L",F50="HUILE"),(S50*3333.33+(VLOOKUP(H50,'BASE '!$I$112:$J$142,2,0)))-((S50*3333.33)*G50),IF(AND(E50="CLIENT S+L",F50="LAIT"),((S50*952.4)-(S50*952.4)*G50),IF(E50="CLIENT O","OFFERT",IF(AND(F50="HUILE",E50="CLIENT L"),(((VLOOKUP(H50,'BASE '!$I$112:$J$142,2,0))+(VLOOKUP(S50,'BASE '!#REF!,2,0)))),IF(AND(F50="LAIT",E50="CLIENT L"),(S50*952.4),IF(AND(F50="HUILE",E50="CLIENT D"),(S50*3809.53+(VLOOKUP(H50,'BASE '!$I$112:$J$142,2,0))),IF(AND(F50="LAIT",E50="CLIENT D"),(S50*952.4),IF(AND(F50="HUILE",E50="CLIENT S+D"),((S50*3809.53+(VLOOKUP(H50,'BASE '!$I$112:$J$142,2,0)))-((S50*3809.53)*G50)),IF(AND(F50="LAIT",E50="CLIENT S+D"),((S50*952.4)-((S50*952.4)*G50)),IF(AND(E50="CLIENT S",F50="LAIT"),((S50*952.4)-((S50*952.4)*G50)),IF(AND(F50="HUILE",E50="CLIENT S"),(VLOOKUP(H50,'BASE '!$I$112:$J$142,2,0)+(VLOOKUP(S50,'BASE '!#REF!,2,0)))-(G50*((VLOOKUP(S50,'BASE '!#REF!,2,0)+(VLOOKUP(H50,'BASE '!$I$112:$J$142,2,0))))))))))))))))</f>
        <v>0</v>
      </c>
      <c r="P50" s="52" t="b">
        <f t="shared" si="1"/>
        <v>0</v>
      </c>
      <c r="Q50" s="53" t="b">
        <f t="shared" si="2"/>
        <v>0</v>
      </c>
      <c r="R50" s="152" t="s">
        <v>175</v>
      </c>
      <c r="S50" s="184">
        <f t="shared" si="6"/>
        <v>0</v>
      </c>
      <c r="T50" s="124"/>
      <c r="U50" s="41" t="s">
        <v>175</v>
      </c>
      <c r="V50" s="70" t="e">
        <f>VLOOKUP(U50,'BASE '!$A$4:$H$144,2,0)</f>
        <v>#N/A</v>
      </c>
      <c r="W50" s="159"/>
      <c r="X50" s="159"/>
      <c r="Y50" s="160"/>
      <c r="Z50" s="158" t="e">
        <f>VLOOKUP(U50,'BASE '!$A$4:$H$144,3,0)</f>
        <v>#N/A</v>
      </c>
      <c r="AA50" s="94" t="e">
        <f t="shared" si="3"/>
        <v>#N/A</v>
      </c>
      <c r="AB50" s="95" t="e">
        <f>VLOOKUP(U50,'BASE '!$A$4:$H$144,6,0)*Y50/100</f>
        <v>#N/A</v>
      </c>
      <c r="AC50" s="95" t="e">
        <f>VLOOKUP(U50,'BASE '!$A$4:$H$144,7,0)*Y50/100</f>
        <v>#N/A</v>
      </c>
      <c r="AD50" s="95" t="e">
        <f>VLOOKUP(U50,'BASE '!$A$4:$H$144,8,0)*Y50/100</f>
        <v>#N/A</v>
      </c>
      <c r="AE50" s="96" t="e">
        <f t="shared" si="7"/>
        <v>#N/A</v>
      </c>
      <c r="AF50" s="431"/>
      <c r="AG50" s="1" t="s">
        <v>155</v>
      </c>
      <c r="AH50" s="36" t="e">
        <f>SUMIFS($H$6:$H$165,$D$6:$D$165,AF49,CHOIX,AG50)</f>
        <v>#NAME?</v>
      </c>
      <c r="AI50" s="36" t="e">
        <f>SUMIFS($I$6:$I$165,$D$6:$D$165,AF49,CHOIX,AG50)</f>
        <v>#NAME?</v>
      </c>
      <c r="AJ50" s="36" t="e">
        <f>SUMIFS($J$6:$J$165,$D$6:$D$165,AF49,CHOIX,AG50)</f>
        <v>#NAME?</v>
      </c>
      <c r="AK50" s="36" t="e">
        <f>SUMIFS($K$6:$K$165,$D$6:$D$165,AF49,CHOIX,AG50)</f>
        <v>#NAME?</v>
      </c>
      <c r="AL50" s="36" t="e">
        <f>SUMIFS($L$6:$L$165,$D$6:$D$165,AF49,CHOIX,AG50)</f>
        <v>#NAME?</v>
      </c>
      <c r="AM50" s="36" t="e">
        <f>SUMIFS($M$6:$M$165,$D$6:$D$165,AF49,CHOIX,AG50)</f>
        <v>#NAME?</v>
      </c>
      <c r="AN50" s="1" t="s">
        <v>155</v>
      </c>
      <c r="AO50" s="83"/>
      <c r="AP50" s="63"/>
      <c r="AQ50" s="63"/>
      <c r="AR50" s="63"/>
      <c r="AS50" s="79"/>
      <c r="AT50" s="79"/>
      <c r="AU50" s="55" t="e">
        <f>SUMIFS($O$6:$O$165,$D$6:$D$165,AF49,CHOIX,AG50)</f>
        <v>#NAME?</v>
      </c>
      <c r="AV50" s="80" t="e">
        <f>SUMIFS($Q$6:$Q$165,$D$6:$D$165,AF49,CHOIX,AG50)</f>
        <v>#NAME?</v>
      </c>
      <c r="AZ50" s="8"/>
      <c r="BA50" s="148"/>
      <c r="BB50" s="148"/>
      <c r="BC50" s="148"/>
      <c r="BD50" s="10"/>
      <c r="BE50" s="10"/>
      <c r="BF50" s="10"/>
      <c r="BG50" s="10"/>
      <c r="BH50" s="10"/>
      <c r="BI50" s="10"/>
      <c r="BJ50" s="10"/>
      <c r="BK50" s="10"/>
      <c r="BL50" s="10"/>
      <c r="BM50" s="147">
        <f t="shared" si="8"/>
        <v>0</v>
      </c>
      <c r="BN50" s="147">
        <f t="shared" si="9"/>
        <v>0</v>
      </c>
      <c r="BO50" s="149"/>
      <c r="DN50" s="116" t="e">
        <f>(($I$5*#REF!)/100)+((#REF!*$J$5)/100)+(($K$5*#REF!)/100)+($L$5*#REF!)+($M$5*#REF!)</f>
        <v>#REF!</v>
      </c>
    </row>
    <row r="51" spans="2:118" x14ac:dyDescent="0.3">
      <c r="B51" s="64"/>
      <c r="C51" s="148"/>
      <c r="D51" s="109"/>
      <c r="E51" s="63"/>
      <c r="F51" s="127"/>
      <c r="G51" s="50"/>
      <c r="H51" s="10"/>
      <c r="I51" s="10"/>
      <c r="J51" s="10"/>
      <c r="K51" s="10"/>
      <c r="L51" s="10"/>
      <c r="M51" s="39"/>
      <c r="N51" s="33">
        <f t="shared" si="0"/>
        <v>0</v>
      </c>
      <c r="O51" s="52" t="b">
        <f>IF(AND(E51="CLIENT S+L",F51="HUILE"),(S51*3333.33+(VLOOKUP(H51,'BASE '!$I$112:$J$142,2,0)))-((S51*3333.33)*G51),IF(AND(E51="CLIENT S+L",F51="LAIT"),((S51*952.4)-(S51*952.4)*G51),IF(E51="CLIENT O","OFFERT",IF(AND(F51="HUILE",E51="CLIENT L"),(((VLOOKUP(H51,'BASE '!$I$112:$J$142,2,0))+(VLOOKUP(S51,'BASE '!#REF!,2,0)))),IF(AND(F51="LAIT",E51="CLIENT L"),(S51*952.4),IF(AND(F51="HUILE",E51="CLIENT D"),(S51*3809.53+(VLOOKUP(H51,'BASE '!$I$112:$J$142,2,0))),IF(AND(F51="LAIT",E51="CLIENT D"),(S51*952.4),IF(AND(F51="HUILE",E51="CLIENT S+D"),((S51*3809.53+(VLOOKUP(H51,'BASE '!$I$112:$J$142,2,0)))-((S51*3809.53)*G51)),IF(AND(F51="LAIT",E51="CLIENT S+D"),((S51*952.4)-((S51*952.4)*G51)),IF(AND(E51="CLIENT S",F51="LAIT"),((S51*952.4)-((S51*952.4)*G51)),IF(AND(F51="HUILE",E51="CLIENT S"),(VLOOKUP(H51,'BASE '!$I$112:$J$142,2,0)+(VLOOKUP(S51,'BASE '!#REF!,2,0)))-(G51*((VLOOKUP(S51,'BASE '!#REF!,2,0)+(VLOOKUP(H51,'BASE '!$I$112:$J$142,2,0))))))))))))))))</f>
        <v>0</v>
      </c>
      <c r="P51" s="52" t="b">
        <f t="shared" si="1"/>
        <v>0</v>
      </c>
      <c r="Q51" s="53" t="b">
        <f t="shared" si="2"/>
        <v>0</v>
      </c>
      <c r="R51" s="152" t="s">
        <v>175</v>
      </c>
      <c r="S51" s="184">
        <f t="shared" si="6"/>
        <v>0</v>
      </c>
      <c r="T51" s="124"/>
      <c r="U51" s="41" t="s">
        <v>175</v>
      </c>
      <c r="V51" s="70" t="e">
        <f>VLOOKUP(U51,'BASE '!$A$4:$H$144,2,0)</f>
        <v>#N/A</v>
      </c>
      <c r="W51" s="159"/>
      <c r="X51" s="159"/>
      <c r="Y51" s="160"/>
      <c r="Z51" s="158" t="e">
        <f>VLOOKUP(U51,'BASE '!$A$4:$H$144,3,0)</f>
        <v>#N/A</v>
      </c>
      <c r="AA51" s="94" t="e">
        <f t="shared" si="3"/>
        <v>#N/A</v>
      </c>
      <c r="AB51" s="95" t="e">
        <f>VLOOKUP(U51,'BASE '!$A$4:$H$144,6,0)*Y51/100</f>
        <v>#N/A</v>
      </c>
      <c r="AC51" s="95" t="e">
        <f>VLOOKUP(U51,'BASE '!$A$4:$H$144,7,0)*Y51/100</f>
        <v>#N/A</v>
      </c>
      <c r="AD51" s="95" t="e">
        <f>VLOOKUP(U51,'BASE '!$A$4:$H$144,8,0)*Y51/100</f>
        <v>#N/A</v>
      </c>
      <c r="AE51" s="96" t="e">
        <f t="shared" si="7"/>
        <v>#N/A</v>
      </c>
      <c r="AF51" s="431"/>
      <c r="AG51" s="91" t="s">
        <v>157</v>
      </c>
      <c r="AH51" s="36" t="e">
        <f>SUMIFS($H$6:$H$165,$D$6:$D$165,AF51,CHOIX,AG51)</f>
        <v>#NAME?</v>
      </c>
      <c r="AI51" s="36" t="e">
        <f>SUMIFS($I$6:$I$165,$D$6:$D$165,AF51,CHOIX,AG51)</f>
        <v>#NAME?</v>
      </c>
      <c r="AJ51" s="36" t="e">
        <f>SUMIFS($J$6:$J$165,$D$6:$D$165,AF51,CHOIX,AG51)</f>
        <v>#NAME?</v>
      </c>
      <c r="AK51" s="36" t="e">
        <f>SUMIFS($K$6:$K$165,$D$6:$D$165,AF51,CHOIX,AG51)</f>
        <v>#NAME?</v>
      </c>
      <c r="AL51" s="36" t="e">
        <f>SUMIFS($L$6:$L$165,$D$6:$D$165,AF51,CHOIX,AG51)</f>
        <v>#NAME?</v>
      </c>
      <c r="AM51" s="36" t="e">
        <f>SUMIFS($M$6:$M$165,$D$6:$D$165,AF51,CHOIX,AG51)</f>
        <v>#NAME?</v>
      </c>
      <c r="AN51" s="91" t="s">
        <v>157</v>
      </c>
      <c r="AO51" s="83"/>
      <c r="AP51" s="63"/>
      <c r="AQ51" s="63"/>
      <c r="AR51" s="63"/>
      <c r="AS51" s="79"/>
      <c r="AT51" s="79"/>
      <c r="AU51" s="55" t="e">
        <f>SUMIFS($O$6:$O$165,$D$6:$D$165,AF51,CHOIX,AG51)</f>
        <v>#NAME?</v>
      </c>
      <c r="AV51" s="80" t="e">
        <f>SUMIFS($Q$6:$Q$165,$D$6:$D$165,AF51,CHOIX,AG51)</f>
        <v>#NAME?</v>
      </c>
      <c r="AZ51" s="8"/>
      <c r="BA51" s="148"/>
      <c r="BB51" s="148"/>
      <c r="BC51" s="148"/>
      <c r="BD51" s="10"/>
      <c r="BE51" s="10"/>
      <c r="BF51" s="10"/>
      <c r="BG51" s="10"/>
      <c r="BH51" s="10"/>
      <c r="BI51" s="10"/>
      <c r="BJ51" s="10"/>
      <c r="BK51" s="10"/>
      <c r="BL51" s="10"/>
      <c r="BM51" s="147">
        <f t="shared" si="8"/>
        <v>0</v>
      </c>
      <c r="BN51" s="147">
        <f t="shared" si="9"/>
        <v>0</v>
      </c>
      <c r="BO51" s="149"/>
      <c r="DN51" s="116" t="e">
        <f>(($I$5*#REF!)/100)+((#REF!*$J$5)/100)+(($K$5*#REF!)/100)+($L$5*#REF!)+($M$5*#REF!)</f>
        <v>#REF!</v>
      </c>
    </row>
    <row r="52" spans="2:118" x14ac:dyDescent="0.3">
      <c r="B52" s="64"/>
      <c r="C52" s="148"/>
      <c r="D52" s="109"/>
      <c r="E52" s="63"/>
      <c r="F52" s="127"/>
      <c r="G52" s="50"/>
      <c r="H52" s="10"/>
      <c r="I52" s="10"/>
      <c r="J52" s="10"/>
      <c r="K52" s="10"/>
      <c r="L52" s="10"/>
      <c r="M52" s="39"/>
      <c r="N52" s="33">
        <f t="shared" si="0"/>
        <v>0</v>
      </c>
      <c r="O52" s="52" t="b">
        <f>IF(AND(E52="CLIENT S+L",F52="HUILE"),(S52*3333.33+(VLOOKUP(H52,'BASE '!$I$112:$J$142,2,0)))-((S52*3333.33)*G52),IF(AND(E52="CLIENT S+L",F52="LAIT"),((S52*952.4)-(S52*952.4)*G52),IF(E52="CLIENT O","OFFERT",IF(AND(F52="HUILE",E52="CLIENT L"),(((VLOOKUP(H52,'BASE '!$I$112:$J$142,2,0))+(VLOOKUP(S52,'BASE '!#REF!,2,0)))),IF(AND(F52="LAIT",E52="CLIENT L"),(S52*952.4),IF(AND(F52="HUILE",E52="CLIENT D"),(S52*3809.53+(VLOOKUP(H52,'BASE '!$I$112:$J$142,2,0))),IF(AND(F52="LAIT",E52="CLIENT D"),(S52*952.4),IF(AND(F52="HUILE",E52="CLIENT S+D"),((S52*3809.53+(VLOOKUP(H52,'BASE '!$I$112:$J$142,2,0)))-((S52*3809.53)*G52)),IF(AND(F52="LAIT",E52="CLIENT S+D"),((S52*952.4)-((S52*952.4)*G52)),IF(AND(E52="CLIENT S",F52="LAIT"),((S52*952.4)-((S52*952.4)*G52)),IF(AND(F52="HUILE",E52="CLIENT S"),(VLOOKUP(H52,'BASE '!$I$112:$J$142,2,0)+(VLOOKUP(S52,'BASE '!#REF!,2,0)))-(G52*((VLOOKUP(S52,'BASE '!#REF!,2,0)+(VLOOKUP(H52,'BASE '!$I$112:$J$142,2,0))))))))))))))))</f>
        <v>0</v>
      </c>
      <c r="P52" s="52" t="b">
        <f t="shared" si="1"/>
        <v>0</v>
      </c>
      <c r="Q52" s="53" t="b">
        <f t="shared" si="2"/>
        <v>0</v>
      </c>
      <c r="R52" s="152" t="s">
        <v>175</v>
      </c>
      <c r="S52" s="184">
        <f t="shared" si="6"/>
        <v>0</v>
      </c>
      <c r="T52" s="124"/>
      <c r="U52" s="41" t="s">
        <v>175</v>
      </c>
      <c r="V52" s="70" t="e">
        <f>VLOOKUP(U52,'BASE '!$A$4:$H$144,2,0)</f>
        <v>#N/A</v>
      </c>
      <c r="W52" s="159"/>
      <c r="X52" s="159"/>
      <c r="Y52" s="160"/>
      <c r="Z52" s="158" t="e">
        <f>VLOOKUP(U52,'BASE '!$A$4:$H$144,3,0)</f>
        <v>#N/A</v>
      </c>
      <c r="AA52" s="94" t="e">
        <f t="shared" si="3"/>
        <v>#N/A</v>
      </c>
      <c r="AB52" s="95" t="e">
        <f>VLOOKUP(U52,'BASE '!$A$4:$H$144,6,0)*Y52/100</f>
        <v>#N/A</v>
      </c>
      <c r="AC52" s="95" t="e">
        <f>VLOOKUP(U52,'BASE '!$A$4:$H$144,7,0)*Y52/100</f>
        <v>#N/A</v>
      </c>
      <c r="AD52" s="95" t="e">
        <f>VLOOKUP(U52,'BASE '!$A$4:$H$144,8,0)*Y52/100</f>
        <v>#N/A</v>
      </c>
      <c r="AE52" s="96" t="e">
        <f t="shared" si="7"/>
        <v>#N/A</v>
      </c>
      <c r="AF52" s="431"/>
      <c r="AG52" s="1" t="s">
        <v>155</v>
      </c>
      <c r="AH52" s="36" t="e">
        <f>SUMIFS($H$6:$H$165,$D$6:$D$165,AF51,CHOIX,AG52)</f>
        <v>#NAME?</v>
      </c>
      <c r="AI52" s="36" t="e">
        <f>SUMIFS($I$6:$I$165,$D$6:$D$165,AF51,CHOIX,AG52)</f>
        <v>#NAME?</v>
      </c>
      <c r="AJ52" s="36" t="e">
        <f>SUMIFS($J$6:$J$165,$D$6:$D$165,AF51,CHOIX,AG52)</f>
        <v>#NAME?</v>
      </c>
      <c r="AK52" s="36" t="e">
        <f>SUMIFS($K$6:$K$165,$D$6:$D$165,AF51,CHOIX,AG52)</f>
        <v>#NAME?</v>
      </c>
      <c r="AL52" s="36" t="e">
        <f>SUMIFS($L$6:$L$165,$D$6:$D$165,AF51,CHOIX,AG52)</f>
        <v>#NAME?</v>
      </c>
      <c r="AM52" s="36" t="e">
        <f>SUMIFS($M$6:$M$165,$D$6:$D$165,AF51,CHOIX,AG52)</f>
        <v>#NAME?</v>
      </c>
      <c r="AN52" s="1" t="s">
        <v>155</v>
      </c>
      <c r="AO52" s="83"/>
      <c r="AP52" s="63"/>
      <c r="AQ52" s="63"/>
      <c r="AR52" s="63"/>
      <c r="AS52" s="79"/>
      <c r="AT52" s="79"/>
      <c r="AU52" s="55" t="e">
        <f>SUMIFS($O$6:$O$165,$D$6:$D$165,AF51,CHOIX,AG52)</f>
        <v>#NAME?</v>
      </c>
      <c r="AV52" s="80" t="e">
        <f>SUMIFS($Q$6:$Q$165,$D$6:$D$165,AF51,CHOIX,AG52)</f>
        <v>#NAME?</v>
      </c>
      <c r="AZ52" s="8"/>
      <c r="BA52" s="148"/>
      <c r="BB52" s="148"/>
      <c r="BC52" s="148"/>
      <c r="BD52" s="10"/>
      <c r="BE52" s="10"/>
      <c r="BF52" s="10"/>
      <c r="BG52" s="10"/>
      <c r="BH52" s="10"/>
      <c r="BI52" s="10"/>
      <c r="BJ52" s="10"/>
      <c r="BK52" s="10"/>
      <c r="BL52" s="10"/>
      <c r="BM52" s="147">
        <f t="shared" si="8"/>
        <v>0</v>
      </c>
      <c r="BN52" s="147">
        <f t="shared" si="9"/>
        <v>0</v>
      </c>
      <c r="BO52" s="149"/>
      <c r="DN52" s="116" t="e">
        <f>(($I$5*#REF!)/100)+((#REF!*$J$5)/100)+(($K$5*#REF!)/100)+($L$5*#REF!)+($M$5*#REF!)</f>
        <v>#REF!</v>
      </c>
    </row>
    <row r="53" spans="2:118" x14ac:dyDescent="0.3">
      <c r="B53" s="64"/>
      <c r="C53" s="148"/>
      <c r="D53" s="109"/>
      <c r="E53" s="63"/>
      <c r="F53" s="127"/>
      <c r="G53" s="50"/>
      <c r="H53" s="10"/>
      <c r="I53" s="10"/>
      <c r="J53" s="10"/>
      <c r="K53" s="10"/>
      <c r="L53" s="10"/>
      <c r="M53" s="39"/>
      <c r="N53" s="33">
        <f t="shared" si="0"/>
        <v>0</v>
      </c>
      <c r="O53" s="52" t="b">
        <f>IF(AND(E53="CLIENT S+L",F53="HUILE"),(S53*3333.33+(VLOOKUP(H53,'BASE '!$I$112:$J$142,2,0)))-((S53*3333.33)*G53),IF(AND(E53="CLIENT S+L",F53="LAIT"),((S53*952.4)-(S53*952.4)*G53),IF(E53="CLIENT O","OFFERT",IF(AND(F53="HUILE",E53="CLIENT L"),(((VLOOKUP(H53,'BASE '!$I$112:$J$142,2,0))+(VLOOKUP(S53,'BASE '!#REF!,2,0)))),IF(AND(F53="LAIT",E53="CLIENT L"),(S53*952.4),IF(AND(F53="HUILE",E53="CLIENT D"),(S53*3809.53+(VLOOKUP(H53,'BASE '!$I$112:$J$142,2,0))),IF(AND(F53="LAIT",E53="CLIENT D"),(S53*952.4),IF(AND(F53="HUILE",E53="CLIENT S+D"),((S53*3809.53+(VLOOKUP(H53,'BASE '!$I$112:$J$142,2,0)))-((S53*3809.53)*G53)),IF(AND(F53="LAIT",E53="CLIENT S+D"),((S53*952.4)-((S53*952.4)*G53)),IF(AND(E53="CLIENT S",F53="LAIT"),((S53*952.4)-((S53*952.4)*G53)),IF(AND(F53="HUILE",E53="CLIENT S"),(VLOOKUP(H53,'BASE '!$I$112:$J$142,2,0)+(VLOOKUP(S53,'BASE '!#REF!,2,0)))-(G53*((VLOOKUP(S53,'BASE '!#REF!,2,0)+(VLOOKUP(H53,'BASE '!$I$112:$J$142,2,0))))))))))))))))</f>
        <v>0</v>
      </c>
      <c r="P53" s="52" t="b">
        <f t="shared" si="1"/>
        <v>0</v>
      </c>
      <c r="Q53" s="53" t="b">
        <f t="shared" si="2"/>
        <v>0</v>
      </c>
      <c r="R53" s="152" t="s">
        <v>175</v>
      </c>
      <c r="S53" s="184">
        <f t="shared" si="6"/>
        <v>0</v>
      </c>
      <c r="T53" s="124"/>
      <c r="U53" s="41" t="s">
        <v>175</v>
      </c>
      <c r="V53" s="70" t="e">
        <f>VLOOKUP(U53,'BASE '!$A$4:$H$144,2,0)</f>
        <v>#N/A</v>
      </c>
      <c r="W53" s="159"/>
      <c r="X53" s="159"/>
      <c r="Y53" s="160"/>
      <c r="Z53" s="158" t="e">
        <f>VLOOKUP(U53,'BASE '!$A$4:$H$144,3,0)</f>
        <v>#N/A</v>
      </c>
      <c r="AA53" s="94" t="e">
        <f t="shared" si="3"/>
        <v>#N/A</v>
      </c>
      <c r="AB53" s="95" t="e">
        <f>VLOOKUP(U53,'BASE '!$A$4:$H$144,6,0)*Y53/100</f>
        <v>#N/A</v>
      </c>
      <c r="AC53" s="95" t="e">
        <f>VLOOKUP(U53,'BASE '!$A$4:$H$144,7,0)*Y53/100</f>
        <v>#N/A</v>
      </c>
      <c r="AD53" s="95" t="e">
        <f>VLOOKUP(U53,'BASE '!$A$4:$H$144,8,0)*Y53/100</f>
        <v>#N/A</v>
      </c>
      <c r="AE53" s="96" t="e">
        <f t="shared" si="7"/>
        <v>#N/A</v>
      </c>
      <c r="AF53" s="431"/>
      <c r="AG53" s="91" t="s">
        <v>157</v>
      </c>
      <c r="AH53" s="36" t="e">
        <f>SUMIFS($H$6:$H$165,$D$6:$D$165,AF53,CHOIX,AG53)</f>
        <v>#NAME?</v>
      </c>
      <c r="AI53" s="36" t="e">
        <f>SUMIFS($I$6:$I$165,$D$6:$D$165,AF53,CHOIX,AG53)</f>
        <v>#NAME?</v>
      </c>
      <c r="AJ53" s="36" t="e">
        <f>SUMIFS($J$6:$J$165,$D$6:$D$165,AF53,CHOIX,AG53)</f>
        <v>#NAME?</v>
      </c>
      <c r="AK53" s="36" t="e">
        <f>SUMIFS($K$6:$K$165,$D$6:$D$165,AF53,CHOIX,AG53)</f>
        <v>#NAME?</v>
      </c>
      <c r="AL53" s="36" t="e">
        <f>SUMIFS($L$6:$L$165,$D$6:$D$165,AF53,CHOIX,AG53)</f>
        <v>#NAME?</v>
      </c>
      <c r="AM53" s="36" t="e">
        <f>SUMIFS($M$6:$M$165,$D$6:$D$165,AF53,CHOIX,AG53)</f>
        <v>#NAME?</v>
      </c>
      <c r="AN53" s="91" t="s">
        <v>157</v>
      </c>
      <c r="AO53" s="83"/>
      <c r="AP53" s="63"/>
      <c r="AQ53" s="63"/>
      <c r="AR53" s="63"/>
      <c r="AS53" s="79"/>
      <c r="AT53" s="79"/>
      <c r="AU53" s="55" t="e">
        <f>SUMIFS($O$6:$O$165,$D$6:$D$165,AF53,CHOIX,AG53)</f>
        <v>#NAME?</v>
      </c>
      <c r="AV53" s="80" t="e">
        <f>SUMIFS($Q$6:$Q$165,$D$6:$D$165,AF53,CHOIX,AG53)</f>
        <v>#NAME?</v>
      </c>
      <c r="AZ53" s="8"/>
      <c r="BA53" s="148"/>
      <c r="BB53" s="148"/>
      <c r="BC53" s="148"/>
      <c r="BD53" s="10"/>
      <c r="BE53" s="10"/>
      <c r="BF53" s="10"/>
      <c r="BG53" s="10"/>
      <c r="BH53" s="10"/>
      <c r="BI53" s="10"/>
      <c r="BJ53" s="10"/>
      <c r="BK53" s="10"/>
      <c r="BL53" s="10"/>
      <c r="BM53" s="147">
        <f t="shared" si="8"/>
        <v>0</v>
      </c>
      <c r="BN53" s="147">
        <f t="shared" si="9"/>
        <v>0</v>
      </c>
      <c r="BO53" s="149"/>
      <c r="DN53" s="116" t="e">
        <f>(($I$5*#REF!)/100)+((#REF!*$J$5)/100)+(($K$5*#REF!)/100)+($L$5*#REF!)+($M$5*#REF!)</f>
        <v>#REF!</v>
      </c>
    </row>
    <row r="54" spans="2:118" x14ac:dyDescent="0.3">
      <c r="B54" s="64"/>
      <c r="C54" s="148"/>
      <c r="D54" s="109"/>
      <c r="E54" s="63"/>
      <c r="F54" s="127"/>
      <c r="G54" s="50"/>
      <c r="H54" s="10"/>
      <c r="I54" s="10"/>
      <c r="J54" s="10"/>
      <c r="K54" s="10"/>
      <c r="L54" s="10"/>
      <c r="M54" s="39"/>
      <c r="N54" s="33">
        <f t="shared" si="0"/>
        <v>0</v>
      </c>
      <c r="O54" s="52" t="b">
        <f>IF(AND(E54="CLIENT S+L",F54="HUILE"),(S54*3333.33+(VLOOKUP(H54,'BASE '!$I$112:$J$142,2,0)))-((S54*3333.33)*G54),IF(AND(E54="CLIENT S+L",F54="LAIT"),((S54*952.4)-(S54*952.4)*G54),IF(E54="CLIENT O","OFFERT",IF(AND(F54="HUILE",E54="CLIENT L"),(((VLOOKUP(H54,'BASE '!$I$112:$J$142,2,0))+(VLOOKUP(S54,'BASE '!#REF!,2,0)))),IF(AND(F54="LAIT",E54="CLIENT L"),(S54*952.4),IF(AND(F54="HUILE",E54="CLIENT D"),(S54*3809.53+(VLOOKUP(H54,'BASE '!$I$112:$J$142,2,0))),IF(AND(F54="LAIT",E54="CLIENT D"),(S54*952.4),IF(AND(F54="HUILE",E54="CLIENT S+D"),((S54*3809.53+(VLOOKUP(H54,'BASE '!$I$112:$J$142,2,0)))-((S54*3809.53)*G54)),IF(AND(F54="LAIT",E54="CLIENT S+D"),((S54*952.4)-((S54*952.4)*G54)),IF(AND(E54="CLIENT S",F54="LAIT"),((S54*952.4)-((S54*952.4)*G54)),IF(AND(F54="HUILE",E54="CLIENT S"),(VLOOKUP(H54,'BASE '!$I$112:$J$142,2,0)+(VLOOKUP(S54,'BASE '!#REF!,2,0)))-(G54*((VLOOKUP(S54,'BASE '!#REF!,2,0)+(VLOOKUP(H54,'BASE '!$I$112:$J$142,2,0))))))))))))))))</f>
        <v>0</v>
      </c>
      <c r="P54" s="52" t="b">
        <f t="shared" si="1"/>
        <v>0</v>
      </c>
      <c r="Q54" s="53" t="b">
        <f t="shared" si="2"/>
        <v>0</v>
      </c>
      <c r="R54" s="152" t="s">
        <v>175</v>
      </c>
      <c r="S54" s="184">
        <f t="shared" si="6"/>
        <v>0</v>
      </c>
      <c r="T54" s="124"/>
      <c r="U54" s="41" t="s">
        <v>175</v>
      </c>
      <c r="V54" s="70" t="e">
        <f>VLOOKUP(U54,'BASE '!$A$4:$H$144,2,0)</f>
        <v>#N/A</v>
      </c>
      <c r="W54" s="159"/>
      <c r="X54" s="159"/>
      <c r="Y54" s="160"/>
      <c r="Z54" s="158" t="e">
        <f>VLOOKUP(U54,'BASE '!$A$4:$H$144,3,0)</f>
        <v>#N/A</v>
      </c>
      <c r="AA54" s="94" t="e">
        <f t="shared" si="3"/>
        <v>#N/A</v>
      </c>
      <c r="AB54" s="95" t="e">
        <f>VLOOKUP(U54,'BASE '!$A$4:$H$144,6,0)*Y54/100</f>
        <v>#N/A</v>
      </c>
      <c r="AC54" s="95" t="e">
        <f>VLOOKUP(U54,'BASE '!$A$4:$H$144,7,0)*Y54/100</f>
        <v>#N/A</v>
      </c>
      <c r="AD54" s="95" t="e">
        <f>VLOOKUP(U54,'BASE '!$A$4:$H$144,8,0)*Y54/100</f>
        <v>#N/A</v>
      </c>
      <c r="AE54" s="96" t="e">
        <f t="shared" si="7"/>
        <v>#N/A</v>
      </c>
      <c r="AF54" s="431"/>
      <c r="AG54" s="1" t="s">
        <v>155</v>
      </c>
      <c r="AH54" s="36" t="e">
        <f>SUMIFS($H$6:$H$165,$D$6:$D$165,AF53,CHOIX,AG54)</f>
        <v>#NAME?</v>
      </c>
      <c r="AI54" s="36" t="e">
        <f>SUMIFS($I$6:$I$165,$D$6:$D$165,AF53,CHOIX,AG54)</f>
        <v>#NAME?</v>
      </c>
      <c r="AJ54" s="36" t="e">
        <f>SUMIFS($J$6:$J$165,$D$6:$D$165,AF53,CHOIX,AG54)</f>
        <v>#NAME?</v>
      </c>
      <c r="AK54" s="36" t="e">
        <f>SUMIFS($K$6:$K$165,$D$6:$D$165,AF53,CHOIX,AG54)</f>
        <v>#NAME?</v>
      </c>
      <c r="AL54" s="36" t="e">
        <f>SUMIFS($L$6:$L$165,$D$6:$D$165,AF53,CHOIX,AG54)</f>
        <v>#NAME?</v>
      </c>
      <c r="AM54" s="36" t="e">
        <f>SUMIFS($M$6:$M$165,$D$6:$D$165,AF53,CHOIX,AG54)</f>
        <v>#NAME?</v>
      </c>
      <c r="AN54" s="1" t="s">
        <v>155</v>
      </c>
      <c r="AO54" s="83"/>
      <c r="AP54" s="63"/>
      <c r="AQ54" s="63"/>
      <c r="AR54" s="63"/>
      <c r="AS54" s="79"/>
      <c r="AT54" s="79"/>
      <c r="AU54" s="55" t="e">
        <f>SUMIFS($O$6:$O$165,$D$6:$D$165,AF53,CHOIX,AG54)</f>
        <v>#NAME?</v>
      </c>
      <c r="AV54" s="80" t="e">
        <f>SUMIFS($Q$6:$Q$165,$D$6:$D$165,AF53,CHOIX,AG54)</f>
        <v>#NAME?</v>
      </c>
      <c r="AZ54" s="8"/>
      <c r="BA54" s="148"/>
      <c r="BB54" s="148"/>
      <c r="BC54" s="148"/>
      <c r="BD54" s="10"/>
      <c r="BE54" s="10"/>
      <c r="BF54" s="10"/>
      <c r="BG54" s="10"/>
      <c r="BH54" s="10"/>
      <c r="BI54" s="10"/>
      <c r="BJ54" s="10"/>
      <c r="BK54" s="10"/>
      <c r="BL54" s="10"/>
      <c r="BM54" s="147">
        <f t="shared" si="8"/>
        <v>0</v>
      </c>
      <c r="BN54" s="147">
        <f t="shared" si="9"/>
        <v>0</v>
      </c>
      <c r="BO54" s="149"/>
      <c r="DN54" s="116" t="e">
        <f>(($I$5*#REF!)/100)+((#REF!*$J$5)/100)+(($K$5*#REF!)/100)+($L$5*#REF!)+($M$5*#REF!)</f>
        <v>#REF!</v>
      </c>
    </row>
    <row r="55" spans="2:118" x14ac:dyDescent="0.3">
      <c r="B55" s="64"/>
      <c r="C55" s="148"/>
      <c r="D55" s="109"/>
      <c r="E55" s="63"/>
      <c r="F55" s="127"/>
      <c r="G55" s="50"/>
      <c r="H55" s="10"/>
      <c r="I55" s="10"/>
      <c r="J55" s="10"/>
      <c r="K55" s="10"/>
      <c r="L55" s="10"/>
      <c r="M55" s="39"/>
      <c r="N55" s="33">
        <f t="shared" si="0"/>
        <v>0</v>
      </c>
      <c r="O55" s="52" t="b">
        <f>IF(AND(E55="CLIENT S+L",F55="HUILE"),(S55*3333.33+(VLOOKUP(H55,'BASE '!$I$112:$J$142,2,0)))-((S55*3333.33)*G55),IF(AND(E55="CLIENT S+L",F55="LAIT"),((S55*952.4)-(S55*952.4)*G55),IF(E55="CLIENT O","OFFERT",IF(AND(F55="HUILE",E55="CLIENT L"),(((VLOOKUP(H55,'BASE '!$I$112:$J$142,2,0))+(VLOOKUP(S55,'BASE '!#REF!,2,0)))),IF(AND(F55="LAIT",E55="CLIENT L"),(S55*952.4),IF(AND(F55="HUILE",E55="CLIENT D"),(S55*3809.53+(VLOOKUP(H55,'BASE '!$I$112:$J$142,2,0))),IF(AND(F55="LAIT",E55="CLIENT D"),(S55*952.4),IF(AND(F55="HUILE",E55="CLIENT S+D"),((S55*3809.53+(VLOOKUP(H55,'BASE '!$I$112:$J$142,2,0)))-((S55*3809.53)*G55)),IF(AND(F55="LAIT",E55="CLIENT S+D"),((S55*952.4)-((S55*952.4)*G55)),IF(AND(E55="CLIENT S",F55="LAIT"),((S55*952.4)-((S55*952.4)*G55)),IF(AND(F55="HUILE",E55="CLIENT S"),(VLOOKUP(H55,'BASE '!$I$112:$J$142,2,0)+(VLOOKUP(S55,'BASE '!#REF!,2,0)))-(G55*((VLOOKUP(S55,'BASE '!#REF!,2,0)+(VLOOKUP(H55,'BASE '!$I$112:$J$142,2,0))))))))))))))))</f>
        <v>0</v>
      </c>
      <c r="P55" s="52" t="b">
        <f t="shared" si="1"/>
        <v>0</v>
      </c>
      <c r="Q55" s="53" t="b">
        <f t="shared" si="2"/>
        <v>0</v>
      </c>
      <c r="R55" s="152" t="s">
        <v>175</v>
      </c>
      <c r="S55" s="184">
        <f t="shared" si="6"/>
        <v>0</v>
      </c>
      <c r="T55" s="124"/>
      <c r="U55" s="41" t="s">
        <v>175</v>
      </c>
      <c r="V55" s="70" t="e">
        <f>VLOOKUP(U55,'BASE '!$A$4:$H$144,2,0)</f>
        <v>#N/A</v>
      </c>
      <c r="W55" s="159"/>
      <c r="X55" s="159"/>
      <c r="Y55" s="160"/>
      <c r="Z55" s="158" t="e">
        <f>VLOOKUP(U55,'BASE '!$A$4:$H$144,3,0)</f>
        <v>#N/A</v>
      </c>
      <c r="AA55" s="94" t="e">
        <f t="shared" si="3"/>
        <v>#N/A</v>
      </c>
      <c r="AB55" s="95" t="e">
        <f>VLOOKUP(U55,'BASE '!$A$4:$H$144,6,0)*Y55/100</f>
        <v>#N/A</v>
      </c>
      <c r="AC55" s="95" t="e">
        <f>VLOOKUP(U55,'BASE '!$A$4:$H$144,7,0)*Y55/100</f>
        <v>#N/A</v>
      </c>
      <c r="AD55" s="95" t="e">
        <f>VLOOKUP(U55,'BASE '!$A$4:$H$144,8,0)*Y55/100</f>
        <v>#N/A</v>
      </c>
      <c r="AE55" s="96" t="e">
        <f t="shared" si="7"/>
        <v>#N/A</v>
      </c>
      <c r="AF55" s="431"/>
      <c r="AG55" s="91" t="s">
        <v>157</v>
      </c>
      <c r="AH55" s="36" t="e">
        <f>SUMIFS($H$6:$H$165,$D$6:$D$165,AF55,CHOIX,AG55)</f>
        <v>#NAME?</v>
      </c>
      <c r="AI55" s="36" t="e">
        <f>SUMIFS($I$6:$I$165,$D$6:$D$165,AF55,CHOIX,AG55)</f>
        <v>#NAME?</v>
      </c>
      <c r="AJ55" s="36" t="e">
        <f>SUMIFS($J$6:$J$165,$D$6:$D$165,AF55,CHOIX,AG55)</f>
        <v>#NAME?</v>
      </c>
      <c r="AK55" s="36" t="e">
        <f>SUMIFS($K$6:$K$165,$D$6:$D$165,AF55,CHOIX,AG55)</f>
        <v>#NAME?</v>
      </c>
      <c r="AL55" s="36" t="e">
        <f>SUMIFS($L$6:$L$165,$D$6:$D$165,AF55,CHOIX,AG55)</f>
        <v>#NAME?</v>
      </c>
      <c r="AM55" s="36" t="e">
        <f>SUMIFS($M$6:$M$165,$D$6:$D$165,AF55,CHOIX,AG55)</f>
        <v>#NAME?</v>
      </c>
      <c r="AN55" s="91" t="s">
        <v>157</v>
      </c>
      <c r="AO55" s="83"/>
      <c r="AP55" s="63"/>
      <c r="AQ55" s="63"/>
      <c r="AR55" s="63"/>
      <c r="AS55" s="79"/>
      <c r="AT55" s="79"/>
      <c r="AU55" s="55" t="e">
        <f>SUMIFS($O$6:$O$165,$D$6:$D$165,AF55,CHOIX,AG55)</f>
        <v>#NAME?</v>
      </c>
      <c r="AV55" s="80" t="e">
        <f>SUMIFS($Q$6:$Q$165,$D$6:$D$165,AF55,CHOIX,AG55)</f>
        <v>#NAME?</v>
      </c>
      <c r="AZ55" s="8"/>
      <c r="BA55" s="148"/>
      <c r="BB55" s="148"/>
      <c r="BC55" s="148"/>
      <c r="BD55" s="10"/>
      <c r="BE55" s="10"/>
      <c r="BF55" s="10"/>
      <c r="BG55" s="10"/>
      <c r="BH55" s="10"/>
      <c r="BI55" s="10"/>
      <c r="BJ55" s="10"/>
      <c r="BK55" s="10"/>
      <c r="BL55" s="10"/>
      <c r="BM55" s="147">
        <f t="shared" si="8"/>
        <v>0</v>
      </c>
      <c r="BN55" s="147">
        <f t="shared" si="9"/>
        <v>0</v>
      </c>
      <c r="BO55" s="149"/>
      <c r="DN55" s="116" t="e">
        <f>(($I$5*#REF!)/100)+((#REF!*$J$5)/100)+(($K$5*#REF!)/100)+($L$5*#REF!)+($M$5*#REF!)</f>
        <v>#REF!</v>
      </c>
    </row>
    <row r="56" spans="2:118" x14ac:dyDescent="0.3">
      <c r="B56" s="64"/>
      <c r="C56" s="148"/>
      <c r="D56" s="109"/>
      <c r="E56" s="63"/>
      <c r="F56" s="127"/>
      <c r="G56" s="50"/>
      <c r="H56" s="10"/>
      <c r="I56" s="10"/>
      <c r="J56" s="10"/>
      <c r="K56" s="10"/>
      <c r="L56" s="10"/>
      <c r="M56" s="39"/>
      <c r="N56" s="33">
        <f t="shared" si="0"/>
        <v>0</v>
      </c>
      <c r="O56" s="52" t="b">
        <f>IF(AND(E56="CLIENT S+L",F56="HUILE"),(S56*3333.33+(VLOOKUP(H56,'BASE '!$I$112:$J$142,2,0)))-((S56*3333.33)*G56),IF(AND(E56="CLIENT S+L",F56="LAIT"),((S56*952.4)-(S56*952.4)*G56),IF(E56="CLIENT O","OFFERT",IF(AND(F56="HUILE",E56="CLIENT L"),(((VLOOKUP(H56,'BASE '!$I$112:$J$142,2,0))+(VLOOKUP(S56,'BASE '!#REF!,2,0)))),IF(AND(F56="LAIT",E56="CLIENT L"),(S56*952.4),IF(AND(F56="HUILE",E56="CLIENT D"),(S56*3809.53+(VLOOKUP(H56,'BASE '!$I$112:$J$142,2,0))),IF(AND(F56="LAIT",E56="CLIENT D"),(S56*952.4),IF(AND(F56="HUILE",E56="CLIENT S+D"),((S56*3809.53+(VLOOKUP(H56,'BASE '!$I$112:$J$142,2,0)))-((S56*3809.53)*G56)),IF(AND(F56="LAIT",E56="CLIENT S+D"),((S56*952.4)-((S56*952.4)*G56)),IF(AND(E56="CLIENT S",F56="LAIT"),((S56*952.4)-((S56*952.4)*G56)),IF(AND(F56="HUILE",E56="CLIENT S"),(VLOOKUP(H56,'BASE '!$I$112:$J$142,2,0)+(VLOOKUP(S56,'BASE '!#REF!,2,0)))-(G56*((VLOOKUP(S56,'BASE '!#REF!,2,0)+(VLOOKUP(H56,'BASE '!$I$112:$J$142,2,0))))))))))))))))</f>
        <v>0</v>
      </c>
      <c r="P56" s="52" t="b">
        <f t="shared" si="1"/>
        <v>0</v>
      </c>
      <c r="Q56" s="53" t="b">
        <f t="shared" si="2"/>
        <v>0</v>
      </c>
      <c r="R56" s="152" t="s">
        <v>175</v>
      </c>
      <c r="S56" s="184">
        <f t="shared" si="6"/>
        <v>0</v>
      </c>
      <c r="T56" s="124"/>
      <c r="U56" s="41" t="s">
        <v>175</v>
      </c>
      <c r="V56" s="70" t="e">
        <f>VLOOKUP(U56,'BASE '!$A$4:$H$144,2,0)</f>
        <v>#N/A</v>
      </c>
      <c r="W56" s="159"/>
      <c r="X56" s="159"/>
      <c r="Y56" s="160"/>
      <c r="Z56" s="158" t="e">
        <f>VLOOKUP(U56,'BASE '!$A$4:$H$144,3,0)</f>
        <v>#N/A</v>
      </c>
      <c r="AA56" s="94" t="e">
        <f t="shared" si="3"/>
        <v>#N/A</v>
      </c>
      <c r="AB56" s="95" t="e">
        <f>VLOOKUP(U56,'BASE '!$A$4:$H$144,6,0)*Y56/100</f>
        <v>#N/A</v>
      </c>
      <c r="AC56" s="95" t="e">
        <f>VLOOKUP(U56,'BASE '!$A$4:$H$144,7,0)*Y56/100</f>
        <v>#N/A</v>
      </c>
      <c r="AD56" s="95" t="e">
        <f>VLOOKUP(U56,'BASE '!$A$4:$H$144,8,0)*Y56/100</f>
        <v>#N/A</v>
      </c>
      <c r="AE56" s="96" t="e">
        <f t="shared" si="7"/>
        <v>#N/A</v>
      </c>
      <c r="AF56" s="431"/>
      <c r="AG56" s="1" t="s">
        <v>155</v>
      </c>
      <c r="AH56" s="36" t="e">
        <f>SUMIFS($H$6:$H$165,$D$6:$D$165,AF55,CHOIX,AG56)</f>
        <v>#NAME?</v>
      </c>
      <c r="AI56" s="36" t="e">
        <f>SUMIFS($I$6:$I$165,$D$6:$D$165,AF55,CHOIX,AG56)</f>
        <v>#NAME?</v>
      </c>
      <c r="AJ56" s="36" t="e">
        <f>SUMIFS($J$6:$J$165,$D$6:$D$165,AF55,CHOIX,AG56)</f>
        <v>#NAME?</v>
      </c>
      <c r="AK56" s="36" t="e">
        <f>SUMIFS($K$6:$K$165,$D$6:$D$165,AF55,CHOIX,AG56)</f>
        <v>#NAME?</v>
      </c>
      <c r="AL56" s="36" t="e">
        <f>SUMIFS($L$6:$L$165,$D$6:$D$165,AF55,CHOIX,AG56)</f>
        <v>#NAME?</v>
      </c>
      <c r="AM56" s="36" t="e">
        <f>SUMIFS($M$6:$M$165,$D$6:$D$165,AF55,CHOIX,AG56)</f>
        <v>#NAME?</v>
      </c>
      <c r="AN56" s="1" t="s">
        <v>155</v>
      </c>
      <c r="AO56" s="83"/>
      <c r="AP56" s="63"/>
      <c r="AQ56" s="63"/>
      <c r="AR56" s="63"/>
      <c r="AS56" s="79"/>
      <c r="AT56" s="79"/>
      <c r="AU56" s="55" t="e">
        <f>SUMIFS($O$6:$O$165,$D$6:$D$165,AF55,CHOIX,AG56)</f>
        <v>#NAME?</v>
      </c>
      <c r="AV56" s="80" t="e">
        <f>SUMIFS($Q$6:$Q$165,$D$6:$D$165,AF55,CHOIX,AG56)</f>
        <v>#NAME?</v>
      </c>
      <c r="AZ56" s="8"/>
      <c r="BA56" s="148"/>
      <c r="BB56" s="148"/>
      <c r="BC56" s="148"/>
      <c r="BD56" s="10"/>
      <c r="BE56" s="10"/>
      <c r="BF56" s="10"/>
      <c r="BG56" s="10"/>
      <c r="BH56" s="10"/>
      <c r="BI56" s="10"/>
      <c r="BJ56" s="10"/>
      <c r="BK56" s="10"/>
      <c r="BL56" s="10"/>
      <c r="BM56" s="147">
        <f t="shared" si="8"/>
        <v>0</v>
      </c>
      <c r="BN56" s="147">
        <f t="shared" si="9"/>
        <v>0</v>
      </c>
      <c r="BO56" s="149"/>
      <c r="DN56" s="116" t="e">
        <f>(($I$5*#REF!)/100)+((#REF!*$J$5)/100)+(($K$5*#REF!)/100)+($L$5*#REF!)+($M$5*#REF!)</f>
        <v>#REF!</v>
      </c>
    </row>
    <row r="57" spans="2:118" x14ac:dyDescent="0.3">
      <c r="B57" s="64"/>
      <c r="C57" s="148"/>
      <c r="D57" s="109"/>
      <c r="E57" s="63"/>
      <c r="F57" s="127"/>
      <c r="G57" s="50"/>
      <c r="H57" s="10"/>
      <c r="I57" s="10"/>
      <c r="J57" s="10"/>
      <c r="K57" s="10"/>
      <c r="L57" s="10"/>
      <c r="M57" s="39"/>
      <c r="N57" s="33">
        <f t="shared" si="0"/>
        <v>0</v>
      </c>
      <c r="O57" s="52" t="b">
        <f>IF(AND(E57="CLIENT S+L",F57="HUILE"),(S57*3333.33+(VLOOKUP(H57,'BASE '!$I$112:$J$142,2,0)))-((S57*3333.33)*G57),IF(AND(E57="CLIENT S+L",F57="LAIT"),((S57*952.4)-(S57*952.4)*G57),IF(E57="CLIENT O","OFFERT",IF(AND(F57="HUILE",E57="CLIENT L"),(((VLOOKUP(H57,'BASE '!$I$112:$J$142,2,0))+(VLOOKUP(S57,'BASE '!#REF!,2,0)))),IF(AND(F57="LAIT",E57="CLIENT L"),(S57*952.4),IF(AND(F57="HUILE",E57="CLIENT D"),(S57*3809.53+(VLOOKUP(H57,'BASE '!$I$112:$J$142,2,0))),IF(AND(F57="LAIT",E57="CLIENT D"),(S57*952.4),IF(AND(F57="HUILE",E57="CLIENT S+D"),((S57*3809.53+(VLOOKUP(H57,'BASE '!$I$112:$J$142,2,0)))-((S57*3809.53)*G57)),IF(AND(F57="LAIT",E57="CLIENT S+D"),((S57*952.4)-((S57*952.4)*G57)),IF(AND(E57="CLIENT S",F57="LAIT"),((S57*952.4)-((S57*952.4)*G57)),IF(AND(F57="HUILE",E57="CLIENT S"),(VLOOKUP(H57,'BASE '!$I$112:$J$142,2,0)+(VLOOKUP(S57,'BASE '!#REF!,2,0)))-(G57*((VLOOKUP(S57,'BASE '!#REF!,2,0)+(VLOOKUP(H57,'BASE '!$I$112:$J$142,2,0))))))))))))))))</f>
        <v>0</v>
      </c>
      <c r="P57" s="52" t="b">
        <f t="shared" si="1"/>
        <v>0</v>
      </c>
      <c r="Q57" s="53" t="b">
        <f t="shared" si="2"/>
        <v>0</v>
      </c>
      <c r="R57" s="152" t="s">
        <v>175</v>
      </c>
      <c r="S57" s="184">
        <f t="shared" si="6"/>
        <v>0</v>
      </c>
      <c r="T57" s="124"/>
      <c r="U57" s="41" t="s">
        <v>175</v>
      </c>
      <c r="V57" s="70" t="e">
        <f>VLOOKUP(U57,'BASE '!$A$4:$H$144,2,0)</f>
        <v>#N/A</v>
      </c>
      <c r="W57" s="159"/>
      <c r="X57" s="159"/>
      <c r="Y57" s="160"/>
      <c r="Z57" s="158" t="e">
        <f>VLOOKUP(U57,'BASE '!$A$4:$H$144,3,0)</f>
        <v>#N/A</v>
      </c>
      <c r="AA57" s="94" t="e">
        <f t="shared" si="3"/>
        <v>#N/A</v>
      </c>
      <c r="AB57" s="95" t="e">
        <f>VLOOKUP(U57,'BASE '!$A$4:$H$144,6,0)*Y57/100</f>
        <v>#N/A</v>
      </c>
      <c r="AC57" s="95" t="e">
        <f>VLOOKUP(U57,'BASE '!$A$4:$H$144,7,0)*Y57/100</f>
        <v>#N/A</v>
      </c>
      <c r="AD57" s="95" t="e">
        <f>VLOOKUP(U57,'BASE '!$A$4:$H$144,8,0)*Y57/100</f>
        <v>#N/A</v>
      </c>
      <c r="AE57" s="96" t="e">
        <f t="shared" si="7"/>
        <v>#N/A</v>
      </c>
      <c r="AF57" s="431"/>
      <c r="AG57" s="91" t="s">
        <v>157</v>
      </c>
      <c r="AH57" s="36" t="e">
        <f>SUMIFS($H$6:$H$165,$D$6:$D$165,AF57,CHOIX,AG57)</f>
        <v>#NAME?</v>
      </c>
      <c r="AI57" s="36" t="e">
        <f>SUMIFS($I$6:$I$165,$D$6:$D$165,AF57,CHOIX,AG57)</f>
        <v>#NAME?</v>
      </c>
      <c r="AJ57" s="36" t="e">
        <f>SUMIFS($J$6:$J$165,$D$6:$D$165,AF57,CHOIX,AG57)</f>
        <v>#NAME?</v>
      </c>
      <c r="AK57" s="36" t="e">
        <f>SUMIFS($K$6:$K$165,$D$6:$D$165,AF57,CHOIX,AG57)</f>
        <v>#NAME?</v>
      </c>
      <c r="AL57" s="36" t="e">
        <f>SUMIFS($L$6:$L$165,$D$6:$D$165,AF57,CHOIX,AG57)</f>
        <v>#NAME?</v>
      </c>
      <c r="AM57" s="36" t="e">
        <f>SUMIFS($M$6:$M$165,$D$6:$D$165,AF57,CHOIX,AG57)</f>
        <v>#NAME?</v>
      </c>
      <c r="AN57" s="91" t="s">
        <v>157</v>
      </c>
      <c r="AO57" s="83"/>
      <c r="AP57" s="63"/>
      <c r="AQ57" s="63"/>
      <c r="AR57" s="63"/>
      <c r="AS57" s="79"/>
      <c r="AT57" s="79"/>
      <c r="AU57" s="55" t="e">
        <f>SUMIFS($O$6:$O$165,$D$6:$D$165,AF57,CHOIX,AG57)</f>
        <v>#NAME?</v>
      </c>
      <c r="AV57" s="80" t="e">
        <f>SUMIFS($Q$6:$Q$165,$D$6:$D$165,AF57,CHOIX,AG57)</f>
        <v>#NAME?</v>
      </c>
      <c r="AZ57" s="8"/>
      <c r="BA57" s="148"/>
      <c r="BB57" s="148"/>
      <c r="BC57" s="148"/>
      <c r="BD57" s="10"/>
      <c r="BE57" s="10"/>
      <c r="BF57" s="10"/>
      <c r="BG57" s="10"/>
      <c r="BH57" s="10"/>
      <c r="BI57" s="10"/>
      <c r="BJ57" s="10"/>
      <c r="BK57" s="10"/>
      <c r="BL57" s="10"/>
      <c r="BM57" s="147">
        <f t="shared" si="8"/>
        <v>0</v>
      </c>
      <c r="BN57" s="147">
        <f t="shared" si="9"/>
        <v>0</v>
      </c>
      <c r="BO57" s="149"/>
      <c r="DN57" s="116" t="e">
        <f>(($I$5*#REF!)/100)+((#REF!*$J$5)/100)+(($K$5*#REF!)/100)+($L$5*#REF!)+($M$5*#REF!)</f>
        <v>#REF!</v>
      </c>
    </row>
    <row r="58" spans="2:118" x14ac:dyDescent="0.3">
      <c r="B58" s="64"/>
      <c r="C58" s="148"/>
      <c r="D58" s="109"/>
      <c r="E58" s="63"/>
      <c r="F58" s="127"/>
      <c r="G58" s="50"/>
      <c r="H58" s="10"/>
      <c r="I58" s="10"/>
      <c r="J58" s="10"/>
      <c r="K58" s="10"/>
      <c r="L58" s="10"/>
      <c r="M58" s="39"/>
      <c r="N58" s="33">
        <f t="shared" si="0"/>
        <v>0</v>
      </c>
      <c r="O58" s="52" t="b">
        <f>IF(AND(E58="CLIENT S+L",F58="HUILE"),(S58*3333.33+(VLOOKUP(H58,'BASE '!$I$112:$J$142,2,0)))-((S58*3333.33)*G58),IF(AND(E58="CLIENT S+L",F58="LAIT"),((S58*952.4)-(S58*952.4)*G58),IF(E58="CLIENT O","OFFERT",IF(AND(F58="HUILE",E58="CLIENT L"),(((VLOOKUP(H58,'BASE '!$I$112:$J$142,2,0))+(VLOOKUP(S58,'BASE '!#REF!,2,0)))),IF(AND(F58="LAIT",E58="CLIENT L"),(S58*952.4),IF(AND(F58="HUILE",E58="CLIENT D"),(S58*3809.53+(VLOOKUP(H58,'BASE '!$I$112:$J$142,2,0))),IF(AND(F58="LAIT",E58="CLIENT D"),(S58*952.4),IF(AND(F58="HUILE",E58="CLIENT S+D"),((S58*3809.53+(VLOOKUP(H58,'BASE '!$I$112:$J$142,2,0)))-((S58*3809.53)*G58)),IF(AND(F58="LAIT",E58="CLIENT S+D"),((S58*952.4)-((S58*952.4)*G58)),IF(AND(E58="CLIENT S",F58="LAIT"),((S58*952.4)-((S58*952.4)*G58)),IF(AND(F58="HUILE",E58="CLIENT S"),(VLOOKUP(H58,'BASE '!$I$112:$J$142,2,0)+(VLOOKUP(S58,'BASE '!#REF!,2,0)))-(G58*((VLOOKUP(S58,'BASE '!#REF!,2,0)+(VLOOKUP(H58,'BASE '!$I$112:$J$142,2,0))))))))))))))))</f>
        <v>0</v>
      </c>
      <c r="P58" s="52" t="b">
        <f t="shared" si="1"/>
        <v>0</v>
      </c>
      <c r="Q58" s="53" t="b">
        <f t="shared" si="2"/>
        <v>0</v>
      </c>
      <c r="R58" s="152" t="s">
        <v>175</v>
      </c>
      <c r="S58" s="184">
        <f t="shared" si="6"/>
        <v>0</v>
      </c>
      <c r="T58" s="124"/>
      <c r="U58" s="41" t="s">
        <v>175</v>
      </c>
      <c r="V58" s="70" t="e">
        <f>VLOOKUP(U58,'BASE '!$A$4:$H$144,2,0)</f>
        <v>#N/A</v>
      </c>
      <c r="W58" s="159"/>
      <c r="X58" s="159"/>
      <c r="Y58" s="160"/>
      <c r="Z58" s="158" t="e">
        <f>VLOOKUP(U58,'BASE '!$A$4:$H$144,3,0)</f>
        <v>#N/A</v>
      </c>
      <c r="AA58" s="94" t="e">
        <f t="shared" si="3"/>
        <v>#N/A</v>
      </c>
      <c r="AB58" s="95" t="e">
        <f>VLOOKUP(U58,'BASE '!$A$4:$H$144,6,0)*Y58/100</f>
        <v>#N/A</v>
      </c>
      <c r="AC58" s="95" t="e">
        <f>VLOOKUP(U58,'BASE '!$A$4:$H$144,7,0)*Y58/100</f>
        <v>#N/A</v>
      </c>
      <c r="AD58" s="95" t="e">
        <f>VLOOKUP(U58,'BASE '!$A$4:$H$144,8,0)*Y58/100</f>
        <v>#N/A</v>
      </c>
      <c r="AE58" s="96" t="e">
        <f t="shared" si="7"/>
        <v>#N/A</v>
      </c>
      <c r="AF58" s="431"/>
      <c r="AG58" s="1" t="s">
        <v>155</v>
      </c>
      <c r="AH58" s="36" t="e">
        <f>SUMIFS($H$6:$H$165,$D$6:$D$165,AF57,CHOIX,AG58)</f>
        <v>#NAME?</v>
      </c>
      <c r="AI58" s="36" t="e">
        <f>SUMIFS($I$6:$I$165,$D$6:$D$165,AF57,CHOIX,AG58)</f>
        <v>#NAME?</v>
      </c>
      <c r="AJ58" s="36" t="e">
        <f>SUMIFS($J$6:$J$165,$D$6:$D$165,AF57,CHOIX,AG58)</f>
        <v>#NAME?</v>
      </c>
      <c r="AK58" s="36" t="e">
        <f>SUMIFS($K$6:$K$165,$D$6:$D$165,AF57,CHOIX,AG58)</f>
        <v>#NAME?</v>
      </c>
      <c r="AL58" s="36" t="e">
        <f>SUMIFS($L$6:$L$165,$D$6:$D$165,AF57,CHOIX,AG58)</f>
        <v>#NAME?</v>
      </c>
      <c r="AM58" s="36" t="e">
        <f>SUMIFS($M$6:$M$165,$D$6:$D$165,AF57,CHOIX,AG58)</f>
        <v>#NAME?</v>
      </c>
      <c r="AN58" s="1" t="s">
        <v>155</v>
      </c>
      <c r="AO58" s="83"/>
      <c r="AP58" s="63"/>
      <c r="AQ58" s="63"/>
      <c r="AR58" s="63"/>
      <c r="AS58" s="79"/>
      <c r="AT58" s="79"/>
      <c r="AU58" s="55" t="e">
        <f>SUMIFS($O$6:$O$165,$D$6:$D$165,AF57,CHOIX,AG58)</f>
        <v>#NAME?</v>
      </c>
      <c r="AV58" s="80" t="e">
        <f>SUMIFS($Q$6:$Q$165,$D$6:$D$165,AF57,CHOIX,AG58)</f>
        <v>#NAME?</v>
      </c>
      <c r="AZ58" s="8"/>
      <c r="BA58" s="148"/>
      <c r="BB58" s="148"/>
      <c r="BC58" s="148"/>
      <c r="BD58" s="10"/>
      <c r="BE58" s="10"/>
      <c r="BF58" s="10"/>
      <c r="BG58" s="10"/>
      <c r="BH58" s="10"/>
      <c r="BI58" s="10"/>
      <c r="BJ58" s="10"/>
      <c r="BK58" s="10"/>
      <c r="BL58" s="10"/>
      <c r="BM58" s="147">
        <f t="shared" si="8"/>
        <v>0</v>
      </c>
      <c r="BN58" s="147">
        <f t="shared" si="9"/>
        <v>0</v>
      </c>
      <c r="BO58" s="149"/>
      <c r="DN58" s="116" t="e">
        <f>(($I$5*#REF!)/100)+((#REF!*$J$5)/100)+(($K$5*#REF!)/100)+($L$5*#REF!)+($M$5*#REF!)</f>
        <v>#REF!</v>
      </c>
    </row>
    <row r="59" spans="2:118" x14ac:dyDescent="0.3">
      <c r="B59" s="64"/>
      <c r="C59" s="148"/>
      <c r="D59" s="109"/>
      <c r="E59" s="63"/>
      <c r="F59" s="127"/>
      <c r="G59" s="50"/>
      <c r="H59" s="10"/>
      <c r="I59" s="10"/>
      <c r="J59" s="10"/>
      <c r="K59" s="10"/>
      <c r="L59" s="10"/>
      <c r="M59" s="39"/>
      <c r="N59" s="33">
        <f t="shared" si="0"/>
        <v>0</v>
      </c>
      <c r="O59" s="52" t="b">
        <f>IF(AND(E59="CLIENT S+L",F59="HUILE"),(S59*3333.33+(VLOOKUP(H59,'BASE '!$I$112:$J$142,2,0)))-((S59*3333.33)*G59),IF(AND(E59="CLIENT S+L",F59="LAIT"),((S59*952.4)-(S59*952.4)*G59),IF(E59="CLIENT O","OFFERT",IF(AND(F59="HUILE",E59="CLIENT L"),(((VLOOKUP(H59,'BASE '!$I$112:$J$142,2,0))+(VLOOKUP(S59,'BASE '!#REF!,2,0)))),IF(AND(F59="LAIT",E59="CLIENT L"),(S59*952.4),IF(AND(F59="HUILE",E59="CLIENT D"),(S59*3809.53+(VLOOKUP(H59,'BASE '!$I$112:$J$142,2,0))),IF(AND(F59="LAIT",E59="CLIENT D"),(S59*952.4),IF(AND(F59="HUILE",E59="CLIENT S+D"),((S59*3809.53+(VLOOKUP(H59,'BASE '!$I$112:$J$142,2,0)))-((S59*3809.53)*G59)),IF(AND(F59="LAIT",E59="CLIENT S+D"),((S59*952.4)-((S59*952.4)*G59)),IF(AND(E59="CLIENT S",F59="LAIT"),((S59*952.4)-((S59*952.4)*G59)),IF(AND(F59="HUILE",E59="CLIENT S"),(VLOOKUP(H59,'BASE '!$I$112:$J$142,2,0)+(VLOOKUP(S59,'BASE '!#REF!,2,0)))-(G59*((VLOOKUP(S59,'BASE '!#REF!,2,0)+(VLOOKUP(H59,'BASE '!$I$112:$J$142,2,0))))))))))))))))</f>
        <v>0</v>
      </c>
      <c r="P59" s="52" t="b">
        <f t="shared" si="1"/>
        <v>0</v>
      </c>
      <c r="Q59" s="53" t="b">
        <f t="shared" si="2"/>
        <v>0</v>
      </c>
      <c r="R59" s="152" t="s">
        <v>175</v>
      </c>
      <c r="S59" s="184">
        <f t="shared" si="6"/>
        <v>0</v>
      </c>
      <c r="T59" s="124"/>
      <c r="U59" s="41" t="s">
        <v>175</v>
      </c>
      <c r="V59" s="70" t="e">
        <f>VLOOKUP(U59,'BASE '!$A$4:$H$144,2,0)</f>
        <v>#N/A</v>
      </c>
      <c r="W59" s="159"/>
      <c r="X59" s="159"/>
      <c r="Y59" s="160"/>
      <c r="Z59" s="158" t="e">
        <f>VLOOKUP(U59,'BASE '!$A$4:$H$144,3,0)</f>
        <v>#N/A</v>
      </c>
      <c r="AA59" s="94" t="e">
        <f t="shared" si="3"/>
        <v>#N/A</v>
      </c>
      <c r="AB59" s="95" t="e">
        <f>VLOOKUP(U59,'BASE '!$A$4:$H$144,6,0)*Y59/100</f>
        <v>#N/A</v>
      </c>
      <c r="AC59" s="95" t="e">
        <f>VLOOKUP(U59,'BASE '!$A$4:$H$144,7,0)*Y59/100</f>
        <v>#N/A</v>
      </c>
      <c r="AD59" s="95" t="e">
        <f>VLOOKUP(U59,'BASE '!$A$4:$H$144,8,0)*Y59/100</f>
        <v>#N/A</v>
      </c>
      <c r="AE59" s="96" t="e">
        <f t="shared" si="7"/>
        <v>#N/A</v>
      </c>
      <c r="AF59" s="431"/>
      <c r="AG59" s="91" t="s">
        <v>157</v>
      </c>
      <c r="AH59" s="36" t="e">
        <f>SUMIFS($H$6:$H$165,$D$6:$D$165,AF59,CHOIX,AG59)</f>
        <v>#NAME?</v>
      </c>
      <c r="AI59" s="36" t="e">
        <f>SUMIFS($I$6:$I$165,$D$6:$D$165,AF59,CHOIX,AG59)</f>
        <v>#NAME?</v>
      </c>
      <c r="AJ59" s="36" t="e">
        <f>SUMIFS($J$6:$J$165,$D$6:$D$165,AF59,CHOIX,AG59)</f>
        <v>#NAME?</v>
      </c>
      <c r="AK59" s="36" t="e">
        <f>SUMIFS($K$6:$K$165,$D$6:$D$165,AF59,CHOIX,AG59)</f>
        <v>#NAME?</v>
      </c>
      <c r="AL59" s="36" t="e">
        <f>SUMIFS($L$6:$L$165,$D$6:$D$165,AF59,CHOIX,AG59)</f>
        <v>#NAME?</v>
      </c>
      <c r="AM59" s="36" t="e">
        <f>SUMIFS($M$6:$M$165,$D$6:$D$165,AF59,CHOIX,AG59)</f>
        <v>#NAME?</v>
      </c>
      <c r="AN59" s="91" t="s">
        <v>157</v>
      </c>
      <c r="AO59" s="83"/>
      <c r="AP59" s="63"/>
      <c r="AQ59" s="63"/>
      <c r="AR59" s="63"/>
      <c r="AS59" s="79"/>
      <c r="AT59" s="79"/>
      <c r="AU59" s="55" t="e">
        <f>SUMIFS($O$6:$O$165,$D$6:$D$165,AF59,CHOIX,AG59)</f>
        <v>#NAME?</v>
      </c>
      <c r="AV59" s="80" t="e">
        <f>SUMIFS($Q$6:$Q$165,$D$6:$D$165,AF59,CHOIX,AG59)</f>
        <v>#NAME?</v>
      </c>
      <c r="AZ59" s="8"/>
      <c r="BA59" s="148"/>
      <c r="BB59" s="148"/>
      <c r="BC59" s="148"/>
      <c r="BD59" s="10"/>
      <c r="BE59" s="10"/>
      <c r="BF59" s="10"/>
      <c r="BG59" s="10"/>
      <c r="BH59" s="10"/>
      <c r="BI59" s="10"/>
      <c r="BJ59" s="10"/>
      <c r="BK59" s="10"/>
      <c r="BL59" s="10"/>
      <c r="BM59" s="147">
        <f t="shared" si="8"/>
        <v>0</v>
      </c>
      <c r="BN59" s="147">
        <f t="shared" si="9"/>
        <v>0</v>
      </c>
      <c r="BO59" s="149"/>
      <c r="DN59" s="116" t="e">
        <f>(($I$5*#REF!)/100)+((#REF!*$J$5)/100)+(($K$5*#REF!)/100)+($L$5*#REF!)+($M$5*#REF!)</f>
        <v>#REF!</v>
      </c>
    </row>
    <row r="60" spans="2:118" x14ac:dyDescent="0.3">
      <c r="B60" s="64"/>
      <c r="C60" s="148"/>
      <c r="D60" s="109"/>
      <c r="E60" s="63"/>
      <c r="F60" s="127"/>
      <c r="G60" s="50"/>
      <c r="H60" s="10"/>
      <c r="I60" s="10"/>
      <c r="J60" s="10"/>
      <c r="K60" s="10"/>
      <c r="L60" s="10"/>
      <c r="M60" s="39"/>
      <c r="N60" s="33">
        <f t="shared" si="0"/>
        <v>0</v>
      </c>
      <c r="O60" s="52" t="b">
        <f>IF(AND(E60="CLIENT S+L",F60="HUILE"),(S60*3333.33+(VLOOKUP(H60,'BASE '!$I$112:$J$142,2,0)))-((S60*3333.33)*G60),IF(AND(E60="CLIENT S+L",F60="LAIT"),((S60*952.4)-(S60*952.4)*G60),IF(E60="CLIENT O","OFFERT",IF(AND(F60="HUILE",E60="CLIENT L"),(((VLOOKUP(H60,'BASE '!$I$112:$J$142,2,0))+(VLOOKUP(S60,'BASE '!#REF!,2,0)))),IF(AND(F60="LAIT",E60="CLIENT L"),(S60*952.4),IF(AND(F60="HUILE",E60="CLIENT D"),(S60*3809.53+(VLOOKUP(H60,'BASE '!$I$112:$J$142,2,0))),IF(AND(F60="LAIT",E60="CLIENT D"),(S60*952.4),IF(AND(F60="HUILE",E60="CLIENT S+D"),((S60*3809.53+(VLOOKUP(H60,'BASE '!$I$112:$J$142,2,0)))-((S60*3809.53)*G60)),IF(AND(F60="LAIT",E60="CLIENT S+D"),((S60*952.4)-((S60*952.4)*G60)),IF(AND(E60="CLIENT S",F60="LAIT"),((S60*952.4)-((S60*952.4)*G60)),IF(AND(F60="HUILE",E60="CLIENT S"),(VLOOKUP(H60,'BASE '!$I$112:$J$142,2,0)+(VLOOKUP(S60,'BASE '!#REF!,2,0)))-(G60*((VLOOKUP(S60,'BASE '!#REF!,2,0)+(VLOOKUP(H60,'BASE '!$I$112:$J$142,2,0))))))))))))))))</f>
        <v>0</v>
      </c>
      <c r="P60" s="52" t="b">
        <f t="shared" si="1"/>
        <v>0</v>
      </c>
      <c r="Q60" s="53" t="b">
        <f t="shared" si="2"/>
        <v>0</v>
      </c>
      <c r="R60" s="152" t="s">
        <v>175</v>
      </c>
      <c r="S60" s="184">
        <f t="shared" si="6"/>
        <v>0</v>
      </c>
      <c r="T60" s="124"/>
      <c r="U60" s="41" t="s">
        <v>175</v>
      </c>
      <c r="V60" s="70" t="e">
        <f>VLOOKUP(U60,'BASE '!$A$4:$H$144,2,0)</f>
        <v>#N/A</v>
      </c>
      <c r="W60" s="159"/>
      <c r="X60" s="159"/>
      <c r="Y60" s="160"/>
      <c r="Z60" s="158" t="e">
        <f>VLOOKUP(U60,'BASE '!$A$4:$H$144,3,0)</f>
        <v>#N/A</v>
      </c>
      <c r="AA60" s="94" t="e">
        <f t="shared" si="3"/>
        <v>#N/A</v>
      </c>
      <c r="AB60" s="95" t="e">
        <f>VLOOKUP(U60,'BASE '!$A$4:$H$144,6,0)*Y60/100</f>
        <v>#N/A</v>
      </c>
      <c r="AC60" s="95" t="e">
        <f>VLOOKUP(U60,'BASE '!$A$4:$H$144,7,0)*Y60/100</f>
        <v>#N/A</v>
      </c>
      <c r="AD60" s="95" t="e">
        <f>VLOOKUP(U60,'BASE '!$A$4:$H$144,8,0)*Y60/100</f>
        <v>#N/A</v>
      </c>
      <c r="AE60" s="96" t="e">
        <f t="shared" si="7"/>
        <v>#N/A</v>
      </c>
      <c r="AF60" s="431"/>
      <c r="AG60" s="1" t="s">
        <v>155</v>
      </c>
      <c r="AH60" s="36" t="e">
        <f>SUMIFS($H$6:$H$165,$D$6:$D$165,AF59,CHOIX,AG60)</f>
        <v>#NAME?</v>
      </c>
      <c r="AI60" s="36" t="e">
        <f>SUMIFS($I$6:$I$165,$D$6:$D$165,AF59,CHOIX,AG60)</f>
        <v>#NAME?</v>
      </c>
      <c r="AJ60" s="36" t="e">
        <f>SUMIFS($J$6:$J$165,$D$6:$D$165,AF59,CHOIX,AG60)</f>
        <v>#NAME?</v>
      </c>
      <c r="AK60" s="36" t="e">
        <f>SUMIFS($K$6:$K$165,$D$6:$D$165,AF59,CHOIX,AG60)</f>
        <v>#NAME?</v>
      </c>
      <c r="AL60" s="36" t="e">
        <f>SUMIFS($L$6:$L$165,$D$6:$D$165,AF59,CHOIX,AG60)</f>
        <v>#NAME?</v>
      </c>
      <c r="AM60" s="36" t="e">
        <f>SUMIFS($M$6:$M$165,$D$6:$D$165,AF59,CHOIX,AG60)</f>
        <v>#NAME?</v>
      </c>
      <c r="AN60" s="1" t="s">
        <v>155</v>
      </c>
      <c r="AO60" s="83"/>
      <c r="AP60" s="63"/>
      <c r="AQ60" s="63"/>
      <c r="AR60" s="63"/>
      <c r="AS60" s="79"/>
      <c r="AT60" s="79"/>
      <c r="AU60" s="55" t="e">
        <f>SUMIFS($O$6:$O$165,$D$6:$D$165,AF59,CHOIX,AG60)</f>
        <v>#NAME?</v>
      </c>
      <c r="AV60" s="80" t="e">
        <f>SUMIFS($Q$6:$Q$165,$D$6:$D$165,AF59,CHOIX,AG60)</f>
        <v>#NAME?</v>
      </c>
      <c r="AZ60" s="8"/>
      <c r="BA60" s="148"/>
      <c r="BB60" s="148"/>
      <c r="BC60" s="148"/>
      <c r="BD60" s="10"/>
      <c r="BE60" s="10"/>
      <c r="BF60" s="10"/>
      <c r="BG60" s="10"/>
      <c r="BH60" s="10"/>
      <c r="BI60" s="10"/>
      <c r="BJ60" s="10"/>
      <c r="BK60" s="10"/>
      <c r="BL60" s="10"/>
      <c r="BM60" s="147">
        <f t="shared" si="8"/>
        <v>0</v>
      </c>
      <c r="BN60" s="147">
        <f t="shared" si="9"/>
        <v>0</v>
      </c>
      <c r="BO60" s="149"/>
      <c r="DN60" s="116" t="e">
        <f>(($I$5*#REF!)/100)+((#REF!*$J$5)/100)+(($K$5*#REF!)/100)+($L$5*#REF!)+($M$5*#REF!)</f>
        <v>#REF!</v>
      </c>
    </row>
    <row r="61" spans="2:118" ht="15" thickBot="1" x14ac:dyDescent="0.35">
      <c r="B61" s="64"/>
      <c r="C61" s="148"/>
      <c r="D61" s="109"/>
      <c r="E61" s="63"/>
      <c r="F61" s="127"/>
      <c r="G61" s="50"/>
      <c r="H61" s="10"/>
      <c r="I61" s="10"/>
      <c r="J61" s="10"/>
      <c r="K61" s="10"/>
      <c r="L61" s="10"/>
      <c r="M61" s="39"/>
      <c r="N61" s="33">
        <f t="shared" si="0"/>
        <v>0</v>
      </c>
      <c r="O61" s="52" t="b">
        <f>IF(AND(E61="CLIENT S+L",F61="HUILE"),(S61*3333.33+(VLOOKUP(H61,'BASE '!$I$112:$J$142,2,0)))-((S61*3333.33)*G61),IF(AND(E61="CLIENT S+L",F61="LAIT"),((S61*952.4)-(S61*952.4)*G61),IF(E61="CLIENT O","OFFERT",IF(AND(F61="HUILE",E61="CLIENT L"),(((VLOOKUP(H61,'BASE '!$I$112:$J$142,2,0))+(VLOOKUP(S61,'BASE '!#REF!,2,0)))),IF(AND(F61="LAIT",E61="CLIENT L"),(S61*952.4),IF(AND(F61="HUILE",E61="CLIENT D"),(S61*3809.53+(VLOOKUP(H61,'BASE '!$I$112:$J$142,2,0))),IF(AND(F61="LAIT",E61="CLIENT D"),(S61*952.4),IF(AND(F61="HUILE",E61="CLIENT S+D"),((S61*3809.53+(VLOOKUP(H61,'BASE '!$I$112:$J$142,2,0)))-((S61*3809.53)*G61)),IF(AND(F61="LAIT",E61="CLIENT S+D"),((S61*952.4)-((S61*952.4)*G61)),IF(AND(E61="CLIENT S",F61="LAIT"),((S61*952.4)-((S61*952.4)*G61)),IF(AND(F61="HUILE",E61="CLIENT S"),(VLOOKUP(H61,'BASE '!$I$112:$J$142,2,0)+(VLOOKUP(S61,'BASE '!#REF!,2,0)))-(G61*((VLOOKUP(S61,'BASE '!#REF!,2,0)+(VLOOKUP(H61,'BASE '!$I$112:$J$142,2,0))))))))))))))))</f>
        <v>0</v>
      </c>
      <c r="P61" s="52" t="b">
        <f t="shared" si="1"/>
        <v>0</v>
      </c>
      <c r="Q61" s="53" t="b">
        <f t="shared" si="2"/>
        <v>0</v>
      </c>
      <c r="R61" s="152" t="s">
        <v>175</v>
      </c>
      <c r="S61" s="184">
        <f t="shared" si="6"/>
        <v>0</v>
      </c>
      <c r="T61" s="124"/>
      <c r="U61" s="41" t="s">
        <v>175</v>
      </c>
      <c r="V61" s="70" t="e">
        <f>VLOOKUP(U61,'BASE '!$A$4:$H$144,2,0)</f>
        <v>#N/A</v>
      </c>
      <c r="W61" s="159"/>
      <c r="X61" s="159"/>
      <c r="Y61" s="160"/>
      <c r="Z61" s="158" t="e">
        <f>VLOOKUP(U61,'BASE '!$A$4:$H$144,3,0)</f>
        <v>#N/A</v>
      </c>
      <c r="AA61" s="94" t="e">
        <f t="shared" si="3"/>
        <v>#N/A</v>
      </c>
      <c r="AB61" s="95" t="e">
        <f>VLOOKUP(U61,'BASE '!$A$4:$H$144,6,0)*Y61/100</f>
        <v>#N/A</v>
      </c>
      <c r="AC61" s="95" t="e">
        <f>VLOOKUP(U61,'BASE '!$A$4:$H$144,7,0)*Y61/100</f>
        <v>#N/A</v>
      </c>
      <c r="AD61" s="95" t="e">
        <f>VLOOKUP(U61,'BASE '!$A$4:$H$144,8,0)*Y61/100</f>
        <v>#N/A</v>
      </c>
      <c r="AE61" s="96" t="e">
        <f t="shared" si="7"/>
        <v>#N/A</v>
      </c>
      <c r="AF61" s="431"/>
      <c r="AG61" s="91" t="s">
        <v>157</v>
      </c>
      <c r="AH61" s="36" t="e">
        <f>SUMIFS($H$6:$H$165,$D$6:$D$165,AF61,CHOIX,AG61)</f>
        <v>#NAME?</v>
      </c>
      <c r="AI61" s="36" t="e">
        <f>SUMIFS($I$6:$I$165,$D$6:$D$165,AF61,CHOIX,AG61)</f>
        <v>#NAME?</v>
      </c>
      <c r="AJ61" s="36" t="e">
        <f>SUMIFS($J$6:$J$165,$D$6:$D$165,AF61,CHOIX,AG61)</f>
        <v>#NAME?</v>
      </c>
      <c r="AK61" s="36" t="e">
        <f>SUMIFS($K$6:$K$165,$D$6:$D$165,AF61,CHOIX,AG61)</f>
        <v>#NAME?</v>
      </c>
      <c r="AL61" s="36" t="e">
        <f>SUMIFS($L$6:$L$165,$D$6:$D$165,AF61,CHOIX,AG61)</f>
        <v>#NAME?</v>
      </c>
      <c r="AM61" s="36" t="e">
        <f>SUMIFS($M$6:$M$165,$D$6:$D$165,AF61,CHOIX,AG61)</f>
        <v>#NAME?</v>
      </c>
      <c r="AN61" s="91" t="s">
        <v>157</v>
      </c>
      <c r="AO61" s="83"/>
      <c r="AP61" s="63"/>
      <c r="AQ61" s="63"/>
      <c r="AR61" s="63"/>
      <c r="AS61" s="79"/>
      <c r="AT61" s="79"/>
      <c r="AU61" s="55" t="e">
        <f>SUMIFS($O$6:$O$165,$D$6:$D$165,AF61,CHOIX,AG61)</f>
        <v>#NAME?</v>
      </c>
      <c r="AV61" s="80" t="e">
        <f>SUMIFS($Q$6:$Q$165,$D$6:$D$165,AF61,CHOIX,AG61)</f>
        <v>#NAME?</v>
      </c>
      <c r="AZ61" s="102"/>
      <c r="BA61" s="156"/>
      <c r="BB61" s="156"/>
      <c r="BC61" s="156"/>
      <c r="BD61" s="103"/>
      <c r="BE61" s="103"/>
      <c r="BF61" s="103"/>
      <c r="BG61" s="103"/>
      <c r="BH61" s="103"/>
      <c r="BI61" s="103"/>
      <c r="BJ61" s="103"/>
      <c r="BK61" s="103"/>
      <c r="BL61" s="103"/>
      <c r="BM61" s="155">
        <f t="shared" si="8"/>
        <v>0</v>
      </c>
      <c r="BN61" s="106">
        <f t="shared" si="9"/>
        <v>0</v>
      </c>
      <c r="BO61" s="157"/>
      <c r="DN61" s="116" t="e">
        <f>(($I$5*#REF!)/100)+((#REF!*$J$5)/100)+(($K$5*#REF!)/100)+($L$5*#REF!)+($M$5*#REF!)</f>
        <v>#REF!</v>
      </c>
    </row>
    <row r="62" spans="2:118" ht="15.6" thickTop="1" thickBot="1" x14ac:dyDescent="0.35">
      <c r="B62" s="64"/>
      <c r="C62" s="148"/>
      <c r="D62" s="109"/>
      <c r="E62" s="63"/>
      <c r="F62" s="127"/>
      <c r="G62" s="50"/>
      <c r="H62" s="10"/>
      <c r="I62" s="10"/>
      <c r="J62" s="10"/>
      <c r="K62" s="10"/>
      <c r="L62" s="10"/>
      <c r="M62" s="39"/>
      <c r="N62" s="33">
        <f t="shared" si="0"/>
        <v>0</v>
      </c>
      <c r="O62" s="52" t="b">
        <f>IF(AND(E62="CLIENT S+L",F62="HUILE"),(S62*3333.33+(VLOOKUP(H62,'BASE '!$I$112:$J$142,2,0)))-((S62*3333.33)*G62),IF(AND(E62="CLIENT S+L",F62="LAIT"),((S62*952.4)-(S62*952.4)*G62),IF(E62="CLIENT O","OFFERT",IF(AND(F62="HUILE",E62="CLIENT L"),(((VLOOKUP(H62,'BASE '!$I$112:$J$142,2,0))+(VLOOKUP(S62,'BASE '!#REF!,2,0)))),IF(AND(F62="LAIT",E62="CLIENT L"),(S62*952.4),IF(AND(F62="HUILE",E62="CLIENT D"),(S62*3809.53+(VLOOKUP(H62,'BASE '!$I$112:$J$142,2,0))),IF(AND(F62="LAIT",E62="CLIENT D"),(S62*952.4),IF(AND(F62="HUILE",E62="CLIENT S+D"),((S62*3809.53+(VLOOKUP(H62,'BASE '!$I$112:$J$142,2,0)))-((S62*3809.53)*G62)),IF(AND(F62="LAIT",E62="CLIENT S+D"),((S62*952.4)-((S62*952.4)*G62)),IF(AND(E62="CLIENT S",F62="LAIT"),((S62*952.4)-((S62*952.4)*G62)),IF(AND(F62="HUILE",E62="CLIENT S"),(VLOOKUP(H62,'BASE '!$I$112:$J$142,2,0)+(VLOOKUP(S62,'BASE '!#REF!,2,0)))-(G62*((VLOOKUP(S62,'BASE '!#REF!,2,0)+(VLOOKUP(H62,'BASE '!$I$112:$J$142,2,0))))))))))))))))</f>
        <v>0</v>
      </c>
      <c r="P62" s="52" t="b">
        <f t="shared" si="1"/>
        <v>0</v>
      </c>
      <c r="Q62" s="53" t="b">
        <f t="shared" si="2"/>
        <v>0</v>
      </c>
      <c r="R62" s="152" t="s">
        <v>175</v>
      </c>
      <c r="S62" s="184">
        <f t="shared" si="6"/>
        <v>0</v>
      </c>
      <c r="T62" s="124"/>
      <c r="U62" s="41" t="s">
        <v>175</v>
      </c>
      <c r="V62" s="70" t="e">
        <f>VLOOKUP(U62,'BASE '!$A$4:$H$144,2,0)</f>
        <v>#N/A</v>
      </c>
      <c r="W62" s="159"/>
      <c r="X62" s="159"/>
      <c r="Y62" s="160"/>
      <c r="Z62" s="158" t="e">
        <f>VLOOKUP(U62,'BASE '!$A$4:$H$144,3,0)</f>
        <v>#N/A</v>
      </c>
      <c r="AA62" s="94" t="e">
        <f t="shared" si="3"/>
        <v>#N/A</v>
      </c>
      <c r="AB62" s="95" t="e">
        <f>VLOOKUP(U62,'BASE '!$A$4:$H$144,6,0)*Y62/100</f>
        <v>#N/A</v>
      </c>
      <c r="AC62" s="95" t="e">
        <f>VLOOKUP(U62,'BASE '!$A$4:$H$144,7,0)*Y62/100</f>
        <v>#N/A</v>
      </c>
      <c r="AD62" s="95" t="e">
        <f>VLOOKUP(U62,'BASE '!$A$4:$H$144,8,0)*Y62/100</f>
        <v>#N/A</v>
      </c>
      <c r="AE62" s="96" t="e">
        <f t="shared" si="7"/>
        <v>#N/A</v>
      </c>
      <c r="AF62" s="431"/>
      <c r="AG62" s="1" t="s">
        <v>155</v>
      </c>
      <c r="AH62" s="36" t="e">
        <f>SUMIFS($H$6:$H$165,$D$6:$D$165,AF61,CHOIX,AG62)</f>
        <v>#NAME?</v>
      </c>
      <c r="AI62" s="36" t="e">
        <f>SUMIFS($I$6:$I$165,$D$6:$D$165,AF61,CHOIX,AG62)</f>
        <v>#NAME?</v>
      </c>
      <c r="AJ62" s="36" t="e">
        <f>SUMIFS($J$6:$J$165,$D$6:$D$165,AF61,CHOIX,AG62)</f>
        <v>#NAME?</v>
      </c>
      <c r="AK62" s="36" t="e">
        <f>SUMIFS($K$6:$K$165,$D$6:$D$165,AF61,CHOIX,AG62)</f>
        <v>#NAME?</v>
      </c>
      <c r="AL62" s="36" t="e">
        <f>SUMIFS($L$6:$L$165,$D$6:$D$165,AF61,CHOIX,AG62)</f>
        <v>#NAME?</v>
      </c>
      <c r="AM62" s="36" t="e">
        <f>SUMIFS($M$6:$M$165,$D$6:$D$165,AF61,CHOIX,AG62)</f>
        <v>#NAME?</v>
      </c>
      <c r="AN62" s="1" t="s">
        <v>155</v>
      </c>
      <c r="AO62" s="83"/>
      <c r="AP62" s="63"/>
      <c r="AQ62" s="63"/>
      <c r="AR62" s="63"/>
      <c r="AS62" s="79"/>
      <c r="AT62" s="79"/>
      <c r="AU62" s="55" t="e">
        <f>SUMIFS($O$6:$O$165,$D$6:$D$165,AF61,CHOIX,AG62)</f>
        <v>#NAME?</v>
      </c>
      <c r="AV62" s="80" t="e">
        <f>SUMIFS($Q$6:$Q$165,$D$6:$D$165,AF61,CHOIX,AG62)</f>
        <v>#NAME?</v>
      </c>
      <c r="AZ62" s="13" t="s">
        <v>62</v>
      </c>
      <c r="BA62" s="469">
        <f>SUM(BA6:BA61)</f>
        <v>0</v>
      </c>
      <c r="BB62" s="469"/>
      <c r="BC62" s="469"/>
      <c r="BD62" s="469"/>
      <c r="BE62" s="469"/>
      <c r="BF62" s="469"/>
      <c r="BG62" s="469"/>
      <c r="BH62" s="469"/>
      <c r="BI62" s="469"/>
      <c r="BJ62" s="469"/>
      <c r="BK62" s="469"/>
      <c r="BL62" s="469"/>
      <c r="BM62" s="469"/>
      <c r="BN62" s="469"/>
      <c r="BO62" s="469"/>
      <c r="DN62" s="116" t="e">
        <f>(($I$5*#REF!)/100)+((#REF!*$J$5)/100)+(($K$5*#REF!)/100)+($L$5*#REF!)+($M$5*#REF!)</f>
        <v>#REF!</v>
      </c>
    </row>
    <row r="63" spans="2:118" ht="15" thickBot="1" x14ac:dyDescent="0.35">
      <c r="B63" s="64"/>
      <c r="C63" s="148"/>
      <c r="D63" s="109"/>
      <c r="E63" s="63"/>
      <c r="F63" s="127"/>
      <c r="G63" s="50"/>
      <c r="H63" s="10"/>
      <c r="I63" s="10"/>
      <c r="J63" s="10"/>
      <c r="K63" s="10"/>
      <c r="L63" s="10"/>
      <c r="M63" s="39"/>
      <c r="N63" s="33">
        <f t="shared" si="0"/>
        <v>0</v>
      </c>
      <c r="O63" s="52" t="b">
        <f>IF(AND(E63="CLIENT S+L",F63="HUILE"),(S63*3333.33+(VLOOKUP(H63,'BASE '!$I$112:$J$142,2,0)))-((S63*3333.33)*G63),IF(AND(E63="CLIENT S+L",F63="LAIT"),((S63*952.4)-(S63*952.4)*G63),IF(E63="CLIENT O","OFFERT",IF(AND(F63="HUILE",E63="CLIENT L"),(((VLOOKUP(H63,'BASE '!$I$112:$J$142,2,0))+(VLOOKUP(S63,'BASE '!#REF!,2,0)))),IF(AND(F63="LAIT",E63="CLIENT L"),(S63*952.4),IF(AND(F63="HUILE",E63="CLIENT D"),(S63*3809.53+(VLOOKUP(H63,'BASE '!$I$112:$J$142,2,0))),IF(AND(F63="LAIT",E63="CLIENT D"),(S63*952.4),IF(AND(F63="HUILE",E63="CLIENT S+D"),((S63*3809.53+(VLOOKUP(H63,'BASE '!$I$112:$J$142,2,0)))-((S63*3809.53)*G63)),IF(AND(F63="LAIT",E63="CLIENT S+D"),((S63*952.4)-((S63*952.4)*G63)),IF(AND(E63="CLIENT S",F63="LAIT"),((S63*952.4)-((S63*952.4)*G63)),IF(AND(F63="HUILE",E63="CLIENT S"),(VLOOKUP(H63,'BASE '!$I$112:$J$142,2,0)+(VLOOKUP(S63,'BASE '!#REF!,2,0)))-(G63*((VLOOKUP(S63,'BASE '!#REF!,2,0)+(VLOOKUP(H63,'BASE '!$I$112:$J$142,2,0))))))))))))))))</f>
        <v>0</v>
      </c>
      <c r="P63" s="52" t="b">
        <f t="shared" si="1"/>
        <v>0</v>
      </c>
      <c r="Q63" s="53" t="b">
        <f t="shared" si="2"/>
        <v>0</v>
      </c>
      <c r="R63" s="152" t="s">
        <v>175</v>
      </c>
      <c r="S63" s="184">
        <f t="shared" si="6"/>
        <v>0</v>
      </c>
      <c r="T63" s="124"/>
      <c r="U63" s="41" t="s">
        <v>175</v>
      </c>
      <c r="V63" s="70" t="e">
        <f>VLOOKUP(U63,'BASE '!$A$4:$H$144,2,0)</f>
        <v>#N/A</v>
      </c>
      <c r="W63" s="159"/>
      <c r="X63" s="159"/>
      <c r="Y63" s="160"/>
      <c r="Z63" s="158" t="e">
        <f>VLOOKUP(U63,'BASE '!$A$4:$H$144,3,0)</f>
        <v>#N/A</v>
      </c>
      <c r="AA63" s="94" t="e">
        <f t="shared" si="3"/>
        <v>#N/A</v>
      </c>
      <c r="AB63" s="95" t="e">
        <f>VLOOKUP(U63,'BASE '!$A$4:$H$144,6,0)*Y63/100</f>
        <v>#N/A</v>
      </c>
      <c r="AC63" s="95" t="e">
        <f>VLOOKUP(U63,'BASE '!$A$4:$H$144,7,0)*Y63/100</f>
        <v>#N/A</v>
      </c>
      <c r="AD63" s="95" t="e">
        <f>VLOOKUP(U63,'BASE '!$A$4:$H$144,8,0)*Y63/100</f>
        <v>#N/A</v>
      </c>
      <c r="AE63" s="96" t="e">
        <f t="shared" si="7"/>
        <v>#N/A</v>
      </c>
      <c r="AF63" s="431"/>
      <c r="AG63" s="91" t="s">
        <v>157</v>
      </c>
      <c r="AH63" s="36" t="e">
        <f>SUMIFS($H$6:$H$165,$D$6:$D$165,AF63,CHOIX,AG63)</f>
        <v>#NAME?</v>
      </c>
      <c r="AI63" s="36" t="e">
        <f>SUMIFS($I$6:$I$165,$D$6:$D$165,AF63,CHOIX,AG63)</f>
        <v>#NAME?</v>
      </c>
      <c r="AJ63" s="36" t="e">
        <f>SUMIFS($J$6:$J$165,$D$6:$D$165,AF63,CHOIX,AG63)</f>
        <v>#NAME?</v>
      </c>
      <c r="AK63" s="36" t="e">
        <f>SUMIFS($K$6:$K$165,$D$6:$D$165,AF63,CHOIX,AG63)</f>
        <v>#NAME?</v>
      </c>
      <c r="AL63" s="36" t="e">
        <f>SUMIFS($L$6:$L$165,$D$6:$D$165,AF63,CHOIX,AG63)</f>
        <v>#NAME?</v>
      </c>
      <c r="AM63" s="36" t="e">
        <f>SUMIFS($M$6:$M$165,$D$6:$D$165,AF63,CHOIX,AG63)</f>
        <v>#NAME?</v>
      </c>
      <c r="AN63" s="91" t="s">
        <v>157</v>
      </c>
      <c r="AO63" s="83"/>
      <c r="AP63" s="63"/>
      <c r="AQ63" s="63"/>
      <c r="AR63" s="63"/>
      <c r="AS63" s="79"/>
      <c r="AT63" s="79"/>
      <c r="AU63" s="55" t="e">
        <f>SUMIFS($O$6:$O$165,$D$6:$D$165,AF63,CHOIX,AG63)</f>
        <v>#NAME?</v>
      </c>
      <c r="AV63" s="80" t="e">
        <f>SUMIFS($Q$6:$Q$165,$D$6:$D$165,AF63,CHOIX,AG63)</f>
        <v>#NAME?</v>
      </c>
      <c r="AZ63" s="470" t="s">
        <v>61</v>
      </c>
      <c r="BA63" s="470"/>
      <c r="BB63" s="470">
        <f>SUM(BB6:BB61)</f>
        <v>0</v>
      </c>
      <c r="BC63" s="470"/>
      <c r="BD63" s="470"/>
      <c r="BE63" s="470"/>
      <c r="BF63" s="470"/>
      <c r="BG63" s="470"/>
      <c r="BH63" s="470"/>
      <c r="BI63" s="470"/>
      <c r="BJ63" s="470"/>
      <c r="BK63" s="470"/>
      <c r="BL63" s="470"/>
      <c r="BM63" s="470"/>
      <c r="BN63" s="470"/>
      <c r="BO63" s="470"/>
      <c r="DN63" s="116" t="e">
        <f>(($I$5*#REF!)/100)+((#REF!*$J$5)/100)+(($K$5*#REF!)/100)+($L$5*#REF!)+($M$5*#REF!)</f>
        <v>#REF!</v>
      </c>
    </row>
    <row r="64" spans="2:118" ht="15" thickBot="1" x14ac:dyDescent="0.35">
      <c r="B64" s="64"/>
      <c r="C64" s="148"/>
      <c r="D64" s="109"/>
      <c r="E64" s="63"/>
      <c r="F64" s="127"/>
      <c r="G64" s="50"/>
      <c r="H64" s="10"/>
      <c r="I64" s="10"/>
      <c r="J64" s="10"/>
      <c r="K64" s="10"/>
      <c r="L64" s="10"/>
      <c r="M64" s="39"/>
      <c r="N64" s="33">
        <f t="shared" si="0"/>
        <v>0</v>
      </c>
      <c r="O64" s="52" t="b">
        <f>IF(AND(E64="CLIENT S+L",F64="HUILE"),(S64*3333.33+(VLOOKUP(H64,'BASE '!$I$112:$J$142,2,0)))-((S64*3333.33)*G64),IF(AND(E64="CLIENT S+L",F64="LAIT"),((S64*952.4)-(S64*952.4)*G64),IF(E64="CLIENT O","OFFERT",IF(AND(F64="HUILE",E64="CLIENT L"),(((VLOOKUP(H64,'BASE '!$I$112:$J$142,2,0))+(VLOOKUP(S64,'BASE '!#REF!,2,0)))),IF(AND(F64="LAIT",E64="CLIENT L"),(S64*952.4),IF(AND(F64="HUILE",E64="CLIENT D"),(S64*3809.53+(VLOOKUP(H64,'BASE '!$I$112:$J$142,2,0))),IF(AND(F64="LAIT",E64="CLIENT D"),(S64*952.4),IF(AND(F64="HUILE",E64="CLIENT S+D"),((S64*3809.53+(VLOOKUP(H64,'BASE '!$I$112:$J$142,2,0)))-((S64*3809.53)*G64)),IF(AND(F64="LAIT",E64="CLIENT S+D"),((S64*952.4)-((S64*952.4)*G64)),IF(AND(E64="CLIENT S",F64="LAIT"),((S64*952.4)-((S64*952.4)*G64)),IF(AND(F64="HUILE",E64="CLIENT S"),(VLOOKUP(H64,'BASE '!$I$112:$J$142,2,0)+(VLOOKUP(S64,'BASE '!#REF!,2,0)))-(G64*((VLOOKUP(S64,'BASE '!#REF!,2,0)+(VLOOKUP(H64,'BASE '!$I$112:$J$142,2,0))))))))))))))))</f>
        <v>0</v>
      </c>
      <c r="P64" s="52" t="b">
        <f t="shared" si="1"/>
        <v>0</v>
      </c>
      <c r="Q64" s="53" t="b">
        <f t="shared" si="2"/>
        <v>0</v>
      </c>
      <c r="R64" s="152" t="s">
        <v>175</v>
      </c>
      <c r="S64" s="184">
        <f t="shared" si="6"/>
        <v>0</v>
      </c>
      <c r="T64" s="124"/>
      <c r="U64" s="41" t="s">
        <v>175</v>
      </c>
      <c r="V64" s="70" t="e">
        <f>VLOOKUP(U64,'BASE '!$A$4:$H$144,2,0)</f>
        <v>#N/A</v>
      </c>
      <c r="W64" s="159"/>
      <c r="X64" s="159"/>
      <c r="Y64" s="160"/>
      <c r="Z64" s="158" t="e">
        <f>VLOOKUP(U64,'BASE '!$A$4:$H$144,3,0)</f>
        <v>#N/A</v>
      </c>
      <c r="AA64" s="94" t="e">
        <f t="shared" si="3"/>
        <v>#N/A</v>
      </c>
      <c r="AB64" s="95" t="e">
        <f>VLOOKUP(U64,'BASE '!$A$4:$H$144,6,0)*Y64/100</f>
        <v>#N/A</v>
      </c>
      <c r="AC64" s="95" t="e">
        <f>VLOOKUP(U64,'BASE '!$A$4:$H$144,7,0)*Y64/100</f>
        <v>#N/A</v>
      </c>
      <c r="AD64" s="95" t="e">
        <f>VLOOKUP(U64,'BASE '!$A$4:$H$144,8,0)*Y64/100</f>
        <v>#N/A</v>
      </c>
      <c r="AE64" s="96" t="e">
        <f t="shared" si="7"/>
        <v>#N/A</v>
      </c>
      <c r="AF64" s="431"/>
      <c r="AG64" s="1" t="s">
        <v>155</v>
      </c>
      <c r="AH64" s="36" t="e">
        <f>SUMIFS($H$6:$H$165,$D$6:$D$165,AF63,CHOIX,AG64)</f>
        <v>#NAME?</v>
      </c>
      <c r="AI64" s="36" t="e">
        <f>SUMIFS($I$6:$I$165,$D$6:$D$165,AF63,CHOIX,AG64)</f>
        <v>#NAME?</v>
      </c>
      <c r="AJ64" s="36" t="e">
        <f>SUMIFS($J$6:$J$165,$D$6:$D$165,AF63,CHOIX,AG64)</f>
        <v>#NAME?</v>
      </c>
      <c r="AK64" s="36" t="e">
        <f>SUMIFS($K$6:$K$165,$D$6:$D$165,AF63,CHOIX,AG64)</f>
        <v>#NAME?</v>
      </c>
      <c r="AL64" s="36" t="e">
        <f>SUMIFS($L$6:$L$165,$D$6:$D$165,AF63,CHOIX,AG64)</f>
        <v>#NAME?</v>
      </c>
      <c r="AM64" s="36" t="e">
        <f>SUMIFS($M$6:$M$165,$D$6:$D$165,AF63,CHOIX,AG64)</f>
        <v>#NAME?</v>
      </c>
      <c r="AN64" s="1" t="s">
        <v>155</v>
      </c>
      <c r="AO64" s="83"/>
      <c r="AP64" s="63"/>
      <c r="AQ64" s="63"/>
      <c r="AR64" s="63"/>
      <c r="AS64" s="79"/>
      <c r="AT64" s="79"/>
      <c r="AU64" s="55" t="e">
        <f>SUMIFS($O$6:$O$165,$D$6:$D$165,AF63,CHOIX,AG64)</f>
        <v>#NAME?</v>
      </c>
      <c r="AV64" s="80" t="e">
        <f>SUMIFS($Q$6:$Q$165,$D$6:$D$165,AF63,CHOIX,AG64)</f>
        <v>#NAME?</v>
      </c>
      <c r="AZ64" s="470" t="s">
        <v>60</v>
      </c>
      <c r="BA64" s="470"/>
      <c r="BB64" s="470"/>
      <c r="BC64" s="470">
        <f>SUM(BC6:BC61)</f>
        <v>0</v>
      </c>
      <c r="BD64" s="470"/>
      <c r="BE64" s="470"/>
      <c r="BF64" s="470"/>
      <c r="BG64" s="470"/>
      <c r="BH64" s="470"/>
      <c r="BI64" s="470"/>
      <c r="BJ64" s="470"/>
      <c r="BK64" s="470"/>
      <c r="BL64" s="470"/>
      <c r="BM64" s="470"/>
      <c r="BN64" s="470"/>
      <c r="BO64" s="470"/>
      <c r="DN64" s="116" t="e">
        <f>(($I$5*#REF!)/100)+((#REF!*$J$5)/100)+(($K$5*#REF!)/100)+($L$5*#REF!)+($M$5*#REF!)</f>
        <v>#REF!</v>
      </c>
    </row>
    <row r="65" spans="2:118" ht="15" thickBot="1" x14ac:dyDescent="0.35">
      <c r="B65" s="64"/>
      <c r="C65" s="148"/>
      <c r="D65" s="109"/>
      <c r="E65" s="63"/>
      <c r="F65" s="127"/>
      <c r="G65" s="50"/>
      <c r="H65" s="10"/>
      <c r="I65" s="10"/>
      <c r="J65" s="10"/>
      <c r="K65" s="10"/>
      <c r="L65" s="10"/>
      <c r="M65" s="39"/>
      <c r="N65" s="33">
        <f t="shared" si="0"/>
        <v>0</v>
      </c>
      <c r="O65" s="52" t="b">
        <f>IF(AND(E65="CLIENT S+L",F65="HUILE"),(S65*3333.33+(VLOOKUP(H65,'BASE '!$I$112:$J$142,2,0)))-((S65*3333.33)*G65),IF(AND(E65="CLIENT S+L",F65="LAIT"),((S65*952.4)-(S65*952.4)*G65),IF(E65="CLIENT O","OFFERT",IF(AND(F65="HUILE",E65="CLIENT L"),(((VLOOKUP(H65,'BASE '!$I$112:$J$142,2,0))+(VLOOKUP(S65,'BASE '!#REF!,2,0)))),IF(AND(F65="LAIT",E65="CLIENT L"),(S65*952.4),IF(AND(F65="HUILE",E65="CLIENT D"),(S65*3809.53+(VLOOKUP(H65,'BASE '!$I$112:$J$142,2,0))),IF(AND(F65="LAIT",E65="CLIENT D"),(S65*952.4),IF(AND(F65="HUILE",E65="CLIENT S+D"),((S65*3809.53+(VLOOKUP(H65,'BASE '!$I$112:$J$142,2,0)))-((S65*3809.53)*G65)),IF(AND(F65="LAIT",E65="CLIENT S+D"),((S65*952.4)-((S65*952.4)*G65)),IF(AND(E65="CLIENT S",F65="LAIT"),((S65*952.4)-((S65*952.4)*G65)),IF(AND(F65="HUILE",E65="CLIENT S"),(VLOOKUP(H65,'BASE '!$I$112:$J$142,2,0)+(VLOOKUP(S65,'BASE '!#REF!,2,0)))-(G65*((VLOOKUP(S65,'BASE '!#REF!,2,0)+(VLOOKUP(H65,'BASE '!$I$112:$J$142,2,0))))))))))))))))</f>
        <v>0</v>
      </c>
      <c r="P65" s="52" t="b">
        <f t="shared" si="1"/>
        <v>0</v>
      </c>
      <c r="Q65" s="53" t="b">
        <f t="shared" si="2"/>
        <v>0</v>
      </c>
      <c r="R65" s="152" t="s">
        <v>175</v>
      </c>
      <c r="S65" s="184">
        <f t="shared" si="6"/>
        <v>0</v>
      </c>
      <c r="T65" s="124"/>
      <c r="U65" s="41" t="s">
        <v>175</v>
      </c>
      <c r="V65" s="70" t="e">
        <f>VLOOKUP(U65,'BASE '!$A$4:$H$144,2,0)</f>
        <v>#N/A</v>
      </c>
      <c r="W65" s="159"/>
      <c r="X65" s="159"/>
      <c r="Y65" s="160"/>
      <c r="Z65" s="158" t="e">
        <f>VLOOKUP(U65,'BASE '!$A$4:$H$144,3,0)</f>
        <v>#N/A</v>
      </c>
      <c r="AA65" s="94" t="e">
        <f t="shared" si="3"/>
        <v>#N/A</v>
      </c>
      <c r="AB65" s="95" t="e">
        <f>VLOOKUP(U65,'BASE '!$A$4:$H$144,6,0)*Y65/100</f>
        <v>#N/A</v>
      </c>
      <c r="AC65" s="95" t="e">
        <f>VLOOKUP(U65,'BASE '!$A$4:$H$144,7,0)*Y65/100</f>
        <v>#N/A</v>
      </c>
      <c r="AD65" s="95" t="e">
        <f>VLOOKUP(U65,'BASE '!$A$4:$H$144,8,0)*Y65/100</f>
        <v>#N/A</v>
      </c>
      <c r="AE65" s="96" t="e">
        <f t="shared" si="7"/>
        <v>#N/A</v>
      </c>
      <c r="AF65" s="431"/>
      <c r="AG65" s="91" t="s">
        <v>157</v>
      </c>
      <c r="AH65" s="36" t="e">
        <f>SUMIFS($H$6:$H$165,$D$6:$D$165,AF65,CHOIX,AG65)</f>
        <v>#NAME?</v>
      </c>
      <c r="AI65" s="36" t="e">
        <f>SUMIFS($I$6:$I$165,$D$6:$D$165,AF65,CHOIX,AG65)</f>
        <v>#NAME?</v>
      </c>
      <c r="AJ65" s="36" t="e">
        <f>SUMIFS($J$6:$J$165,$D$6:$D$165,AF65,CHOIX,AG65)</f>
        <v>#NAME?</v>
      </c>
      <c r="AK65" s="36" t="e">
        <f>SUMIFS($K$6:$K$165,$D$6:$D$165,AF65,CHOIX,AG65)</f>
        <v>#NAME?</v>
      </c>
      <c r="AL65" s="36" t="e">
        <f>SUMIFS($L$6:$L$165,$D$6:$D$165,AF65,CHOIX,AG65)</f>
        <v>#NAME?</v>
      </c>
      <c r="AM65" s="36" t="e">
        <f>SUMIFS($M$6:$M$165,$D$6:$D$165,AF65,CHOIX,AG65)</f>
        <v>#NAME?</v>
      </c>
      <c r="AN65" s="91" t="s">
        <v>157</v>
      </c>
      <c r="AO65" s="83"/>
      <c r="AP65" s="63"/>
      <c r="AQ65" s="63"/>
      <c r="AR65" s="63"/>
      <c r="AS65" s="79"/>
      <c r="AT65" s="79"/>
      <c r="AU65" s="55" t="e">
        <f>SUMIFS($O$6:$O$165,$D$6:$D$165,AF65,CHOIX,AG65)</f>
        <v>#NAME?</v>
      </c>
      <c r="AV65" s="80" t="e">
        <f>SUMIFS($Q$6:$Q$165,$D$6:$D$165,AF65,CHOIX,AG65)</f>
        <v>#NAME?</v>
      </c>
      <c r="AZ65" s="478" t="s">
        <v>165</v>
      </c>
      <c r="BA65" s="478"/>
      <c r="BB65" s="478"/>
      <c r="BC65" s="478"/>
      <c r="BD65" s="470">
        <f>SUM(BD6:BD61)</f>
        <v>0</v>
      </c>
      <c r="BE65" s="470"/>
      <c r="BF65" s="470"/>
      <c r="BG65" s="470"/>
      <c r="BH65" s="470"/>
      <c r="BI65" s="470"/>
      <c r="BJ65" s="470"/>
      <c r="BK65" s="470"/>
      <c r="BL65" s="470"/>
      <c r="BM65" s="470"/>
      <c r="BN65" s="470"/>
      <c r="BO65" s="470"/>
      <c r="DN65" s="116" t="e">
        <f>(($I$5*#REF!)/100)+((#REF!*$J$5)/100)+(($K$5*#REF!)/100)+($L$5*#REF!)+($M$5*#REF!)</f>
        <v>#REF!</v>
      </c>
    </row>
    <row r="66" spans="2:118" ht="15" thickBot="1" x14ac:dyDescent="0.35">
      <c r="B66" s="64"/>
      <c r="C66" s="148"/>
      <c r="D66" s="109"/>
      <c r="E66" s="63"/>
      <c r="F66" s="127"/>
      <c r="G66" s="50"/>
      <c r="H66" s="10"/>
      <c r="I66" s="10"/>
      <c r="J66" s="10"/>
      <c r="K66" s="10"/>
      <c r="L66" s="10"/>
      <c r="M66" s="39"/>
      <c r="N66" s="33">
        <f t="shared" si="0"/>
        <v>0</v>
      </c>
      <c r="O66" s="52" t="b">
        <f>IF(AND(E66="CLIENT S+L",F66="HUILE"),(S66*3333.33+(VLOOKUP(H66,'BASE '!$I$112:$J$142,2,0)))-((S66*3333.33)*G66),IF(AND(E66="CLIENT S+L",F66="LAIT"),((S66*952.4)-(S66*952.4)*G66),IF(E66="CLIENT O","OFFERT",IF(AND(F66="HUILE",E66="CLIENT L"),(((VLOOKUP(H66,'BASE '!$I$112:$J$142,2,0))+(VLOOKUP(S66,'BASE '!#REF!,2,0)))),IF(AND(F66="LAIT",E66="CLIENT L"),(S66*952.4),IF(AND(F66="HUILE",E66="CLIENT D"),(S66*3809.53+(VLOOKUP(H66,'BASE '!$I$112:$J$142,2,0))),IF(AND(F66="LAIT",E66="CLIENT D"),(S66*952.4),IF(AND(F66="HUILE",E66="CLIENT S+D"),((S66*3809.53+(VLOOKUP(H66,'BASE '!$I$112:$J$142,2,0)))-((S66*3809.53)*G66)),IF(AND(F66="LAIT",E66="CLIENT S+D"),((S66*952.4)-((S66*952.4)*G66)),IF(AND(E66="CLIENT S",F66="LAIT"),((S66*952.4)-((S66*952.4)*G66)),IF(AND(F66="HUILE",E66="CLIENT S"),(VLOOKUP(H66,'BASE '!$I$112:$J$142,2,0)+(VLOOKUP(S66,'BASE '!#REF!,2,0)))-(G66*((VLOOKUP(S66,'BASE '!#REF!,2,0)+(VLOOKUP(H66,'BASE '!$I$112:$J$142,2,0))))))))))))))))</f>
        <v>0</v>
      </c>
      <c r="P66" s="52" t="b">
        <f t="shared" si="1"/>
        <v>0</v>
      </c>
      <c r="Q66" s="53" t="b">
        <f t="shared" si="2"/>
        <v>0</v>
      </c>
      <c r="R66" s="152" t="s">
        <v>175</v>
      </c>
      <c r="S66" s="184">
        <f t="shared" si="6"/>
        <v>0</v>
      </c>
      <c r="T66" s="124"/>
      <c r="U66" s="41" t="s">
        <v>175</v>
      </c>
      <c r="V66" s="70" t="e">
        <f>VLOOKUP(U66,'BASE '!$A$4:$H$144,2,0)</f>
        <v>#N/A</v>
      </c>
      <c r="W66" s="159"/>
      <c r="X66" s="159"/>
      <c r="Y66" s="160"/>
      <c r="Z66" s="158" t="e">
        <f>VLOOKUP(U66,'BASE '!$A$4:$H$144,3,0)</f>
        <v>#N/A</v>
      </c>
      <c r="AA66" s="94" t="e">
        <f t="shared" si="3"/>
        <v>#N/A</v>
      </c>
      <c r="AB66" s="95" t="e">
        <f>VLOOKUP(U66,'BASE '!$A$4:$H$144,6,0)*Y66/100</f>
        <v>#N/A</v>
      </c>
      <c r="AC66" s="95" t="e">
        <f>VLOOKUP(U66,'BASE '!$A$4:$H$144,7,0)*Y66/100</f>
        <v>#N/A</v>
      </c>
      <c r="AD66" s="95" t="e">
        <f>VLOOKUP(U66,'BASE '!$A$4:$H$144,8,0)*Y66/100</f>
        <v>#N/A</v>
      </c>
      <c r="AE66" s="96" t="e">
        <f t="shared" si="7"/>
        <v>#N/A</v>
      </c>
      <c r="AF66" s="431"/>
      <c r="AG66" s="1" t="s">
        <v>155</v>
      </c>
      <c r="AH66" s="36" t="e">
        <f>SUMIFS($H$6:$H$165,$D$6:$D$165,AF65,CHOIX,AG66)</f>
        <v>#NAME?</v>
      </c>
      <c r="AI66" s="36" t="e">
        <f>SUMIFS($I$6:$I$165,$D$6:$D$165,AF65,CHOIX,AG66)</f>
        <v>#NAME?</v>
      </c>
      <c r="AJ66" s="36" t="e">
        <f>SUMIFS($J$6:$J$165,$D$6:$D$165,AF65,CHOIX,AG66)</f>
        <v>#NAME?</v>
      </c>
      <c r="AK66" s="36" t="e">
        <f>SUMIFS($K$6:$K$165,$D$6:$D$165,AF65,CHOIX,AG66)</f>
        <v>#NAME?</v>
      </c>
      <c r="AL66" s="36" t="e">
        <f>SUMIFS($L$6:$L$165,$D$6:$D$165,AF65,CHOIX,AG66)</f>
        <v>#NAME?</v>
      </c>
      <c r="AM66" s="36" t="e">
        <f>SUMIFS($M$6:$M$165,$D$6:$D$165,AF65,CHOIX,AG66)</f>
        <v>#NAME?</v>
      </c>
      <c r="AN66" s="1" t="s">
        <v>155</v>
      </c>
      <c r="AO66" s="83"/>
      <c r="AP66" s="63"/>
      <c r="AQ66" s="63"/>
      <c r="AR66" s="63"/>
      <c r="AS66" s="79"/>
      <c r="AT66" s="79"/>
      <c r="AU66" s="55" t="e">
        <f>SUMIFS($O$6:$O$165,$D$6:$D$165,AF65,CHOIX,AG66)</f>
        <v>#NAME?</v>
      </c>
      <c r="AV66" s="80" t="e">
        <f>SUMIFS($Q$6:$Q$165,$D$6:$D$165,AF65,CHOIX,AG66)</f>
        <v>#NAME?</v>
      </c>
      <c r="AZ66" s="470" t="s">
        <v>166</v>
      </c>
      <c r="BA66" s="470"/>
      <c r="BB66" s="470"/>
      <c r="BC66" s="470"/>
      <c r="BD66" s="470"/>
      <c r="BE66" s="470">
        <f>SUM(BE6:BE61)</f>
        <v>0</v>
      </c>
      <c r="BF66" s="470"/>
      <c r="BG66" s="470"/>
      <c r="BH66" s="470"/>
      <c r="BI66" s="470"/>
      <c r="BJ66" s="470"/>
      <c r="BK66" s="470"/>
      <c r="BL66" s="470"/>
      <c r="BM66" s="470"/>
      <c r="BN66" s="470"/>
      <c r="BO66" s="470"/>
      <c r="DN66" s="116" t="e">
        <f>(($I$5*#REF!)/100)+((#REF!*$J$5)/100)+(($K$5*#REF!)/100)+($L$5*#REF!)+($M$5*#REF!)</f>
        <v>#REF!</v>
      </c>
    </row>
    <row r="67" spans="2:118" ht="15" thickBot="1" x14ac:dyDescent="0.35">
      <c r="B67" s="64"/>
      <c r="C67" s="148"/>
      <c r="D67" s="109"/>
      <c r="E67" s="63"/>
      <c r="F67" s="127"/>
      <c r="G67" s="50"/>
      <c r="H67" s="10"/>
      <c r="I67" s="10"/>
      <c r="J67" s="10"/>
      <c r="K67" s="10"/>
      <c r="L67" s="10"/>
      <c r="M67" s="39"/>
      <c r="N67" s="33">
        <f t="shared" si="0"/>
        <v>0</v>
      </c>
      <c r="O67" s="52" t="b">
        <f>IF(AND(E67="CLIENT S+L",F67="HUILE"),(S67*3333.33+(VLOOKUP(H67,'BASE '!$I$112:$J$142,2,0)))-((S67*3333.33)*G67),IF(AND(E67="CLIENT S+L",F67="LAIT"),((S67*952.4)-(S67*952.4)*G67),IF(E67="CLIENT O","OFFERT",IF(AND(F67="HUILE",E67="CLIENT L"),(((VLOOKUP(H67,'BASE '!$I$112:$J$142,2,0))+(VLOOKUP(S67,'BASE '!#REF!,2,0)))),IF(AND(F67="LAIT",E67="CLIENT L"),(S67*952.4),IF(AND(F67="HUILE",E67="CLIENT D"),(S67*3809.53+(VLOOKUP(H67,'BASE '!$I$112:$J$142,2,0))),IF(AND(F67="LAIT",E67="CLIENT D"),(S67*952.4),IF(AND(F67="HUILE",E67="CLIENT S+D"),((S67*3809.53+(VLOOKUP(H67,'BASE '!$I$112:$J$142,2,0)))-((S67*3809.53)*G67)),IF(AND(F67="LAIT",E67="CLIENT S+D"),((S67*952.4)-((S67*952.4)*G67)),IF(AND(E67="CLIENT S",F67="LAIT"),((S67*952.4)-((S67*952.4)*G67)),IF(AND(F67="HUILE",E67="CLIENT S"),(VLOOKUP(H67,'BASE '!$I$112:$J$142,2,0)+(VLOOKUP(S67,'BASE '!#REF!,2,0)))-(G67*((VLOOKUP(S67,'BASE '!#REF!,2,0)+(VLOOKUP(H67,'BASE '!$I$112:$J$142,2,0))))))))))))))))</f>
        <v>0</v>
      </c>
      <c r="P67" s="52" t="b">
        <f t="shared" si="1"/>
        <v>0</v>
      </c>
      <c r="Q67" s="53" t="b">
        <f t="shared" si="2"/>
        <v>0</v>
      </c>
      <c r="R67" s="152" t="s">
        <v>175</v>
      </c>
      <c r="S67" s="184">
        <f t="shared" si="6"/>
        <v>0</v>
      </c>
      <c r="T67" s="124"/>
      <c r="U67" s="41" t="s">
        <v>175</v>
      </c>
      <c r="V67" s="70" t="e">
        <f>VLOOKUP(U67,'BASE '!$A$4:$H$144,2,0)</f>
        <v>#N/A</v>
      </c>
      <c r="W67" s="159"/>
      <c r="X67" s="159"/>
      <c r="Y67" s="160"/>
      <c r="Z67" s="158" t="e">
        <f>VLOOKUP(U67,'BASE '!$A$4:$H$144,3,0)</f>
        <v>#N/A</v>
      </c>
      <c r="AA67" s="94" t="e">
        <f t="shared" si="3"/>
        <v>#N/A</v>
      </c>
      <c r="AB67" s="95" t="e">
        <f>VLOOKUP(U67,'BASE '!$A$4:$H$144,6,0)*Y67/100</f>
        <v>#N/A</v>
      </c>
      <c r="AC67" s="95" t="e">
        <f>VLOOKUP(U67,'BASE '!$A$4:$H$144,7,0)*Y67/100</f>
        <v>#N/A</v>
      </c>
      <c r="AD67" s="95" t="e">
        <f>VLOOKUP(U67,'BASE '!$A$4:$H$144,8,0)*Y67/100</f>
        <v>#N/A</v>
      </c>
      <c r="AE67" s="96" t="e">
        <f t="shared" si="7"/>
        <v>#N/A</v>
      </c>
      <c r="AF67" s="431"/>
      <c r="AG67" s="91" t="s">
        <v>157</v>
      </c>
      <c r="AH67" s="36" t="e">
        <f>SUMIFS($H$6:$H$165,$D$6:$D$165,AF67,CHOIX,AG67)</f>
        <v>#NAME?</v>
      </c>
      <c r="AI67" s="36" t="e">
        <f>SUMIFS($I$6:$I$165,$D$6:$D$165,AF67,CHOIX,AG67)</f>
        <v>#NAME?</v>
      </c>
      <c r="AJ67" s="36" t="e">
        <f>SUMIFS($J$6:$J$165,$D$6:$D$165,AF67,CHOIX,AG67)</f>
        <v>#NAME?</v>
      </c>
      <c r="AK67" s="36" t="e">
        <f>SUMIFS($K$6:$K$165,$D$6:$D$165,AF67,CHOIX,AG67)</f>
        <v>#NAME?</v>
      </c>
      <c r="AL67" s="36" t="e">
        <f>SUMIFS($L$6:$L$165,$D$6:$D$165,AF67,CHOIX,AG67)</f>
        <v>#NAME?</v>
      </c>
      <c r="AM67" s="36" t="e">
        <f>SUMIFS($M$6:$M$165,$D$6:$D$165,AF67,CHOIX,AG67)</f>
        <v>#NAME?</v>
      </c>
      <c r="AN67" s="91" t="s">
        <v>157</v>
      </c>
      <c r="AO67" s="83"/>
      <c r="AP67" s="63"/>
      <c r="AQ67" s="63"/>
      <c r="AR67" s="63"/>
      <c r="AS67" s="79"/>
      <c r="AT67" s="79"/>
      <c r="AU67" s="55" t="e">
        <f>SUMIFS($O$6:$O$165,$D$6:$D$165,AF67,CHOIX,AG67)</f>
        <v>#NAME?</v>
      </c>
      <c r="AV67" s="80" t="e">
        <f>SUMIFS($Q$6:$Q$165,$D$6:$D$165,AF67,CHOIX,AG67)</f>
        <v>#NAME?</v>
      </c>
      <c r="AZ67" s="470" t="s">
        <v>167</v>
      </c>
      <c r="BA67" s="470"/>
      <c r="BB67" s="470"/>
      <c r="BC67" s="470"/>
      <c r="BD67" s="470"/>
      <c r="BE67" s="470"/>
      <c r="BF67" s="470">
        <f>SUM(BF6:BF61)</f>
        <v>0</v>
      </c>
      <c r="BG67" s="470"/>
      <c r="BH67" s="470"/>
      <c r="BI67" s="470"/>
      <c r="BJ67" s="470"/>
      <c r="BK67" s="470"/>
      <c r="BL67" s="470"/>
      <c r="BM67" s="470"/>
      <c r="BN67" s="470"/>
      <c r="BO67" s="470"/>
      <c r="DN67" s="116" t="e">
        <f>(($I$5*#REF!)/100)+((#REF!*$J$5)/100)+(($K$5*#REF!)/100)+($L$5*#REF!)+($M$5*#REF!)</f>
        <v>#REF!</v>
      </c>
    </row>
    <row r="68" spans="2:118" ht="15" customHeight="1" thickBot="1" x14ac:dyDescent="0.35">
      <c r="B68" s="64"/>
      <c r="C68" s="148"/>
      <c r="D68" s="109"/>
      <c r="E68" s="63"/>
      <c r="F68" s="127"/>
      <c r="G68" s="50"/>
      <c r="H68" s="10"/>
      <c r="I68" s="10"/>
      <c r="J68" s="10"/>
      <c r="K68" s="10"/>
      <c r="L68" s="10"/>
      <c r="M68" s="39"/>
      <c r="N68" s="33">
        <f t="shared" si="0"/>
        <v>0</v>
      </c>
      <c r="O68" s="52" t="b">
        <f>IF(AND(E68="CLIENT S+L",F68="HUILE"),(S68*3333.33+(VLOOKUP(H68,'BASE '!$I$112:$J$142,2,0)))-((S68*3333.33)*G68),IF(AND(E68="CLIENT S+L",F68="LAIT"),((S68*952.4)-(S68*952.4)*G68),IF(E68="CLIENT O","OFFERT",IF(AND(F68="HUILE",E68="CLIENT L"),(((VLOOKUP(H68,'BASE '!$I$112:$J$142,2,0))+(VLOOKUP(S68,'BASE '!#REF!,2,0)))),IF(AND(F68="LAIT",E68="CLIENT L"),(S68*952.4),IF(AND(F68="HUILE",E68="CLIENT D"),(S68*3809.53+(VLOOKUP(H68,'BASE '!$I$112:$J$142,2,0))),IF(AND(F68="LAIT",E68="CLIENT D"),(S68*952.4),IF(AND(F68="HUILE",E68="CLIENT S+D"),((S68*3809.53+(VLOOKUP(H68,'BASE '!$I$112:$J$142,2,0)))-((S68*3809.53)*G68)),IF(AND(F68="LAIT",E68="CLIENT S+D"),((S68*952.4)-((S68*952.4)*G68)),IF(AND(E68="CLIENT S",F68="LAIT"),((S68*952.4)-((S68*952.4)*G68)),IF(AND(F68="HUILE",E68="CLIENT S"),(VLOOKUP(H68,'BASE '!$I$112:$J$142,2,0)+(VLOOKUP(S68,'BASE '!#REF!,2,0)))-(G68*((VLOOKUP(S68,'BASE '!#REF!,2,0)+(VLOOKUP(H68,'BASE '!$I$112:$J$142,2,0))))))))))))))))</f>
        <v>0</v>
      </c>
      <c r="P68" s="52" t="b">
        <f t="shared" si="1"/>
        <v>0</v>
      </c>
      <c r="Q68" s="53" t="b">
        <f t="shared" si="2"/>
        <v>0</v>
      </c>
      <c r="R68" s="152" t="s">
        <v>175</v>
      </c>
      <c r="S68" s="184">
        <f t="shared" si="6"/>
        <v>0</v>
      </c>
      <c r="T68" s="124"/>
      <c r="U68" s="41" t="s">
        <v>175</v>
      </c>
      <c r="V68" s="70" t="e">
        <f>VLOOKUP(U68,'BASE '!$A$4:$H$144,2,0)</f>
        <v>#N/A</v>
      </c>
      <c r="W68" s="159"/>
      <c r="X68" s="159"/>
      <c r="Y68" s="160"/>
      <c r="Z68" s="158" t="e">
        <f>VLOOKUP(U68,'BASE '!$A$4:$H$144,3,0)</f>
        <v>#N/A</v>
      </c>
      <c r="AA68" s="94" t="e">
        <f t="shared" si="3"/>
        <v>#N/A</v>
      </c>
      <c r="AB68" s="95" t="e">
        <f>VLOOKUP(U68,'BASE '!$A$4:$H$144,6,0)*Y68/100</f>
        <v>#N/A</v>
      </c>
      <c r="AC68" s="95" t="e">
        <f>VLOOKUP(U68,'BASE '!$A$4:$H$144,7,0)*Y68/100</f>
        <v>#N/A</v>
      </c>
      <c r="AD68" s="95" t="e">
        <f>VLOOKUP(U68,'BASE '!$A$4:$H$144,8,0)*Y68/100</f>
        <v>#N/A</v>
      </c>
      <c r="AE68" s="96" t="e">
        <f t="shared" si="7"/>
        <v>#N/A</v>
      </c>
      <c r="AF68" s="432"/>
      <c r="AG68" s="92" t="s">
        <v>155</v>
      </c>
      <c r="AH68" s="37" t="e">
        <f>SUMIFS($H$6:$H$165,$D$6:$D$165,AF67,CHOIX,AG68)</f>
        <v>#NAME?</v>
      </c>
      <c r="AI68" s="37" t="e">
        <f>SUMIFS($I$6:$I$165,$D$6:$D$165,AF67,CHOIX,AG68)</f>
        <v>#NAME?</v>
      </c>
      <c r="AJ68" s="37" t="e">
        <f>SUMIFS($J$6:$J$165,$D$6:$D$165,AF67,CHOIX,AG68)</f>
        <v>#NAME?</v>
      </c>
      <c r="AK68" s="37" t="e">
        <f>SUMIFS($K$6:$K$165,$D$6:$D$165,AF67,CHOIX,AG68)</f>
        <v>#NAME?</v>
      </c>
      <c r="AL68" s="37" t="e">
        <f>SUMIFS($L$6:$L$165,$D$6:$D$165,AF67,CHOIX,AG68)</f>
        <v>#NAME?</v>
      </c>
      <c r="AM68" s="37" t="e">
        <f>SUMIFS($M$6:$M$165,$D$6:$D$165,AF67,CHOIX,AG68)</f>
        <v>#NAME?</v>
      </c>
      <c r="AN68" s="92" t="s">
        <v>155</v>
      </c>
      <c r="AO68" s="84"/>
      <c r="AP68" s="44"/>
      <c r="AQ68" s="44"/>
      <c r="AR68" s="44"/>
      <c r="AS68" s="85"/>
      <c r="AT68" s="85"/>
      <c r="AU68" s="56" t="e">
        <f>SUMIFS($O$6:$O$165,$D$6:$D$165,AF67,CHOIX,AG68)</f>
        <v>#NAME?</v>
      </c>
      <c r="AV68" s="86" t="e">
        <f>SUMIFS($Q$6:$Q$165,$D$6:$D$165,AF67,CHOIX,AG68)</f>
        <v>#NAME?</v>
      </c>
      <c r="AZ68" s="470" t="s">
        <v>168</v>
      </c>
      <c r="BA68" s="470"/>
      <c r="BB68" s="470"/>
      <c r="BC68" s="470"/>
      <c r="BD68" s="470"/>
      <c r="BE68" s="470"/>
      <c r="BF68" s="470"/>
      <c r="BG68" s="470">
        <f>SUM(BG6:BG61)</f>
        <v>0</v>
      </c>
      <c r="BH68" s="470"/>
      <c r="BI68" s="470"/>
      <c r="BJ68" s="470"/>
      <c r="BK68" s="470"/>
      <c r="BL68" s="470"/>
      <c r="BM68" s="470"/>
      <c r="BN68" s="470"/>
      <c r="BO68" s="470"/>
      <c r="DN68" s="116" t="e">
        <f>(($I$5*#REF!)/100)+((#REF!*$J$5)/100)+(($K$5*#REF!)/100)+($L$5*#REF!)+($M$5*#REF!)</f>
        <v>#REF!</v>
      </c>
    </row>
    <row r="69" spans="2:118" ht="15" customHeight="1" thickBot="1" x14ac:dyDescent="0.35">
      <c r="B69" s="64"/>
      <c r="C69" s="148"/>
      <c r="D69" s="109"/>
      <c r="E69" s="63"/>
      <c r="F69" s="127"/>
      <c r="G69" s="50"/>
      <c r="H69" s="10"/>
      <c r="I69" s="10"/>
      <c r="J69" s="10"/>
      <c r="K69" s="10"/>
      <c r="L69" s="10"/>
      <c r="M69" s="39"/>
      <c r="N69" s="33">
        <f t="shared" si="0"/>
        <v>0</v>
      </c>
      <c r="O69" s="52" t="b">
        <f>IF(AND(E69="CLIENT S+L",F69="HUILE"),(S69*3333.33+(VLOOKUP(H69,'BASE '!$I$112:$J$142,2,0)))-((S69*3333.33)*G69),IF(AND(E69="CLIENT S+L",F69="LAIT"),((S69*952.4)-(S69*952.4)*G69),IF(E69="CLIENT O","OFFERT",IF(AND(F69="HUILE",E69="CLIENT L"),(((VLOOKUP(H69,'BASE '!$I$112:$J$142,2,0))+(VLOOKUP(S69,'BASE '!#REF!,2,0)))),IF(AND(F69="LAIT",E69="CLIENT L"),(S69*952.4),IF(AND(F69="HUILE",E69="CLIENT D"),(S69*3809.53+(VLOOKUP(H69,'BASE '!$I$112:$J$142,2,0))),IF(AND(F69="LAIT",E69="CLIENT D"),(S69*952.4),IF(AND(F69="HUILE",E69="CLIENT S+D"),((S69*3809.53+(VLOOKUP(H69,'BASE '!$I$112:$J$142,2,0)))-((S69*3809.53)*G69)),IF(AND(F69="LAIT",E69="CLIENT S+D"),((S69*952.4)-((S69*952.4)*G69)),IF(AND(E69="CLIENT S",F69="LAIT"),((S69*952.4)-((S69*952.4)*G69)),IF(AND(F69="HUILE",E69="CLIENT S"),(VLOOKUP(H69,'BASE '!$I$112:$J$142,2,0)+(VLOOKUP(S69,'BASE '!#REF!,2,0)))-(G69*((VLOOKUP(S69,'BASE '!#REF!,2,0)+(VLOOKUP(H69,'BASE '!$I$112:$J$142,2,0))))))))))))))))</f>
        <v>0</v>
      </c>
      <c r="P69" s="52" t="b">
        <f t="shared" si="1"/>
        <v>0</v>
      </c>
      <c r="Q69" s="53" t="b">
        <f t="shared" si="2"/>
        <v>0</v>
      </c>
      <c r="R69" s="152" t="s">
        <v>175</v>
      </c>
      <c r="S69" s="184">
        <f t="shared" si="6"/>
        <v>0</v>
      </c>
      <c r="T69" s="124"/>
      <c r="U69" s="41" t="s">
        <v>175</v>
      </c>
      <c r="V69" s="70" t="e">
        <f>VLOOKUP(U69,'BASE '!$A$4:$H$144,2,0)</f>
        <v>#N/A</v>
      </c>
      <c r="W69" s="159"/>
      <c r="X69" s="159"/>
      <c r="Y69" s="160"/>
      <c r="Z69" s="158" t="e">
        <f>VLOOKUP(U69,'BASE '!$A$4:$H$144,3,0)</f>
        <v>#N/A</v>
      </c>
      <c r="AA69" s="94" t="e">
        <f t="shared" si="3"/>
        <v>#N/A</v>
      </c>
      <c r="AB69" s="95" t="e">
        <f>VLOOKUP(U69,'BASE '!$A$4:$H$144,6,0)*Y69/100</f>
        <v>#N/A</v>
      </c>
      <c r="AC69" s="95" t="e">
        <f>VLOOKUP(U69,'BASE '!$A$4:$H$144,7,0)*Y69/100</f>
        <v>#N/A</v>
      </c>
      <c r="AD69" s="95" t="e">
        <f>VLOOKUP(U69,'BASE '!$A$4:$H$144,8,0)*Y69/100</f>
        <v>#N/A</v>
      </c>
      <c r="AE69" s="96" t="e">
        <f t="shared" si="7"/>
        <v>#N/A</v>
      </c>
      <c r="AF69" s="455" t="s">
        <v>63</v>
      </c>
      <c r="AG69" s="91" t="s">
        <v>157</v>
      </c>
      <c r="AH69" s="87" t="e">
        <f>SUM(AH7,AH9,AH11,AH13,AH15,AH17,AH19,AH21,AH23,AH25,AH27,AH29,AH31,AH33,AH35,AH37,AH39,AH41,AH43,AH45,AH47,AH49,AH51,AH53,AH55,AH57,AH59,AH61,AH63,AH65,AH67)</f>
        <v>#NAME?</v>
      </c>
      <c r="AI69" s="87" t="e">
        <f>SUM(AI7,AI9,AI11,AI13,AI15,AI17,AI19,AI21,AI23,AI25,AI27,AI29,AI31,AI33,AI35,AI37,AI39,AI41,AI43,AI45,AI47,AI49,AI51,AI53,AI55,AI57,AI59,AI61,AI63,AI65,AI67)</f>
        <v>#NAME?</v>
      </c>
      <c r="AJ69" s="87" t="e">
        <f t="shared" ref="AJ69:AT70" si="30">SUM(AJ7,AJ9,AJ11,AJ13,AJ15,AJ17,AJ19,AJ21,AJ23,AJ25,AJ27,AJ29,AJ31,AJ33,AJ35,AJ37,AJ39,AJ41,AJ43,AJ45,AJ47,AJ49,AJ51,AJ53,AJ55,AJ57,AJ59,AJ61,AJ63,AJ65,AJ67)</f>
        <v>#NAME?</v>
      </c>
      <c r="AK69" s="87" t="e">
        <f t="shared" si="30"/>
        <v>#NAME?</v>
      </c>
      <c r="AL69" s="87" t="e">
        <f t="shared" si="30"/>
        <v>#NAME?</v>
      </c>
      <c r="AM69" s="87" t="e">
        <f t="shared" si="30"/>
        <v>#NAME?</v>
      </c>
      <c r="AN69" s="91" t="s">
        <v>157</v>
      </c>
      <c r="AO69" s="87">
        <f t="shared" si="30"/>
        <v>0</v>
      </c>
      <c r="AP69" s="87">
        <f t="shared" si="30"/>
        <v>0</v>
      </c>
      <c r="AQ69" s="87">
        <f t="shared" si="30"/>
        <v>0</v>
      </c>
      <c r="AR69" s="87">
        <f t="shared" si="30"/>
        <v>0</v>
      </c>
      <c r="AS69" s="87">
        <f t="shared" si="30"/>
        <v>0</v>
      </c>
      <c r="AT69" s="87">
        <f t="shared" si="30"/>
        <v>0</v>
      </c>
      <c r="AU69" s="472" t="e">
        <f>SUMIF(AU7:AU68,"&lt;&gt;#N/A")</f>
        <v>#NAME?</v>
      </c>
      <c r="AV69" s="472" t="e">
        <f>SUMIF(AV7:AV68,"&lt;&gt;#N/A")</f>
        <v>#NAME?</v>
      </c>
      <c r="AZ69" s="470" t="s">
        <v>169</v>
      </c>
      <c r="BA69" s="470"/>
      <c r="BB69" s="470"/>
      <c r="BC69" s="470"/>
      <c r="BD69" s="470"/>
      <c r="BE69" s="470"/>
      <c r="BF69" s="470"/>
      <c r="BG69" s="470"/>
      <c r="BH69" s="470">
        <f>SUM(BH6:BH61)</f>
        <v>0</v>
      </c>
      <c r="BI69" s="470"/>
      <c r="BJ69" s="470"/>
      <c r="BK69" s="470"/>
      <c r="BL69" s="470"/>
      <c r="BM69" s="470"/>
      <c r="BN69" s="470"/>
      <c r="BO69" s="470"/>
      <c r="DN69" s="116" t="e">
        <f>(($I$5*#REF!)/100)+((#REF!*$J$5)/100)+(($K$5*#REF!)/100)+($L$5*#REF!)+($M$5*#REF!)</f>
        <v>#REF!</v>
      </c>
    </row>
    <row r="70" spans="2:118" ht="15" customHeight="1" thickBot="1" x14ac:dyDescent="0.35">
      <c r="B70" s="64"/>
      <c r="C70" s="148"/>
      <c r="D70" s="109"/>
      <c r="E70" s="63"/>
      <c r="F70" s="127"/>
      <c r="G70" s="50"/>
      <c r="H70" s="10"/>
      <c r="I70" s="10"/>
      <c r="J70" s="10"/>
      <c r="K70" s="10"/>
      <c r="L70" s="10"/>
      <c r="M70" s="39"/>
      <c r="N70" s="33">
        <f t="shared" ref="N70:N133" si="31">((($H$5*H70)/100)+($I$5*I70)/100)+((J70*$J$5)/100)+(($K$5*K70)/100)+($L$5*L70)+($M$5*M70)</f>
        <v>0</v>
      </c>
      <c r="O70" s="52" t="b">
        <f>IF(AND(E70="CLIENT S+L",F70="HUILE"),(S70*3333.33+(VLOOKUP(H70,'BASE '!$I$112:$J$142,2,0)))-((S70*3333.33)*G70),IF(AND(E70="CLIENT S+L",F70="LAIT"),((S70*952.4)-(S70*952.4)*G70),IF(E70="CLIENT O","OFFERT",IF(AND(F70="HUILE",E70="CLIENT L"),(((VLOOKUP(H70,'BASE '!$I$112:$J$142,2,0))+(VLOOKUP(S70,'BASE '!#REF!,2,0)))),IF(AND(F70="LAIT",E70="CLIENT L"),(S70*952.4),IF(AND(F70="HUILE",E70="CLIENT D"),(S70*3809.53+(VLOOKUP(H70,'BASE '!$I$112:$J$142,2,0))),IF(AND(F70="LAIT",E70="CLIENT D"),(S70*952.4),IF(AND(F70="HUILE",E70="CLIENT S+D"),((S70*3809.53+(VLOOKUP(H70,'BASE '!$I$112:$J$142,2,0)))-((S70*3809.53)*G70)),IF(AND(F70="LAIT",E70="CLIENT S+D"),((S70*952.4)-((S70*952.4)*G70)),IF(AND(E70="CLIENT S",F70="LAIT"),((S70*952.4)-((S70*952.4)*G70)),IF(AND(F70="HUILE",E70="CLIENT S"),(VLOOKUP(H70,'BASE '!$I$112:$J$142,2,0)+(VLOOKUP(S70,'BASE '!#REF!,2,0)))-(G70*((VLOOKUP(S70,'BASE '!#REF!,2,0)+(VLOOKUP(H70,'BASE '!$I$112:$J$142,2,0))))))))))))))))</f>
        <v>0</v>
      </c>
      <c r="P70" s="52" t="b">
        <f t="shared" ref="P70:P133" si="32">IF(E70="CLIENT S+L",(O70*0.05),IF(E70="CLIENT S",(O70*0.05),IF(E70="CLIENT D",(O70*5/100),IF(E70="CLIENT L",(O70*5)/100,IF(E70="CLIENT S+D",(O70*0.05),IF(E70="CLIENT O",O70))))))</f>
        <v>0</v>
      </c>
      <c r="Q70" s="53" t="b">
        <f t="shared" ref="Q70:Q133" si="33">IF(E70="CLIENT S+L",(O70+P70),IF(E70="CLIENT D",O70+P70,IF(E70="CLIENT S",(O70+P70),IF(E70="CLIENT L",O70+P70,IF(E70="CLIENT S+D",(O70+P70),IF(E70="CLIENT O",P70))))))</f>
        <v>0</v>
      </c>
      <c r="R70" s="152" t="s">
        <v>175</v>
      </c>
      <c r="S70" s="184">
        <f t="shared" si="6"/>
        <v>0</v>
      </c>
      <c r="T70" s="124"/>
      <c r="U70" s="41" t="s">
        <v>175</v>
      </c>
      <c r="V70" s="70" t="e">
        <f>VLOOKUP(U70,'BASE '!$A$4:$H$144,2,0)</f>
        <v>#N/A</v>
      </c>
      <c r="W70" s="159"/>
      <c r="X70" s="159"/>
      <c r="Y70" s="160"/>
      <c r="Z70" s="158" t="e">
        <f>VLOOKUP(U70,'BASE '!$A$4:$H$144,3,0)</f>
        <v>#N/A</v>
      </c>
      <c r="AA70" s="94" t="e">
        <f t="shared" ref="AA70:AA133" si="34">(Y70*Z70)/100</f>
        <v>#N/A</v>
      </c>
      <c r="AB70" s="95" t="e">
        <f>VLOOKUP(U70,'BASE '!$A$4:$H$144,6,0)*Y70/100</f>
        <v>#N/A</v>
      </c>
      <c r="AC70" s="95" t="e">
        <f>VLOOKUP(U70,'BASE '!$A$4:$H$144,7,0)*Y70/100</f>
        <v>#N/A</v>
      </c>
      <c r="AD70" s="95" t="e">
        <f>VLOOKUP(U70,'BASE '!$A$4:$H$144,8,0)*Y70/100</f>
        <v>#N/A</v>
      </c>
      <c r="AE70" s="96" t="e">
        <f t="shared" si="7"/>
        <v>#N/A</v>
      </c>
      <c r="AF70" s="456"/>
      <c r="AG70" s="92" t="s">
        <v>155</v>
      </c>
      <c r="AH70" s="87" t="e">
        <f>SUM(AH8,AH10,AH12,AH14,AH16,AH18,AH20,AH22,AH24,AH26,AH28,AH30,AH32,AH34,AH36,AH38,AH40,AH42,AH44,AH46,AH48,AH50,AH52,AH54,AH56,AH58,AH60,AH62,AH64,AH66,AH68)</f>
        <v>#NAME?</v>
      </c>
      <c r="AI70" s="87" t="e">
        <f>SUM(AI8,AI10,AI12,AI14,AI16,AI18,AI20,AI22,AI24,AI26,AI28,AI30,AI32,AI34,AI36,AI38,AI40,AI42,AI44,AI46,AI48,AI50,AI52,AI54,AI56,AI58,AI60,AI62,AI64,AI66,AI68)</f>
        <v>#NAME?</v>
      </c>
      <c r="AJ70" s="87" t="e">
        <f t="shared" si="30"/>
        <v>#NAME?</v>
      </c>
      <c r="AK70" s="87" t="e">
        <f t="shared" si="30"/>
        <v>#NAME?</v>
      </c>
      <c r="AL70" s="87" t="e">
        <f t="shared" si="30"/>
        <v>#NAME?</v>
      </c>
      <c r="AM70" s="87" t="e">
        <f t="shared" si="30"/>
        <v>#NAME?</v>
      </c>
      <c r="AN70" s="92" t="s">
        <v>155</v>
      </c>
      <c r="AO70" s="87">
        <f t="shared" si="30"/>
        <v>0</v>
      </c>
      <c r="AP70" s="87">
        <f t="shared" si="30"/>
        <v>0</v>
      </c>
      <c r="AQ70" s="87">
        <f t="shared" si="30"/>
        <v>0</v>
      </c>
      <c r="AR70" s="87">
        <f t="shared" si="30"/>
        <v>0</v>
      </c>
      <c r="AS70" s="87">
        <f t="shared" si="30"/>
        <v>0</v>
      </c>
      <c r="AT70" s="87">
        <f t="shared" si="30"/>
        <v>0</v>
      </c>
      <c r="AU70" s="473"/>
      <c r="AV70" s="473"/>
      <c r="AZ70" s="471" t="s">
        <v>170</v>
      </c>
      <c r="BA70" s="471"/>
      <c r="BB70" s="471"/>
      <c r="BC70" s="471"/>
      <c r="BD70" s="471"/>
      <c r="BE70" s="471"/>
      <c r="BF70" s="471"/>
      <c r="BG70" s="471"/>
      <c r="BH70" s="471"/>
      <c r="BI70" s="471">
        <f>SUM(BI6:BI61)</f>
        <v>0</v>
      </c>
      <c r="BJ70" s="471"/>
      <c r="BK70" s="471"/>
      <c r="BL70" s="471"/>
      <c r="BM70" s="471"/>
      <c r="BN70" s="471"/>
      <c r="BO70" s="471"/>
      <c r="DN70" s="116" t="e">
        <f>(($I$5*#REF!)/100)+((#REF!*$J$5)/100)+(($K$5*#REF!)/100)+($L$5*#REF!)+($M$5*#REF!)</f>
        <v>#REF!</v>
      </c>
    </row>
    <row r="71" spans="2:118" ht="15" customHeight="1" thickBot="1" x14ac:dyDescent="0.35">
      <c r="B71" s="64"/>
      <c r="C71" s="148"/>
      <c r="D71" s="109"/>
      <c r="E71" s="63"/>
      <c r="F71" s="127"/>
      <c r="G71" s="50"/>
      <c r="H71" s="10"/>
      <c r="I71" s="10"/>
      <c r="J71" s="10"/>
      <c r="K71" s="10"/>
      <c r="L71" s="10"/>
      <c r="M71" s="39"/>
      <c r="N71" s="33">
        <f t="shared" si="31"/>
        <v>0</v>
      </c>
      <c r="O71" s="52" t="b">
        <f>IF(AND(E71="CLIENT S+L",F71="HUILE"),(S71*3333.33+(VLOOKUP(H71,'BASE '!$I$112:$J$142,2,0)))-((S71*3333.33)*G71),IF(AND(E71="CLIENT S+L",F71="LAIT"),((S71*952.4)-(S71*952.4)*G71),IF(E71="CLIENT O","OFFERT",IF(AND(F71="HUILE",E71="CLIENT L"),(((VLOOKUP(H71,'BASE '!$I$112:$J$142,2,0))+(VLOOKUP(S71,'BASE '!#REF!,2,0)))),IF(AND(F71="LAIT",E71="CLIENT L"),(S71*952.4),IF(AND(F71="HUILE",E71="CLIENT D"),(S71*3809.53+(VLOOKUP(H71,'BASE '!$I$112:$J$142,2,0))),IF(AND(F71="LAIT",E71="CLIENT D"),(S71*952.4),IF(AND(F71="HUILE",E71="CLIENT S+D"),((S71*3809.53+(VLOOKUP(H71,'BASE '!$I$112:$J$142,2,0)))-((S71*3809.53)*G71)),IF(AND(F71="LAIT",E71="CLIENT S+D"),((S71*952.4)-((S71*952.4)*G71)),IF(AND(E71="CLIENT S",F71="LAIT"),((S71*952.4)-((S71*952.4)*G71)),IF(AND(F71="HUILE",E71="CLIENT S"),(VLOOKUP(H71,'BASE '!$I$112:$J$142,2,0)+(VLOOKUP(S71,'BASE '!#REF!,2,0)))-(G71*((VLOOKUP(S71,'BASE '!#REF!,2,0)+(VLOOKUP(H71,'BASE '!$I$112:$J$142,2,0))))))))))))))))</f>
        <v>0</v>
      </c>
      <c r="P71" s="52" t="b">
        <f t="shared" si="32"/>
        <v>0</v>
      </c>
      <c r="Q71" s="53" t="b">
        <f t="shared" si="33"/>
        <v>0</v>
      </c>
      <c r="R71" s="152" t="s">
        <v>175</v>
      </c>
      <c r="S71" s="184">
        <f t="shared" ref="S71:S134" si="35">(($I$5*I71)/100)+((J71*$J$5)/100)+(($K$5*K71)/100)+($L$5*L71)+($M$5*M71)</f>
        <v>0</v>
      </c>
      <c r="T71" s="124"/>
      <c r="U71" s="41" t="s">
        <v>175</v>
      </c>
      <c r="V71" s="70" t="e">
        <f>VLOOKUP(U71,'BASE '!$A$4:$H$144,2,0)</f>
        <v>#N/A</v>
      </c>
      <c r="W71" s="159"/>
      <c r="X71" s="159"/>
      <c r="Y71" s="160"/>
      <c r="Z71" s="158" t="e">
        <f>VLOOKUP(U71,'BASE '!$A$4:$H$144,3,0)</f>
        <v>#N/A</v>
      </c>
      <c r="AA71" s="94" t="e">
        <f t="shared" si="34"/>
        <v>#N/A</v>
      </c>
      <c r="AB71" s="95" t="e">
        <f>VLOOKUP(U71,'BASE '!$A$4:$H$144,6,0)*Y71/100</f>
        <v>#N/A</v>
      </c>
      <c r="AC71" s="95" t="e">
        <f>VLOOKUP(U71,'BASE '!$A$4:$H$144,7,0)*Y71/100</f>
        <v>#N/A</v>
      </c>
      <c r="AD71" s="95" t="e">
        <f>VLOOKUP(U71,'BASE '!$A$4:$H$144,8,0)*Y71/100</f>
        <v>#N/A</v>
      </c>
      <c r="AE71" s="96" t="e">
        <f t="shared" ref="AE71:AE134" si="36">AA71+AB71+AC71+AD71</f>
        <v>#N/A</v>
      </c>
      <c r="AF71" s="457" t="s">
        <v>64</v>
      </c>
      <c r="AG71" s="451"/>
      <c r="AH71" s="458"/>
      <c r="AI71" s="462" t="e">
        <f>AV69</f>
        <v>#NAME?</v>
      </c>
      <c r="AJ71" s="463"/>
      <c r="AK71" s="463"/>
      <c r="AL71" s="464"/>
      <c r="AM71" s="88"/>
      <c r="AN71" s="88"/>
      <c r="AO71" s="88"/>
      <c r="AP71" s="88"/>
      <c r="AQ71" s="88"/>
      <c r="AR71" s="88"/>
      <c r="AS71" s="104"/>
      <c r="AT71" s="104"/>
      <c r="AU71" s="105"/>
      <c r="AV71" s="105"/>
      <c r="AZ71" s="471" t="s">
        <v>162</v>
      </c>
      <c r="BA71" s="471"/>
      <c r="BB71" s="471"/>
      <c r="BC71" s="471"/>
      <c r="BD71" s="471"/>
      <c r="BE71" s="471"/>
      <c r="BF71" s="471"/>
      <c r="BG71" s="471"/>
      <c r="BH71" s="471"/>
      <c r="BI71" s="471"/>
      <c r="BJ71" s="471">
        <f>SUM(BJ6:BJ61)</f>
        <v>0</v>
      </c>
      <c r="BK71" s="471"/>
      <c r="BL71" s="471"/>
      <c r="BM71" s="471"/>
      <c r="BN71" s="471"/>
      <c r="BO71" s="471"/>
      <c r="DN71" s="116"/>
    </row>
    <row r="72" spans="2:118" ht="15" customHeight="1" thickBot="1" x14ac:dyDescent="0.35">
      <c r="B72" s="64"/>
      <c r="C72" s="148"/>
      <c r="D72" s="109"/>
      <c r="E72" s="63"/>
      <c r="F72" s="127"/>
      <c r="G72" s="50"/>
      <c r="H72" s="10"/>
      <c r="I72" s="10"/>
      <c r="J72" s="10"/>
      <c r="K72" s="10"/>
      <c r="L72" s="10"/>
      <c r="M72" s="39"/>
      <c r="N72" s="33">
        <f t="shared" si="31"/>
        <v>0</v>
      </c>
      <c r="O72" s="52" t="b">
        <f>IF(AND(E72="CLIENT S+L",F72="HUILE"),(S72*3333.33+(VLOOKUP(H72,'BASE '!$I$112:$J$142,2,0)))-((S72*3333.33)*G72),IF(AND(E72="CLIENT S+L",F72="LAIT"),((S72*952.4)-(S72*952.4)*G72),IF(E72="CLIENT O","OFFERT",IF(AND(F72="HUILE",E72="CLIENT L"),(((VLOOKUP(H72,'BASE '!$I$112:$J$142,2,0))+(VLOOKUP(S72,'BASE '!#REF!,2,0)))),IF(AND(F72="LAIT",E72="CLIENT L"),(S72*952.4),IF(AND(F72="HUILE",E72="CLIENT D"),(S72*3809.53+(VLOOKUP(H72,'BASE '!$I$112:$J$142,2,0))),IF(AND(F72="LAIT",E72="CLIENT D"),(S72*952.4),IF(AND(F72="HUILE",E72="CLIENT S+D"),((S72*3809.53+(VLOOKUP(H72,'BASE '!$I$112:$J$142,2,0)))-((S72*3809.53)*G72)),IF(AND(F72="LAIT",E72="CLIENT S+D"),((S72*952.4)-((S72*952.4)*G72)),IF(AND(E72="CLIENT S",F72="LAIT"),((S72*952.4)-((S72*952.4)*G72)),IF(AND(F72="HUILE",E72="CLIENT S"),(VLOOKUP(H72,'BASE '!$I$112:$J$142,2,0)+(VLOOKUP(S72,'BASE '!#REF!,2,0)))-(G72*((VLOOKUP(S72,'BASE '!#REF!,2,0)+(VLOOKUP(H72,'BASE '!$I$112:$J$142,2,0))))))))))))))))</f>
        <v>0</v>
      </c>
      <c r="P72" s="52" t="b">
        <f t="shared" si="32"/>
        <v>0</v>
      </c>
      <c r="Q72" s="53" t="b">
        <f t="shared" si="33"/>
        <v>0</v>
      </c>
      <c r="R72" s="152" t="s">
        <v>175</v>
      </c>
      <c r="S72" s="184">
        <f t="shared" si="35"/>
        <v>0</v>
      </c>
      <c r="T72" s="124"/>
      <c r="U72" s="41" t="s">
        <v>175</v>
      </c>
      <c r="V72" s="70" t="e">
        <f>VLOOKUP(U72,'BASE '!$A$4:$H$144,2,0)</f>
        <v>#N/A</v>
      </c>
      <c r="W72" s="159"/>
      <c r="X72" s="159"/>
      <c r="Y72" s="160"/>
      <c r="Z72" s="158" t="e">
        <f>VLOOKUP(U72,'BASE '!$A$4:$H$144,3,0)</f>
        <v>#N/A</v>
      </c>
      <c r="AA72" s="94" t="e">
        <f t="shared" si="34"/>
        <v>#N/A</v>
      </c>
      <c r="AB72" s="95" t="e">
        <f>VLOOKUP(U72,'BASE '!$A$4:$H$144,6,0)*Y72/100</f>
        <v>#N/A</v>
      </c>
      <c r="AC72" s="95" t="e">
        <f>VLOOKUP(U72,'BASE '!$A$4:$H$144,7,0)*Y72/100</f>
        <v>#N/A</v>
      </c>
      <c r="AD72" s="95" t="e">
        <f>VLOOKUP(U72,'BASE '!$A$4:$H$144,8,0)*Y72/100</f>
        <v>#N/A</v>
      </c>
      <c r="AE72" s="96" t="e">
        <f t="shared" si="36"/>
        <v>#N/A</v>
      </c>
      <c r="AF72" s="459"/>
      <c r="AG72" s="460"/>
      <c r="AH72" s="461"/>
      <c r="AI72" s="465"/>
      <c r="AJ72" s="466"/>
      <c r="AK72" s="466"/>
      <c r="AL72" s="467"/>
      <c r="AM72" s="89"/>
      <c r="AN72" s="89"/>
      <c r="AO72" s="89"/>
      <c r="AP72" s="89"/>
      <c r="AQ72" s="89"/>
      <c r="AR72" s="89"/>
      <c r="AS72" s="104"/>
      <c r="AT72" s="104"/>
      <c r="AU72" s="105"/>
      <c r="AV72" s="105"/>
      <c r="AZ72" s="471" t="s">
        <v>163</v>
      </c>
      <c r="BA72" s="471"/>
      <c r="BB72" s="471"/>
      <c r="BC72" s="471"/>
      <c r="BD72" s="471"/>
      <c r="BE72" s="471"/>
      <c r="BF72" s="471"/>
      <c r="BG72" s="471"/>
      <c r="BH72" s="471"/>
      <c r="BI72" s="471"/>
      <c r="BJ72" s="471"/>
      <c r="BK72" s="471">
        <f>SUM(BK6:BK61)</f>
        <v>0</v>
      </c>
      <c r="BL72" s="471"/>
      <c r="BM72" s="471"/>
      <c r="BN72" s="471"/>
      <c r="BO72" s="471"/>
      <c r="DN72" s="116"/>
    </row>
    <row r="73" spans="2:118" ht="15" customHeight="1" thickBot="1" x14ac:dyDescent="0.35">
      <c r="B73" s="64"/>
      <c r="C73" s="148"/>
      <c r="D73" s="109"/>
      <c r="E73" s="63"/>
      <c r="F73" s="127"/>
      <c r="G73" s="50"/>
      <c r="H73" s="10"/>
      <c r="I73" s="10"/>
      <c r="J73" s="10"/>
      <c r="K73" s="10"/>
      <c r="L73" s="10"/>
      <c r="M73" s="39"/>
      <c r="N73" s="33">
        <f t="shared" si="31"/>
        <v>0</v>
      </c>
      <c r="O73" s="52" t="b">
        <f>IF(AND(E73="CLIENT S+L",F73="HUILE"),(S73*3333.33+(VLOOKUP(H73,'BASE '!$I$112:$J$142,2,0)))-((S73*3333.33)*G73),IF(AND(E73="CLIENT S+L",F73="LAIT"),((S73*952.4)-(S73*952.4)*G73),IF(E73="CLIENT O","OFFERT",IF(AND(F73="HUILE",E73="CLIENT L"),(((VLOOKUP(H73,'BASE '!$I$112:$J$142,2,0))+(VLOOKUP(S73,'BASE '!#REF!,2,0)))),IF(AND(F73="LAIT",E73="CLIENT L"),(S73*952.4),IF(AND(F73="HUILE",E73="CLIENT D"),(S73*3809.53+(VLOOKUP(H73,'BASE '!$I$112:$J$142,2,0))),IF(AND(F73="LAIT",E73="CLIENT D"),(S73*952.4),IF(AND(F73="HUILE",E73="CLIENT S+D"),((S73*3809.53+(VLOOKUP(H73,'BASE '!$I$112:$J$142,2,0)))-((S73*3809.53)*G73)),IF(AND(F73="LAIT",E73="CLIENT S+D"),((S73*952.4)-((S73*952.4)*G73)),IF(AND(E73="CLIENT S",F73="LAIT"),((S73*952.4)-((S73*952.4)*G73)),IF(AND(F73="HUILE",E73="CLIENT S"),(VLOOKUP(H73,'BASE '!$I$112:$J$142,2,0)+(VLOOKUP(S73,'BASE '!#REF!,2,0)))-(G73*((VLOOKUP(S73,'BASE '!#REF!,2,0)+(VLOOKUP(H73,'BASE '!$I$112:$J$142,2,0))))))))))))))))</f>
        <v>0</v>
      </c>
      <c r="P73" s="52" t="b">
        <f t="shared" si="32"/>
        <v>0</v>
      </c>
      <c r="Q73" s="53" t="b">
        <f t="shared" si="33"/>
        <v>0</v>
      </c>
      <c r="R73" s="152" t="s">
        <v>175</v>
      </c>
      <c r="S73" s="184">
        <f t="shared" si="35"/>
        <v>0</v>
      </c>
      <c r="T73" s="124"/>
      <c r="U73" s="41" t="s">
        <v>175</v>
      </c>
      <c r="V73" s="70" t="e">
        <f>VLOOKUP(U73,'BASE '!$A$4:$H$144,2,0)</f>
        <v>#N/A</v>
      </c>
      <c r="W73" s="159"/>
      <c r="X73" s="159"/>
      <c r="Y73" s="160"/>
      <c r="Z73" s="158" t="e">
        <f>VLOOKUP(U73,'BASE '!$A$4:$H$144,3,0)</f>
        <v>#N/A</v>
      </c>
      <c r="AA73" s="94" t="e">
        <f t="shared" si="34"/>
        <v>#N/A</v>
      </c>
      <c r="AB73" s="95" t="e">
        <f>VLOOKUP(U73,'BASE '!$A$4:$H$144,6,0)*Y73/100</f>
        <v>#N/A</v>
      </c>
      <c r="AC73" s="95" t="e">
        <f>VLOOKUP(U73,'BASE '!$A$4:$H$144,7,0)*Y73/100</f>
        <v>#N/A</v>
      </c>
      <c r="AD73" s="95" t="e">
        <f>VLOOKUP(U73,'BASE '!$A$4:$H$144,8,0)*Y73/100</f>
        <v>#N/A</v>
      </c>
      <c r="AE73" s="96" t="e">
        <f t="shared" si="36"/>
        <v>#N/A</v>
      </c>
      <c r="AS73" s="104"/>
      <c r="AT73" s="104"/>
      <c r="AU73" s="105"/>
      <c r="AV73" s="105"/>
      <c r="AZ73" s="471" t="s">
        <v>164</v>
      </c>
      <c r="BA73" s="471"/>
      <c r="BB73" s="471"/>
      <c r="BC73" s="471"/>
      <c r="BD73" s="471"/>
      <c r="BE73" s="471"/>
      <c r="BF73" s="471"/>
      <c r="BG73" s="471"/>
      <c r="BH73" s="471"/>
      <c r="BI73" s="471"/>
      <c r="BJ73" s="471"/>
      <c r="BK73" s="471"/>
      <c r="BL73" s="471">
        <f>SUM(BL6:BL61)</f>
        <v>0</v>
      </c>
      <c r="BM73" s="471"/>
      <c r="BN73" s="471"/>
      <c r="BO73" s="471"/>
      <c r="DN73" s="116"/>
    </row>
    <row r="74" spans="2:118" ht="15" customHeight="1" thickBot="1" x14ac:dyDescent="0.35">
      <c r="B74" s="64"/>
      <c r="C74" s="148"/>
      <c r="D74" s="109"/>
      <c r="E74" s="63"/>
      <c r="F74" s="127"/>
      <c r="G74" s="50"/>
      <c r="H74" s="10"/>
      <c r="I74" s="10"/>
      <c r="J74" s="10"/>
      <c r="K74" s="10"/>
      <c r="L74" s="10"/>
      <c r="M74" s="39"/>
      <c r="N74" s="33">
        <f t="shared" si="31"/>
        <v>0</v>
      </c>
      <c r="O74" s="52" t="b">
        <f>IF(AND(E74="CLIENT S+L",F74="HUILE"),(S74*3333.33+(VLOOKUP(H74,'BASE '!$I$112:$J$142,2,0)))-((S74*3333.33)*G74),IF(AND(E74="CLIENT S+L",F74="LAIT"),((S74*952.4)-(S74*952.4)*G74),IF(E74="CLIENT O","OFFERT",IF(AND(F74="HUILE",E74="CLIENT L"),(((VLOOKUP(H74,'BASE '!$I$112:$J$142,2,0))+(VLOOKUP(S74,'BASE '!#REF!,2,0)))),IF(AND(F74="LAIT",E74="CLIENT L"),(S74*952.4),IF(AND(F74="HUILE",E74="CLIENT D"),(S74*3809.53+(VLOOKUP(H74,'BASE '!$I$112:$J$142,2,0))),IF(AND(F74="LAIT",E74="CLIENT D"),(S74*952.4),IF(AND(F74="HUILE",E74="CLIENT S+D"),((S74*3809.53+(VLOOKUP(H74,'BASE '!$I$112:$J$142,2,0)))-((S74*3809.53)*G74)),IF(AND(F74="LAIT",E74="CLIENT S+D"),((S74*952.4)-((S74*952.4)*G74)),IF(AND(E74="CLIENT S",F74="LAIT"),((S74*952.4)-((S74*952.4)*G74)),IF(AND(F74="HUILE",E74="CLIENT S"),(VLOOKUP(H74,'BASE '!$I$112:$J$142,2,0)+(VLOOKUP(S74,'BASE '!#REF!,2,0)))-(G74*((VLOOKUP(S74,'BASE '!#REF!,2,0)+(VLOOKUP(H74,'BASE '!$I$112:$J$142,2,0))))))))))))))))</f>
        <v>0</v>
      </c>
      <c r="P74" s="52" t="b">
        <f t="shared" si="32"/>
        <v>0</v>
      </c>
      <c r="Q74" s="53" t="b">
        <f t="shared" si="33"/>
        <v>0</v>
      </c>
      <c r="R74" s="152" t="s">
        <v>175</v>
      </c>
      <c r="S74" s="184">
        <f t="shared" si="35"/>
        <v>0</v>
      </c>
      <c r="T74" s="124"/>
      <c r="U74" s="41" t="s">
        <v>175</v>
      </c>
      <c r="V74" s="70" t="e">
        <f>VLOOKUP(U74,'BASE '!$A$4:$H$144,2,0)</f>
        <v>#N/A</v>
      </c>
      <c r="W74" s="159"/>
      <c r="X74" s="159"/>
      <c r="Y74" s="160"/>
      <c r="Z74" s="158" t="e">
        <f>VLOOKUP(U74,'BASE '!$A$4:$H$144,3,0)</f>
        <v>#N/A</v>
      </c>
      <c r="AA74" s="94" t="e">
        <f t="shared" si="34"/>
        <v>#N/A</v>
      </c>
      <c r="AB74" s="95" t="e">
        <f>VLOOKUP(U74,'BASE '!$A$4:$H$144,6,0)*Y74/100</f>
        <v>#N/A</v>
      </c>
      <c r="AC74" s="95" t="e">
        <f>VLOOKUP(U74,'BASE '!$A$4:$H$144,7,0)*Y74/100</f>
        <v>#N/A</v>
      </c>
      <c r="AD74" s="95" t="e">
        <f>VLOOKUP(U74,'BASE '!$A$4:$H$144,8,0)*Y74/100</f>
        <v>#N/A</v>
      </c>
      <c r="AE74" s="96" t="e">
        <f t="shared" si="36"/>
        <v>#N/A</v>
      </c>
      <c r="AS74" s="104"/>
      <c r="AT74" s="104"/>
      <c r="AU74" s="105"/>
      <c r="AV74" s="105"/>
      <c r="AZ74" s="471" t="s">
        <v>161</v>
      </c>
      <c r="BA74" s="471"/>
      <c r="BB74" s="471"/>
      <c r="BC74" s="471"/>
      <c r="BD74" s="471"/>
      <c r="BE74" s="471"/>
      <c r="BF74" s="471"/>
      <c r="BG74" s="471"/>
      <c r="BH74" s="471"/>
      <c r="BI74" s="471"/>
      <c r="BJ74" s="471"/>
      <c r="BK74" s="471"/>
      <c r="BL74" s="471"/>
      <c r="BM74" s="471">
        <f>SUM(BN6:BN61)</f>
        <v>0</v>
      </c>
      <c r="BN74" s="471"/>
      <c r="BO74" s="471"/>
      <c r="DN74" s="116"/>
    </row>
    <row r="75" spans="2:118" ht="15" customHeight="1" thickBot="1" x14ac:dyDescent="0.35">
      <c r="B75" s="64"/>
      <c r="C75" s="148"/>
      <c r="D75" s="109"/>
      <c r="E75" s="63"/>
      <c r="F75" s="127"/>
      <c r="G75" s="50"/>
      <c r="H75" s="10"/>
      <c r="I75" s="10"/>
      <c r="J75" s="10"/>
      <c r="K75" s="10"/>
      <c r="L75" s="10"/>
      <c r="M75" s="39"/>
      <c r="N75" s="33">
        <f t="shared" si="31"/>
        <v>0</v>
      </c>
      <c r="O75" s="52" t="b">
        <f>IF(AND(E75="CLIENT S+L",F75="HUILE"),(S75*3333.33+(VLOOKUP(H75,'BASE '!$I$112:$J$142,2,0)))-((S75*3333.33)*G75),IF(AND(E75="CLIENT S+L",F75="LAIT"),((S75*952.4)-(S75*952.4)*G75),IF(E75="CLIENT O","OFFERT",IF(AND(F75="HUILE",E75="CLIENT L"),(((VLOOKUP(H75,'BASE '!$I$112:$J$142,2,0))+(VLOOKUP(S75,'BASE '!#REF!,2,0)))),IF(AND(F75="LAIT",E75="CLIENT L"),(S75*952.4),IF(AND(F75="HUILE",E75="CLIENT D"),(S75*3809.53+(VLOOKUP(H75,'BASE '!$I$112:$J$142,2,0))),IF(AND(F75="LAIT",E75="CLIENT D"),(S75*952.4),IF(AND(F75="HUILE",E75="CLIENT S+D"),((S75*3809.53+(VLOOKUP(H75,'BASE '!$I$112:$J$142,2,0)))-((S75*3809.53)*G75)),IF(AND(F75="LAIT",E75="CLIENT S+D"),((S75*952.4)-((S75*952.4)*G75)),IF(AND(E75="CLIENT S",F75="LAIT"),((S75*952.4)-((S75*952.4)*G75)),IF(AND(F75="HUILE",E75="CLIENT S"),(VLOOKUP(H75,'BASE '!$I$112:$J$142,2,0)+(VLOOKUP(S75,'BASE '!#REF!,2,0)))-(G75*((VLOOKUP(S75,'BASE '!#REF!,2,0)+(VLOOKUP(H75,'BASE '!$I$112:$J$142,2,0))))))))))))))))</f>
        <v>0</v>
      </c>
      <c r="P75" s="52" t="b">
        <f t="shared" si="32"/>
        <v>0</v>
      </c>
      <c r="Q75" s="53" t="b">
        <f t="shared" si="33"/>
        <v>0</v>
      </c>
      <c r="R75" s="152" t="s">
        <v>175</v>
      </c>
      <c r="S75" s="184">
        <f t="shared" si="35"/>
        <v>0</v>
      </c>
      <c r="T75" s="124"/>
      <c r="U75" s="41" t="s">
        <v>175</v>
      </c>
      <c r="V75" s="70" t="e">
        <f>VLOOKUP(U75,'BASE '!$A$4:$H$144,2,0)</f>
        <v>#N/A</v>
      </c>
      <c r="W75" s="159"/>
      <c r="X75" s="159"/>
      <c r="Y75" s="160"/>
      <c r="Z75" s="158" t="e">
        <f>VLOOKUP(U75,'BASE '!$A$4:$H$144,3,0)</f>
        <v>#N/A</v>
      </c>
      <c r="AA75" s="94" t="e">
        <f t="shared" si="34"/>
        <v>#N/A</v>
      </c>
      <c r="AB75" s="95" t="e">
        <f>VLOOKUP(U75,'BASE '!$A$4:$H$144,6,0)*Y75/100</f>
        <v>#N/A</v>
      </c>
      <c r="AC75" s="95" t="e">
        <f>VLOOKUP(U75,'BASE '!$A$4:$H$144,7,0)*Y75/100</f>
        <v>#N/A</v>
      </c>
      <c r="AD75" s="95" t="e">
        <f>VLOOKUP(U75,'BASE '!$A$4:$H$144,8,0)*Y75/100</f>
        <v>#N/A</v>
      </c>
      <c r="AE75" s="96" t="e">
        <f t="shared" si="36"/>
        <v>#N/A</v>
      </c>
      <c r="AS75" s="168"/>
      <c r="AT75" s="12"/>
      <c r="AU75" s="12"/>
      <c r="AV75" s="12"/>
      <c r="AZ75" s="470" t="s">
        <v>160</v>
      </c>
      <c r="BA75" s="470"/>
      <c r="BB75" s="470"/>
      <c r="BC75" s="470"/>
      <c r="BD75" s="470"/>
      <c r="BE75" s="470"/>
      <c r="BF75" s="470"/>
      <c r="BG75" s="470"/>
      <c r="BH75" s="470"/>
      <c r="BI75" s="470"/>
      <c r="BJ75" s="470"/>
      <c r="BK75" s="470"/>
      <c r="BL75" s="470"/>
      <c r="BM75" s="470">
        <f>SUM(BM6:BM61)</f>
        <v>0</v>
      </c>
      <c r="BN75" s="470"/>
      <c r="BO75" s="470"/>
      <c r="DN75" s="116" t="e">
        <f>(($I$5*#REF!)/100)+((#REF!*$J$5)/100)+(($K$5*#REF!)/100)+($L$5*#REF!)+($M$5*#REF!)</f>
        <v>#REF!</v>
      </c>
    </row>
    <row r="76" spans="2:118" x14ac:dyDescent="0.3">
      <c r="B76" s="64"/>
      <c r="C76" s="148"/>
      <c r="D76" s="109"/>
      <c r="E76" s="63"/>
      <c r="F76" s="127"/>
      <c r="G76" s="50"/>
      <c r="H76" s="10"/>
      <c r="I76" s="10"/>
      <c r="J76" s="10"/>
      <c r="K76" s="10"/>
      <c r="L76" s="10"/>
      <c r="M76" s="39"/>
      <c r="N76" s="33">
        <f t="shared" si="31"/>
        <v>0</v>
      </c>
      <c r="O76" s="52" t="b">
        <f>IF(AND(E76="CLIENT S+L",F76="HUILE"),(S76*3333.33+(VLOOKUP(H76,'BASE '!$I$112:$J$142,2,0)))-((S76*3333.33)*G76),IF(AND(E76="CLIENT S+L",F76="LAIT"),((S76*952.4)-(S76*952.4)*G76),IF(E76="CLIENT O","OFFERT",IF(AND(F76="HUILE",E76="CLIENT L"),(((VLOOKUP(H76,'BASE '!$I$112:$J$142,2,0))+(VLOOKUP(S76,'BASE '!#REF!,2,0)))),IF(AND(F76="LAIT",E76="CLIENT L"),(S76*952.4),IF(AND(F76="HUILE",E76="CLIENT D"),(S76*3809.53+(VLOOKUP(H76,'BASE '!$I$112:$J$142,2,0))),IF(AND(F76="LAIT",E76="CLIENT D"),(S76*952.4),IF(AND(F76="HUILE",E76="CLIENT S+D"),((S76*3809.53+(VLOOKUP(H76,'BASE '!$I$112:$J$142,2,0)))-((S76*3809.53)*G76)),IF(AND(F76="LAIT",E76="CLIENT S+D"),((S76*952.4)-((S76*952.4)*G76)),IF(AND(E76="CLIENT S",F76="LAIT"),((S76*952.4)-((S76*952.4)*G76)),IF(AND(F76="HUILE",E76="CLIENT S"),(VLOOKUP(H76,'BASE '!$I$112:$J$142,2,0)+(VLOOKUP(S76,'BASE '!#REF!,2,0)))-(G76*((VLOOKUP(S76,'BASE '!#REF!,2,0)+(VLOOKUP(H76,'BASE '!$I$112:$J$142,2,0))))))))))))))))</f>
        <v>0</v>
      </c>
      <c r="P76" s="52" t="b">
        <f t="shared" si="32"/>
        <v>0</v>
      </c>
      <c r="Q76" s="53" t="b">
        <f t="shared" si="33"/>
        <v>0</v>
      </c>
      <c r="R76" s="152" t="s">
        <v>175</v>
      </c>
      <c r="S76" s="184">
        <f t="shared" si="35"/>
        <v>0</v>
      </c>
      <c r="T76" s="124"/>
      <c r="U76" s="41" t="s">
        <v>175</v>
      </c>
      <c r="V76" s="70" t="e">
        <f>VLOOKUP(U76,'BASE '!$A$4:$H$144,2,0)</f>
        <v>#N/A</v>
      </c>
      <c r="W76" s="159"/>
      <c r="X76" s="159"/>
      <c r="Y76" s="160"/>
      <c r="Z76" s="158" t="e">
        <f>VLOOKUP(U76,'BASE '!$A$4:$H$144,3,0)</f>
        <v>#N/A</v>
      </c>
      <c r="AA76" s="94" t="e">
        <f t="shared" si="34"/>
        <v>#N/A</v>
      </c>
      <c r="AB76" s="95" t="e">
        <f>VLOOKUP(U76,'BASE '!$A$4:$H$144,6,0)*Y76/100</f>
        <v>#N/A</v>
      </c>
      <c r="AC76" s="95" t="e">
        <f>VLOOKUP(U76,'BASE '!$A$4:$H$144,7,0)*Y76/100</f>
        <v>#N/A</v>
      </c>
      <c r="AD76" s="95" t="e">
        <f>VLOOKUP(U76,'BASE '!$A$4:$H$144,8,0)*Y76/100</f>
        <v>#N/A</v>
      </c>
      <c r="AE76" s="96" t="e">
        <f t="shared" si="36"/>
        <v>#N/A</v>
      </c>
      <c r="AS76" s="168"/>
      <c r="AT76" s="12"/>
      <c r="AU76" s="12"/>
      <c r="AV76" s="12"/>
      <c r="DN76" s="116" t="e">
        <f>(($I$5*#REF!)/100)+((#REF!*$J$5)/100)+(($K$5*#REF!)/100)+($L$5*#REF!)+($M$5*#REF!)</f>
        <v>#REF!</v>
      </c>
    </row>
    <row r="77" spans="2:118" x14ac:dyDescent="0.3">
      <c r="B77" s="64"/>
      <c r="C77" s="148"/>
      <c r="D77" s="109"/>
      <c r="E77" s="63"/>
      <c r="F77" s="127"/>
      <c r="G77" s="50"/>
      <c r="H77" s="10"/>
      <c r="I77" s="10"/>
      <c r="J77" s="10"/>
      <c r="K77" s="10"/>
      <c r="L77" s="10"/>
      <c r="M77" s="39"/>
      <c r="N77" s="33">
        <f t="shared" si="31"/>
        <v>0</v>
      </c>
      <c r="O77" s="52" t="b">
        <f>IF(AND(E77="CLIENT S+L",F77="HUILE"),(S77*3333.33+(VLOOKUP(H77,'BASE '!$I$112:$J$142,2,0)))-((S77*3333.33)*G77),IF(AND(E77="CLIENT S+L",F77="LAIT"),((S77*952.4)-(S77*952.4)*G77),IF(E77="CLIENT O","OFFERT",IF(AND(F77="HUILE",E77="CLIENT L"),(((VLOOKUP(H77,'BASE '!$I$112:$J$142,2,0))+(VLOOKUP(S77,'BASE '!#REF!,2,0)))),IF(AND(F77="LAIT",E77="CLIENT L"),(S77*952.4),IF(AND(F77="HUILE",E77="CLIENT D"),(S77*3809.53+(VLOOKUP(H77,'BASE '!$I$112:$J$142,2,0))),IF(AND(F77="LAIT",E77="CLIENT D"),(S77*952.4),IF(AND(F77="HUILE",E77="CLIENT S+D"),((S77*3809.53+(VLOOKUP(H77,'BASE '!$I$112:$J$142,2,0)))-((S77*3809.53)*G77)),IF(AND(F77="LAIT",E77="CLIENT S+D"),((S77*952.4)-((S77*952.4)*G77)),IF(AND(E77="CLIENT S",F77="LAIT"),((S77*952.4)-((S77*952.4)*G77)),IF(AND(F77="HUILE",E77="CLIENT S"),(VLOOKUP(H77,'BASE '!$I$112:$J$142,2,0)+(VLOOKUP(S77,'BASE '!#REF!,2,0)))-(G77*((VLOOKUP(S77,'BASE '!#REF!,2,0)+(VLOOKUP(H77,'BASE '!$I$112:$J$142,2,0))))))))))))))))</f>
        <v>0</v>
      </c>
      <c r="P77" s="52" t="b">
        <f t="shared" si="32"/>
        <v>0</v>
      </c>
      <c r="Q77" s="53" t="b">
        <f t="shared" si="33"/>
        <v>0</v>
      </c>
      <c r="R77" s="152" t="s">
        <v>175</v>
      </c>
      <c r="S77" s="184">
        <f t="shared" si="35"/>
        <v>0</v>
      </c>
      <c r="T77" s="124"/>
      <c r="U77" s="41" t="s">
        <v>175</v>
      </c>
      <c r="V77" s="70" t="e">
        <f>VLOOKUP(U77,'BASE '!$A$4:$H$144,2,0)</f>
        <v>#N/A</v>
      </c>
      <c r="W77" s="159"/>
      <c r="X77" s="159"/>
      <c r="Y77" s="160"/>
      <c r="Z77" s="158" t="e">
        <f>VLOOKUP(U77,'BASE '!$A$4:$H$144,3,0)</f>
        <v>#N/A</v>
      </c>
      <c r="AA77" s="94" t="e">
        <f t="shared" si="34"/>
        <v>#N/A</v>
      </c>
      <c r="AB77" s="95" t="e">
        <f>VLOOKUP(U77,'BASE '!$A$4:$H$144,6,0)*Y77/100</f>
        <v>#N/A</v>
      </c>
      <c r="AC77" s="95" t="e">
        <f>VLOOKUP(U77,'BASE '!$A$4:$H$144,7,0)*Y77/100</f>
        <v>#N/A</v>
      </c>
      <c r="AD77" s="95" t="e">
        <f>VLOOKUP(U77,'BASE '!$A$4:$H$144,8,0)*Y77/100</f>
        <v>#N/A</v>
      </c>
      <c r="AE77" s="96" t="e">
        <f t="shared" si="36"/>
        <v>#N/A</v>
      </c>
      <c r="DN77" s="116" t="e">
        <f>(($I$5*#REF!)/100)+((#REF!*$J$5)/100)+(($K$5*#REF!)/100)+($L$5*#REF!)+($M$5*#REF!)</f>
        <v>#REF!</v>
      </c>
    </row>
    <row r="78" spans="2:118" x14ac:dyDescent="0.3">
      <c r="B78" s="64"/>
      <c r="C78" s="148"/>
      <c r="D78" s="109"/>
      <c r="E78" s="63"/>
      <c r="F78" s="127"/>
      <c r="G78" s="50"/>
      <c r="H78" s="10"/>
      <c r="I78" s="10"/>
      <c r="J78" s="10"/>
      <c r="K78" s="10"/>
      <c r="L78" s="10"/>
      <c r="M78" s="39"/>
      <c r="N78" s="33">
        <f t="shared" si="31"/>
        <v>0</v>
      </c>
      <c r="O78" s="52" t="b">
        <f>IF(AND(E78="CLIENT S+L",F78="HUILE"),(S78*3333.33+(VLOOKUP(H78,'BASE '!$I$112:$J$142,2,0)))-((S78*3333.33)*G78),IF(AND(E78="CLIENT S+L",F78="LAIT"),((S78*952.4)-(S78*952.4)*G78),IF(E78="CLIENT O","OFFERT",IF(AND(F78="HUILE",E78="CLIENT L"),(((VLOOKUP(H78,'BASE '!$I$112:$J$142,2,0))+(VLOOKUP(S78,'BASE '!#REF!,2,0)))),IF(AND(F78="LAIT",E78="CLIENT L"),(S78*952.4),IF(AND(F78="HUILE",E78="CLIENT D"),(S78*3809.53+(VLOOKUP(H78,'BASE '!$I$112:$J$142,2,0))),IF(AND(F78="LAIT",E78="CLIENT D"),(S78*952.4),IF(AND(F78="HUILE",E78="CLIENT S+D"),((S78*3809.53+(VLOOKUP(H78,'BASE '!$I$112:$J$142,2,0)))-((S78*3809.53)*G78)),IF(AND(F78="LAIT",E78="CLIENT S+D"),((S78*952.4)-((S78*952.4)*G78)),IF(AND(E78="CLIENT S",F78="LAIT"),((S78*952.4)-((S78*952.4)*G78)),IF(AND(F78="HUILE",E78="CLIENT S"),(VLOOKUP(H78,'BASE '!$I$112:$J$142,2,0)+(VLOOKUP(S78,'BASE '!#REF!,2,0)))-(G78*((VLOOKUP(S78,'BASE '!#REF!,2,0)+(VLOOKUP(H78,'BASE '!$I$112:$J$142,2,0))))))))))))))))</f>
        <v>0</v>
      </c>
      <c r="P78" s="52" t="b">
        <f t="shared" si="32"/>
        <v>0</v>
      </c>
      <c r="Q78" s="53" t="b">
        <f t="shared" si="33"/>
        <v>0</v>
      </c>
      <c r="R78" s="152" t="s">
        <v>175</v>
      </c>
      <c r="S78" s="184">
        <f t="shared" si="35"/>
        <v>0</v>
      </c>
      <c r="T78" s="124"/>
      <c r="U78" s="41" t="s">
        <v>175</v>
      </c>
      <c r="V78" s="70" t="e">
        <f>VLOOKUP(U78,'BASE '!$A$4:$H$144,2,0)</f>
        <v>#N/A</v>
      </c>
      <c r="W78" s="159"/>
      <c r="X78" s="159"/>
      <c r="Y78" s="160"/>
      <c r="Z78" s="158" t="e">
        <f>VLOOKUP(U78,'BASE '!$A$4:$H$144,3,0)</f>
        <v>#N/A</v>
      </c>
      <c r="AA78" s="94" t="e">
        <f t="shared" si="34"/>
        <v>#N/A</v>
      </c>
      <c r="AB78" s="95" t="e">
        <f>VLOOKUP(U78,'BASE '!$A$4:$H$144,6,0)*Y78/100</f>
        <v>#N/A</v>
      </c>
      <c r="AC78" s="95" t="e">
        <f>VLOOKUP(U78,'BASE '!$A$4:$H$144,7,0)*Y78/100</f>
        <v>#N/A</v>
      </c>
      <c r="AD78" s="95" t="e">
        <f>VLOOKUP(U78,'BASE '!$A$4:$H$144,8,0)*Y78/100</f>
        <v>#N/A</v>
      </c>
      <c r="AE78" s="96" t="e">
        <f t="shared" si="36"/>
        <v>#N/A</v>
      </c>
      <c r="DN78" s="116" t="e">
        <f>(($I$5*#REF!)/100)+((#REF!*$J$5)/100)+(($K$5*#REF!)/100)+($L$5*#REF!)+($M$5*#REF!)</f>
        <v>#REF!</v>
      </c>
    </row>
    <row r="79" spans="2:118" x14ac:dyDescent="0.3">
      <c r="B79" s="64"/>
      <c r="C79" s="148"/>
      <c r="D79" s="109"/>
      <c r="E79" s="63"/>
      <c r="F79" s="127"/>
      <c r="G79" s="50"/>
      <c r="H79" s="10"/>
      <c r="I79" s="10"/>
      <c r="J79" s="10"/>
      <c r="K79" s="10"/>
      <c r="L79" s="10"/>
      <c r="M79" s="39"/>
      <c r="N79" s="33">
        <f t="shared" si="31"/>
        <v>0</v>
      </c>
      <c r="O79" s="52" t="b">
        <f>IF(AND(E79="CLIENT S+L",F79="HUILE"),(S79*3333.33+(VLOOKUP(H79,'BASE '!$I$112:$J$142,2,0)))-((S79*3333.33)*G79),IF(AND(E79="CLIENT S+L",F79="LAIT"),((S79*952.4)-(S79*952.4)*G79),IF(E79="CLIENT O","OFFERT",IF(AND(F79="HUILE",E79="CLIENT L"),(((VLOOKUP(H79,'BASE '!$I$112:$J$142,2,0))+(VLOOKUP(S79,'BASE '!#REF!,2,0)))),IF(AND(F79="LAIT",E79="CLIENT L"),(S79*952.4),IF(AND(F79="HUILE",E79="CLIENT D"),(S79*3809.53+(VLOOKUP(H79,'BASE '!$I$112:$J$142,2,0))),IF(AND(F79="LAIT",E79="CLIENT D"),(S79*952.4),IF(AND(F79="HUILE",E79="CLIENT S+D"),((S79*3809.53+(VLOOKUP(H79,'BASE '!$I$112:$J$142,2,0)))-((S79*3809.53)*G79)),IF(AND(F79="LAIT",E79="CLIENT S+D"),((S79*952.4)-((S79*952.4)*G79)),IF(AND(E79="CLIENT S",F79="LAIT"),((S79*952.4)-((S79*952.4)*G79)),IF(AND(F79="HUILE",E79="CLIENT S"),(VLOOKUP(H79,'BASE '!$I$112:$J$142,2,0)+(VLOOKUP(S79,'BASE '!#REF!,2,0)))-(G79*((VLOOKUP(S79,'BASE '!#REF!,2,0)+(VLOOKUP(H79,'BASE '!$I$112:$J$142,2,0))))))))))))))))</f>
        <v>0</v>
      </c>
      <c r="P79" s="52" t="b">
        <f t="shared" si="32"/>
        <v>0</v>
      </c>
      <c r="Q79" s="53" t="b">
        <f t="shared" si="33"/>
        <v>0</v>
      </c>
      <c r="R79" s="152" t="s">
        <v>175</v>
      </c>
      <c r="S79" s="184">
        <f t="shared" si="35"/>
        <v>0</v>
      </c>
      <c r="T79" s="124"/>
      <c r="U79" s="41" t="s">
        <v>175</v>
      </c>
      <c r="V79" s="70" t="e">
        <f>VLOOKUP(U79,'BASE '!$A$4:$H$144,2,0)</f>
        <v>#N/A</v>
      </c>
      <c r="W79" s="159"/>
      <c r="X79" s="159"/>
      <c r="Y79" s="160"/>
      <c r="Z79" s="158" t="e">
        <f>VLOOKUP(U79,'BASE '!$A$4:$H$144,3,0)</f>
        <v>#N/A</v>
      </c>
      <c r="AA79" s="94" t="e">
        <f t="shared" si="34"/>
        <v>#N/A</v>
      </c>
      <c r="AB79" s="95" t="e">
        <f>VLOOKUP(U79,'BASE '!$A$4:$H$144,6,0)*Y79/100</f>
        <v>#N/A</v>
      </c>
      <c r="AC79" s="95" t="e">
        <f>VLOOKUP(U79,'BASE '!$A$4:$H$144,7,0)*Y79/100</f>
        <v>#N/A</v>
      </c>
      <c r="AD79" s="95" t="e">
        <f>VLOOKUP(U79,'BASE '!$A$4:$H$144,8,0)*Y79/100</f>
        <v>#N/A</v>
      </c>
      <c r="AE79" s="96" t="e">
        <f t="shared" si="36"/>
        <v>#N/A</v>
      </c>
      <c r="DN79" s="116" t="e">
        <f>(($I$5*#REF!)/100)+((#REF!*$J$5)/100)+(($K$5*#REF!)/100)+($L$5*#REF!)+($M$5*#REF!)</f>
        <v>#REF!</v>
      </c>
    </row>
    <row r="80" spans="2:118" x14ac:dyDescent="0.3">
      <c r="B80" s="64"/>
      <c r="C80" s="148"/>
      <c r="D80" s="109"/>
      <c r="E80" s="63"/>
      <c r="F80" s="127"/>
      <c r="G80" s="50"/>
      <c r="H80" s="10"/>
      <c r="I80" s="10"/>
      <c r="J80" s="10"/>
      <c r="K80" s="10"/>
      <c r="L80" s="10"/>
      <c r="M80" s="39"/>
      <c r="N80" s="33">
        <f t="shared" si="31"/>
        <v>0</v>
      </c>
      <c r="O80" s="52" t="b">
        <f>IF(AND(E80="CLIENT S+L",F80="HUILE"),(S80*3333.33+(VLOOKUP(H80,'BASE '!$I$112:$J$142,2,0)))-((S80*3333.33)*G80),IF(AND(E80="CLIENT S+L",F80="LAIT"),((S80*952.4)-(S80*952.4)*G80),IF(E80="CLIENT O","OFFERT",IF(AND(F80="HUILE",E80="CLIENT L"),(((VLOOKUP(H80,'BASE '!$I$112:$J$142,2,0))+(VLOOKUP(S80,'BASE '!#REF!,2,0)))),IF(AND(F80="LAIT",E80="CLIENT L"),(S80*952.4),IF(AND(F80="HUILE",E80="CLIENT D"),(S80*3809.53+(VLOOKUP(H80,'BASE '!$I$112:$J$142,2,0))),IF(AND(F80="LAIT",E80="CLIENT D"),(S80*952.4),IF(AND(F80="HUILE",E80="CLIENT S+D"),((S80*3809.53+(VLOOKUP(H80,'BASE '!$I$112:$J$142,2,0)))-((S80*3809.53)*G80)),IF(AND(F80="LAIT",E80="CLIENT S+D"),((S80*952.4)-((S80*952.4)*G80)),IF(AND(E80="CLIENT S",F80="LAIT"),((S80*952.4)-((S80*952.4)*G80)),IF(AND(F80="HUILE",E80="CLIENT S"),(VLOOKUP(H80,'BASE '!$I$112:$J$142,2,0)+(VLOOKUP(S80,'BASE '!#REF!,2,0)))-(G80*((VLOOKUP(S80,'BASE '!#REF!,2,0)+(VLOOKUP(H80,'BASE '!$I$112:$J$142,2,0))))))))))))))))</f>
        <v>0</v>
      </c>
      <c r="P80" s="52" t="b">
        <f t="shared" si="32"/>
        <v>0</v>
      </c>
      <c r="Q80" s="53" t="b">
        <f t="shared" si="33"/>
        <v>0</v>
      </c>
      <c r="R80" s="152" t="s">
        <v>175</v>
      </c>
      <c r="S80" s="184">
        <f t="shared" si="35"/>
        <v>0</v>
      </c>
      <c r="T80" s="124"/>
      <c r="U80" s="41" t="s">
        <v>175</v>
      </c>
      <c r="V80" s="70" t="e">
        <f>VLOOKUP(U80,'BASE '!$A$4:$H$144,2,0)</f>
        <v>#N/A</v>
      </c>
      <c r="W80" s="159"/>
      <c r="X80" s="159"/>
      <c r="Y80" s="160"/>
      <c r="Z80" s="158" t="e">
        <f>VLOOKUP(U80,'BASE '!$A$4:$H$144,3,0)</f>
        <v>#N/A</v>
      </c>
      <c r="AA80" s="94" t="e">
        <f t="shared" si="34"/>
        <v>#N/A</v>
      </c>
      <c r="AB80" s="95" t="e">
        <f>VLOOKUP(U80,'BASE '!$A$4:$H$144,6,0)*Y80/100</f>
        <v>#N/A</v>
      </c>
      <c r="AC80" s="95" t="e">
        <f>VLOOKUP(U80,'BASE '!$A$4:$H$144,7,0)*Y80/100</f>
        <v>#N/A</v>
      </c>
      <c r="AD80" s="95" t="e">
        <f>VLOOKUP(U80,'BASE '!$A$4:$H$144,8,0)*Y80/100</f>
        <v>#N/A</v>
      </c>
      <c r="AE80" s="96" t="e">
        <f t="shared" si="36"/>
        <v>#N/A</v>
      </c>
      <c r="DN80" s="116" t="e">
        <f>(($I$5*#REF!)/100)+((#REF!*$J$5)/100)+(($K$5*#REF!)/100)+($L$5*#REF!)+($M$5*#REF!)</f>
        <v>#REF!</v>
      </c>
    </row>
    <row r="81" spans="2:118" x14ac:dyDescent="0.3">
      <c r="B81" s="64"/>
      <c r="C81" s="148"/>
      <c r="D81" s="109"/>
      <c r="E81" s="63"/>
      <c r="F81" s="127"/>
      <c r="G81" s="50"/>
      <c r="H81" s="10"/>
      <c r="I81" s="10"/>
      <c r="J81" s="10"/>
      <c r="K81" s="10"/>
      <c r="L81" s="10"/>
      <c r="M81" s="39"/>
      <c r="N81" s="33">
        <f t="shared" si="31"/>
        <v>0</v>
      </c>
      <c r="O81" s="52" t="b">
        <f>IF(AND(E81="CLIENT S+L",F81="HUILE"),(S81*3333.33+(VLOOKUP(H81,'BASE '!$I$112:$J$142,2,0)))-((S81*3333.33)*G81),IF(AND(E81="CLIENT S+L",F81="LAIT"),((S81*952.4)-(S81*952.4)*G81),IF(E81="CLIENT O","OFFERT",IF(AND(F81="HUILE",E81="CLIENT L"),(((VLOOKUP(H81,'BASE '!$I$112:$J$142,2,0))+(VLOOKUP(S81,'BASE '!#REF!,2,0)))),IF(AND(F81="LAIT",E81="CLIENT L"),(S81*952.4),IF(AND(F81="HUILE",E81="CLIENT D"),(S81*3809.53+(VLOOKUP(H81,'BASE '!$I$112:$J$142,2,0))),IF(AND(F81="LAIT",E81="CLIENT D"),(S81*952.4),IF(AND(F81="HUILE",E81="CLIENT S+D"),((S81*3809.53+(VLOOKUP(H81,'BASE '!$I$112:$J$142,2,0)))-((S81*3809.53)*G81)),IF(AND(F81="LAIT",E81="CLIENT S+D"),((S81*952.4)-((S81*952.4)*G81)),IF(AND(E81="CLIENT S",F81="LAIT"),((S81*952.4)-((S81*952.4)*G81)),IF(AND(F81="HUILE",E81="CLIENT S"),(VLOOKUP(H81,'BASE '!$I$112:$J$142,2,0)+(VLOOKUP(S81,'BASE '!#REF!,2,0)))-(G81*((VLOOKUP(S81,'BASE '!#REF!,2,0)+(VLOOKUP(H81,'BASE '!$I$112:$J$142,2,0))))))))))))))))</f>
        <v>0</v>
      </c>
      <c r="P81" s="52" t="b">
        <f t="shared" si="32"/>
        <v>0</v>
      </c>
      <c r="Q81" s="53" t="b">
        <f t="shared" si="33"/>
        <v>0</v>
      </c>
      <c r="R81" s="152" t="s">
        <v>175</v>
      </c>
      <c r="S81" s="184">
        <f t="shared" si="35"/>
        <v>0</v>
      </c>
      <c r="T81" s="124"/>
      <c r="U81" s="41" t="s">
        <v>175</v>
      </c>
      <c r="V81" s="70" t="e">
        <f>VLOOKUP(U81,'BASE '!$A$4:$H$144,2,0)</f>
        <v>#N/A</v>
      </c>
      <c r="W81" s="159"/>
      <c r="X81" s="159"/>
      <c r="Y81" s="160"/>
      <c r="Z81" s="158" t="e">
        <f>VLOOKUP(U81,'BASE '!$A$4:$H$144,3,0)</f>
        <v>#N/A</v>
      </c>
      <c r="AA81" s="94" t="e">
        <f t="shared" si="34"/>
        <v>#N/A</v>
      </c>
      <c r="AB81" s="95" t="e">
        <f>VLOOKUP(U81,'BASE '!$A$4:$H$144,6,0)*Y81/100</f>
        <v>#N/A</v>
      </c>
      <c r="AC81" s="95" t="e">
        <f>VLOOKUP(U81,'BASE '!$A$4:$H$144,7,0)*Y81/100</f>
        <v>#N/A</v>
      </c>
      <c r="AD81" s="95" t="e">
        <f>VLOOKUP(U81,'BASE '!$A$4:$H$144,8,0)*Y81/100</f>
        <v>#N/A</v>
      </c>
      <c r="AE81" s="96" t="e">
        <f t="shared" si="36"/>
        <v>#N/A</v>
      </c>
      <c r="DN81" s="116" t="e">
        <f>(($I$5*#REF!)/100)+((#REF!*$J$5)/100)+(($K$5*#REF!)/100)+($L$5*#REF!)+($M$5*#REF!)</f>
        <v>#REF!</v>
      </c>
    </row>
    <row r="82" spans="2:118" x14ac:dyDescent="0.3">
      <c r="B82" s="64"/>
      <c r="C82" s="148"/>
      <c r="D82" s="109"/>
      <c r="E82" s="63"/>
      <c r="F82" s="127"/>
      <c r="G82" s="50"/>
      <c r="H82" s="10"/>
      <c r="I82" s="10"/>
      <c r="J82" s="10"/>
      <c r="K82" s="10"/>
      <c r="L82" s="10"/>
      <c r="M82" s="39"/>
      <c r="N82" s="33">
        <f t="shared" si="31"/>
        <v>0</v>
      </c>
      <c r="O82" s="52" t="b">
        <f>IF(AND(E82="CLIENT S+L",F82="HUILE"),(S82*3333.33+(VLOOKUP(H82,'BASE '!$I$112:$J$142,2,0)))-((S82*3333.33)*G82),IF(AND(E82="CLIENT S+L",F82="LAIT"),((S82*952.4)-(S82*952.4)*G82),IF(E82="CLIENT O","OFFERT",IF(AND(F82="HUILE",E82="CLIENT L"),(((VLOOKUP(H82,'BASE '!$I$112:$J$142,2,0))+(VLOOKUP(S82,'BASE '!#REF!,2,0)))),IF(AND(F82="LAIT",E82="CLIENT L"),(S82*952.4),IF(AND(F82="HUILE",E82="CLIENT D"),(S82*3809.53+(VLOOKUP(H82,'BASE '!$I$112:$J$142,2,0))),IF(AND(F82="LAIT",E82="CLIENT D"),(S82*952.4),IF(AND(F82="HUILE",E82="CLIENT S+D"),((S82*3809.53+(VLOOKUP(H82,'BASE '!$I$112:$J$142,2,0)))-((S82*3809.53)*G82)),IF(AND(F82="LAIT",E82="CLIENT S+D"),((S82*952.4)-((S82*952.4)*G82)),IF(AND(E82="CLIENT S",F82="LAIT"),((S82*952.4)-((S82*952.4)*G82)),IF(AND(F82="HUILE",E82="CLIENT S"),(VLOOKUP(H82,'BASE '!$I$112:$J$142,2,0)+(VLOOKUP(S82,'BASE '!#REF!,2,0)))-(G82*((VLOOKUP(S82,'BASE '!#REF!,2,0)+(VLOOKUP(H82,'BASE '!$I$112:$J$142,2,0))))))))))))))))</f>
        <v>0</v>
      </c>
      <c r="P82" s="52" t="b">
        <f t="shared" si="32"/>
        <v>0</v>
      </c>
      <c r="Q82" s="53" t="b">
        <f t="shared" si="33"/>
        <v>0</v>
      </c>
      <c r="R82" s="152" t="s">
        <v>175</v>
      </c>
      <c r="S82" s="184">
        <f t="shared" si="35"/>
        <v>0</v>
      </c>
      <c r="T82" s="124"/>
      <c r="U82" s="41" t="s">
        <v>175</v>
      </c>
      <c r="V82" s="70" t="e">
        <f>VLOOKUP(U82,'BASE '!$A$4:$H$144,2,0)</f>
        <v>#N/A</v>
      </c>
      <c r="W82" s="159"/>
      <c r="X82" s="159"/>
      <c r="Y82" s="160"/>
      <c r="Z82" s="158" t="e">
        <f>VLOOKUP(U82,'BASE '!$A$4:$H$144,3,0)</f>
        <v>#N/A</v>
      </c>
      <c r="AA82" s="94" t="e">
        <f t="shared" si="34"/>
        <v>#N/A</v>
      </c>
      <c r="AB82" s="95" t="e">
        <f>VLOOKUP(U82,'BASE '!$A$4:$H$144,6,0)*Y82/100</f>
        <v>#N/A</v>
      </c>
      <c r="AC82" s="95" t="e">
        <f>VLOOKUP(U82,'BASE '!$A$4:$H$144,7,0)*Y82/100</f>
        <v>#N/A</v>
      </c>
      <c r="AD82" s="95" t="e">
        <f>VLOOKUP(U82,'BASE '!$A$4:$H$144,8,0)*Y82/100</f>
        <v>#N/A</v>
      </c>
      <c r="AE82" s="96" t="e">
        <f t="shared" si="36"/>
        <v>#N/A</v>
      </c>
      <c r="DN82" s="116" t="e">
        <f>(($I$5*#REF!)/100)+((#REF!*$J$5)/100)+(($K$5*#REF!)/100)+($L$5*#REF!)+($M$5*#REF!)</f>
        <v>#REF!</v>
      </c>
    </row>
    <row r="83" spans="2:118" x14ac:dyDescent="0.3">
      <c r="B83" s="64"/>
      <c r="C83" s="148"/>
      <c r="D83" s="109"/>
      <c r="E83" s="63"/>
      <c r="F83" s="127"/>
      <c r="G83" s="50"/>
      <c r="H83" s="10"/>
      <c r="I83" s="10"/>
      <c r="J83" s="10"/>
      <c r="K83" s="10"/>
      <c r="L83" s="10"/>
      <c r="M83" s="39"/>
      <c r="N83" s="33">
        <f t="shared" si="31"/>
        <v>0</v>
      </c>
      <c r="O83" s="52" t="b">
        <f>IF(AND(E83="CLIENT S+L",F83="HUILE"),(S83*3333.33+(VLOOKUP(H83,'BASE '!$I$112:$J$142,2,0)))-((S83*3333.33)*G83),IF(AND(E83="CLIENT S+L",F83="LAIT"),((S83*952.4)-(S83*952.4)*G83),IF(E83="CLIENT O","OFFERT",IF(AND(F83="HUILE",E83="CLIENT L"),(((VLOOKUP(H83,'BASE '!$I$112:$J$142,2,0))+(VLOOKUP(S83,'BASE '!#REF!,2,0)))),IF(AND(F83="LAIT",E83="CLIENT L"),(S83*952.4),IF(AND(F83="HUILE",E83="CLIENT D"),(S83*3809.53+(VLOOKUP(H83,'BASE '!$I$112:$J$142,2,0))),IF(AND(F83="LAIT",E83="CLIENT D"),(S83*952.4),IF(AND(F83="HUILE",E83="CLIENT S+D"),((S83*3809.53+(VLOOKUP(H83,'BASE '!$I$112:$J$142,2,0)))-((S83*3809.53)*G83)),IF(AND(F83="LAIT",E83="CLIENT S+D"),((S83*952.4)-((S83*952.4)*G83)),IF(AND(E83="CLIENT S",F83="LAIT"),((S83*952.4)-((S83*952.4)*G83)),IF(AND(F83="HUILE",E83="CLIENT S"),(VLOOKUP(H83,'BASE '!$I$112:$J$142,2,0)+(VLOOKUP(S83,'BASE '!#REF!,2,0)))-(G83*((VLOOKUP(S83,'BASE '!#REF!,2,0)+(VLOOKUP(H83,'BASE '!$I$112:$J$142,2,0))))))))))))))))</f>
        <v>0</v>
      </c>
      <c r="P83" s="52" t="b">
        <f t="shared" si="32"/>
        <v>0</v>
      </c>
      <c r="Q83" s="53" t="b">
        <f t="shared" si="33"/>
        <v>0</v>
      </c>
      <c r="R83" s="152" t="s">
        <v>175</v>
      </c>
      <c r="S83" s="184">
        <f t="shared" si="35"/>
        <v>0</v>
      </c>
      <c r="T83" s="124"/>
      <c r="U83" s="41" t="s">
        <v>175</v>
      </c>
      <c r="V83" s="70" t="e">
        <f>VLOOKUP(U83,'BASE '!$A$4:$H$144,2,0)</f>
        <v>#N/A</v>
      </c>
      <c r="W83" s="159"/>
      <c r="X83" s="159"/>
      <c r="Y83" s="160"/>
      <c r="Z83" s="158" t="e">
        <f>VLOOKUP(U83,'BASE '!$A$4:$H$144,3,0)</f>
        <v>#N/A</v>
      </c>
      <c r="AA83" s="94" t="e">
        <f t="shared" si="34"/>
        <v>#N/A</v>
      </c>
      <c r="AB83" s="95" t="e">
        <f>VLOOKUP(U83,'BASE '!$A$4:$H$144,6,0)*Y83/100</f>
        <v>#N/A</v>
      </c>
      <c r="AC83" s="95" t="e">
        <f>VLOOKUP(U83,'BASE '!$A$4:$H$144,7,0)*Y83/100</f>
        <v>#N/A</v>
      </c>
      <c r="AD83" s="95" t="e">
        <f>VLOOKUP(U83,'BASE '!$A$4:$H$144,8,0)*Y83/100</f>
        <v>#N/A</v>
      </c>
      <c r="AE83" s="96" t="e">
        <f t="shared" si="36"/>
        <v>#N/A</v>
      </c>
      <c r="DN83" s="116" t="e">
        <f>(($I$5*#REF!)/100)+((#REF!*$J$5)/100)+(($K$5*#REF!)/100)+($L$5*#REF!)+($M$5*#REF!)</f>
        <v>#REF!</v>
      </c>
    </row>
    <row r="84" spans="2:118" x14ac:dyDescent="0.3">
      <c r="B84" s="64"/>
      <c r="C84" s="148"/>
      <c r="D84" s="109"/>
      <c r="E84" s="63"/>
      <c r="F84" s="127"/>
      <c r="G84" s="50"/>
      <c r="H84" s="10"/>
      <c r="I84" s="10"/>
      <c r="J84" s="10"/>
      <c r="K84" s="10"/>
      <c r="L84" s="10"/>
      <c r="M84" s="39"/>
      <c r="N84" s="33">
        <f t="shared" si="31"/>
        <v>0</v>
      </c>
      <c r="O84" s="52" t="b">
        <f>IF(AND(E84="CLIENT S+L",F84="HUILE"),(S84*3333.33+(VLOOKUP(H84,'BASE '!$I$112:$J$142,2,0)))-((S84*3333.33)*G84),IF(AND(E84="CLIENT S+L",F84="LAIT"),((S84*952.4)-(S84*952.4)*G84),IF(E84="CLIENT O","OFFERT",IF(AND(F84="HUILE",E84="CLIENT L"),(((VLOOKUP(H84,'BASE '!$I$112:$J$142,2,0))+(VLOOKUP(S84,'BASE '!#REF!,2,0)))),IF(AND(F84="LAIT",E84="CLIENT L"),(S84*952.4),IF(AND(F84="HUILE",E84="CLIENT D"),(S84*3809.53+(VLOOKUP(H84,'BASE '!$I$112:$J$142,2,0))),IF(AND(F84="LAIT",E84="CLIENT D"),(S84*952.4),IF(AND(F84="HUILE",E84="CLIENT S+D"),((S84*3809.53+(VLOOKUP(H84,'BASE '!$I$112:$J$142,2,0)))-((S84*3809.53)*G84)),IF(AND(F84="LAIT",E84="CLIENT S+D"),((S84*952.4)-((S84*952.4)*G84)),IF(AND(E84="CLIENT S",F84="LAIT"),((S84*952.4)-((S84*952.4)*G84)),IF(AND(F84="HUILE",E84="CLIENT S"),(VLOOKUP(H84,'BASE '!$I$112:$J$142,2,0)+(VLOOKUP(S84,'BASE '!#REF!,2,0)))-(G84*((VLOOKUP(S84,'BASE '!#REF!,2,0)+(VLOOKUP(H84,'BASE '!$I$112:$J$142,2,0))))))))))))))))</f>
        <v>0</v>
      </c>
      <c r="P84" s="52" t="b">
        <f t="shared" si="32"/>
        <v>0</v>
      </c>
      <c r="Q84" s="53" t="b">
        <f t="shared" si="33"/>
        <v>0</v>
      </c>
      <c r="R84" s="152" t="s">
        <v>175</v>
      </c>
      <c r="S84" s="184">
        <f t="shared" si="35"/>
        <v>0</v>
      </c>
      <c r="T84" s="124"/>
      <c r="U84" s="41" t="s">
        <v>175</v>
      </c>
      <c r="V84" s="70" t="e">
        <f>VLOOKUP(U84,'BASE '!$A$4:$H$144,2,0)</f>
        <v>#N/A</v>
      </c>
      <c r="W84" s="159"/>
      <c r="X84" s="159"/>
      <c r="Y84" s="160"/>
      <c r="Z84" s="158" t="e">
        <f>VLOOKUP(U84,'BASE '!$A$4:$H$144,3,0)</f>
        <v>#N/A</v>
      </c>
      <c r="AA84" s="94" t="e">
        <f t="shared" si="34"/>
        <v>#N/A</v>
      </c>
      <c r="AB84" s="95" t="e">
        <f>VLOOKUP(U84,'BASE '!$A$4:$H$144,6,0)*Y84/100</f>
        <v>#N/A</v>
      </c>
      <c r="AC84" s="95" t="e">
        <f>VLOOKUP(U84,'BASE '!$A$4:$H$144,7,0)*Y84/100</f>
        <v>#N/A</v>
      </c>
      <c r="AD84" s="95" t="e">
        <f>VLOOKUP(U84,'BASE '!$A$4:$H$144,8,0)*Y84/100</f>
        <v>#N/A</v>
      </c>
      <c r="AE84" s="96" t="e">
        <f t="shared" si="36"/>
        <v>#N/A</v>
      </c>
      <c r="DN84" s="116" t="e">
        <f>(($I$5*#REF!)/100)+((#REF!*$J$5)/100)+(($K$5*#REF!)/100)+($L$5*#REF!)+($M$5*#REF!)</f>
        <v>#REF!</v>
      </c>
    </row>
    <row r="85" spans="2:118" x14ac:dyDescent="0.3">
      <c r="B85" s="64"/>
      <c r="C85" s="148"/>
      <c r="D85" s="109"/>
      <c r="E85" s="63"/>
      <c r="F85" s="127"/>
      <c r="G85" s="50"/>
      <c r="H85" s="10"/>
      <c r="I85" s="10"/>
      <c r="J85" s="10"/>
      <c r="K85" s="10"/>
      <c r="L85" s="10"/>
      <c r="M85" s="39"/>
      <c r="N85" s="33">
        <f t="shared" si="31"/>
        <v>0</v>
      </c>
      <c r="O85" s="52" t="b">
        <f>IF(AND(E85="CLIENT S+L",F85="HUILE"),(S85*3333.33+(VLOOKUP(H85,'BASE '!$I$112:$J$142,2,0)))-((S85*3333.33)*G85),IF(AND(E85="CLIENT S+L",F85="LAIT"),((S85*952.4)-(S85*952.4)*G85),IF(E85="CLIENT O","OFFERT",IF(AND(F85="HUILE",E85="CLIENT L"),(((VLOOKUP(H85,'BASE '!$I$112:$J$142,2,0))+(VLOOKUP(S85,'BASE '!#REF!,2,0)))),IF(AND(F85="LAIT",E85="CLIENT L"),(S85*952.4),IF(AND(F85="HUILE",E85="CLIENT D"),(S85*3809.53+(VLOOKUP(H85,'BASE '!$I$112:$J$142,2,0))),IF(AND(F85="LAIT",E85="CLIENT D"),(S85*952.4),IF(AND(F85="HUILE",E85="CLIENT S+D"),((S85*3809.53+(VLOOKUP(H85,'BASE '!$I$112:$J$142,2,0)))-((S85*3809.53)*G85)),IF(AND(F85="LAIT",E85="CLIENT S+D"),((S85*952.4)-((S85*952.4)*G85)),IF(AND(E85="CLIENT S",F85="LAIT"),((S85*952.4)-((S85*952.4)*G85)),IF(AND(F85="HUILE",E85="CLIENT S"),(VLOOKUP(H85,'BASE '!$I$112:$J$142,2,0)+(VLOOKUP(S85,'BASE '!#REF!,2,0)))-(G85*((VLOOKUP(S85,'BASE '!#REF!,2,0)+(VLOOKUP(H85,'BASE '!$I$112:$J$142,2,0))))))))))))))))</f>
        <v>0</v>
      </c>
      <c r="P85" s="52" t="b">
        <f t="shared" si="32"/>
        <v>0</v>
      </c>
      <c r="Q85" s="53" t="b">
        <f t="shared" si="33"/>
        <v>0</v>
      </c>
      <c r="R85" s="152" t="s">
        <v>175</v>
      </c>
      <c r="S85" s="184">
        <f t="shared" si="35"/>
        <v>0</v>
      </c>
      <c r="T85" s="124"/>
      <c r="U85" s="41" t="s">
        <v>175</v>
      </c>
      <c r="V85" s="70" t="e">
        <f>VLOOKUP(U85,'BASE '!$A$4:$H$144,2,0)</f>
        <v>#N/A</v>
      </c>
      <c r="W85" s="159"/>
      <c r="X85" s="159"/>
      <c r="Y85" s="160"/>
      <c r="Z85" s="158" t="e">
        <f>VLOOKUP(U85,'BASE '!$A$4:$H$144,3,0)</f>
        <v>#N/A</v>
      </c>
      <c r="AA85" s="94" t="e">
        <f t="shared" si="34"/>
        <v>#N/A</v>
      </c>
      <c r="AB85" s="95" t="e">
        <f>VLOOKUP(U85,'BASE '!$A$4:$H$144,6,0)*Y85/100</f>
        <v>#N/A</v>
      </c>
      <c r="AC85" s="95" t="e">
        <f>VLOOKUP(U85,'BASE '!$A$4:$H$144,7,0)*Y85/100</f>
        <v>#N/A</v>
      </c>
      <c r="AD85" s="95" t="e">
        <f>VLOOKUP(U85,'BASE '!$A$4:$H$144,8,0)*Y85/100</f>
        <v>#N/A</v>
      </c>
      <c r="AE85" s="96" t="e">
        <f t="shared" si="36"/>
        <v>#N/A</v>
      </c>
      <c r="DN85" s="116" t="e">
        <f>(($I$5*#REF!)/100)+((#REF!*$J$5)/100)+(($K$5*#REF!)/100)+($L$5*#REF!)+($M$5*#REF!)</f>
        <v>#REF!</v>
      </c>
    </row>
    <row r="86" spans="2:118" x14ac:dyDescent="0.3">
      <c r="B86" s="64"/>
      <c r="C86" s="148"/>
      <c r="D86" s="109"/>
      <c r="E86" s="63"/>
      <c r="F86" s="127"/>
      <c r="G86" s="50"/>
      <c r="H86" s="10"/>
      <c r="I86" s="10"/>
      <c r="J86" s="10"/>
      <c r="K86" s="10"/>
      <c r="L86" s="10"/>
      <c r="M86" s="39"/>
      <c r="N86" s="33">
        <f t="shared" si="31"/>
        <v>0</v>
      </c>
      <c r="O86" s="52" t="b">
        <f>IF(AND(E86="CLIENT S+L",F86="HUILE"),(S86*3333.33+(VLOOKUP(H86,'BASE '!$I$112:$J$142,2,0)))-((S86*3333.33)*G86),IF(AND(E86="CLIENT S+L",F86="LAIT"),((S86*952.4)-(S86*952.4)*G86),IF(E86="CLIENT O","OFFERT",IF(AND(F86="HUILE",E86="CLIENT L"),(((VLOOKUP(H86,'BASE '!$I$112:$J$142,2,0))+(VLOOKUP(S86,'BASE '!#REF!,2,0)))),IF(AND(F86="LAIT",E86="CLIENT L"),(S86*952.4),IF(AND(F86="HUILE",E86="CLIENT D"),(S86*3809.53+(VLOOKUP(H86,'BASE '!$I$112:$J$142,2,0))),IF(AND(F86="LAIT",E86="CLIENT D"),(S86*952.4),IF(AND(F86="HUILE",E86="CLIENT S+D"),((S86*3809.53+(VLOOKUP(H86,'BASE '!$I$112:$J$142,2,0)))-((S86*3809.53)*G86)),IF(AND(F86="LAIT",E86="CLIENT S+D"),((S86*952.4)-((S86*952.4)*G86)),IF(AND(E86="CLIENT S",F86="LAIT"),((S86*952.4)-((S86*952.4)*G86)),IF(AND(F86="HUILE",E86="CLIENT S"),(VLOOKUP(H86,'BASE '!$I$112:$J$142,2,0)+(VLOOKUP(S86,'BASE '!#REF!,2,0)))-(G86*((VLOOKUP(S86,'BASE '!#REF!,2,0)+(VLOOKUP(H86,'BASE '!$I$112:$J$142,2,0))))))))))))))))</f>
        <v>0</v>
      </c>
      <c r="P86" s="52" t="b">
        <f t="shared" si="32"/>
        <v>0</v>
      </c>
      <c r="Q86" s="53" t="b">
        <f t="shared" si="33"/>
        <v>0</v>
      </c>
      <c r="R86" s="152" t="s">
        <v>175</v>
      </c>
      <c r="S86" s="184">
        <f t="shared" si="35"/>
        <v>0</v>
      </c>
      <c r="T86" s="124"/>
      <c r="U86" s="41" t="s">
        <v>175</v>
      </c>
      <c r="V86" s="70" t="e">
        <f>VLOOKUP(U86,'BASE '!$A$4:$H$144,2,0)</f>
        <v>#N/A</v>
      </c>
      <c r="W86" s="159"/>
      <c r="X86" s="159"/>
      <c r="Y86" s="160"/>
      <c r="Z86" s="158" t="e">
        <f>VLOOKUP(U86,'BASE '!$A$4:$H$144,3,0)</f>
        <v>#N/A</v>
      </c>
      <c r="AA86" s="94" t="e">
        <f t="shared" si="34"/>
        <v>#N/A</v>
      </c>
      <c r="AB86" s="95" t="e">
        <f>VLOOKUP(U86,'BASE '!$A$4:$H$144,6,0)*Y86/100</f>
        <v>#N/A</v>
      </c>
      <c r="AC86" s="95" t="e">
        <f>VLOOKUP(U86,'BASE '!$A$4:$H$144,7,0)*Y86/100</f>
        <v>#N/A</v>
      </c>
      <c r="AD86" s="95" t="e">
        <f>VLOOKUP(U86,'BASE '!$A$4:$H$144,8,0)*Y86/100</f>
        <v>#N/A</v>
      </c>
      <c r="AE86" s="96" t="e">
        <f t="shared" si="36"/>
        <v>#N/A</v>
      </c>
      <c r="DN86" s="116" t="e">
        <f>(($I$5*#REF!)/100)+((#REF!*$J$5)/100)+(($K$5*#REF!)/100)+($L$5*#REF!)+($M$5*#REF!)</f>
        <v>#REF!</v>
      </c>
    </row>
    <row r="87" spans="2:118" x14ac:dyDescent="0.3">
      <c r="B87" s="64"/>
      <c r="C87" s="148"/>
      <c r="D87" s="109"/>
      <c r="E87" s="63"/>
      <c r="F87" s="127"/>
      <c r="G87" s="50"/>
      <c r="H87" s="10"/>
      <c r="I87" s="10"/>
      <c r="J87" s="10"/>
      <c r="K87" s="10"/>
      <c r="L87" s="10"/>
      <c r="M87" s="39"/>
      <c r="N87" s="33">
        <f t="shared" si="31"/>
        <v>0</v>
      </c>
      <c r="O87" s="52" t="b">
        <f>IF(AND(E87="CLIENT S+L",F87="HUILE"),(S87*3333.33+(VLOOKUP(H87,'BASE '!$I$112:$J$142,2,0)))-((S87*3333.33)*G87),IF(AND(E87="CLIENT S+L",F87="LAIT"),((S87*952.4)-(S87*952.4)*G87),IF(E87="CLIENT O","OFFERT",IF(AND(F87="HUILE",E87="CLIENT L"),(((VLOOKUP(H87,'BASE '!$I$112:$J$142,2,0))+(VLOOKUP(S87,'BASE '!#REF!,2,0)))),IF(AND(F87="LAIT",E87="CLIENT L"),(S87*952.4),IF(AND(F87="HUILE",E87="CLIENT D"),(S87*3809.53+(VLOOKUP(H87,'BASE '!$I$112:$J$142,2,0))),IF(AND(F87="LAIT",E87="CLIENT D"),(S87*952.4),IF(AND(F87="HUILE",E87="CLIENT S+D"),((S87*3809.53+(VLOOKUP(H87,'BASE '!$I$112:$J$142,2,0)))-((S87*3809.53)*G87)),IF(AND(F87="LAIT",E87="CLIENT S+D"),((S87*952.4)-((S87*952.4)*G87)),IF(AND(E87="CLIENT S",F87="LAIT"),((S87*952.4)-((S87*952.4)*G87)),IF(AND(F87="HUILE",E87="CLIENT S"),(VLOOKUP(H87,'BASE '!$I$112:$J$142,2,0)+(VLOOKUP(S87,'BASE '!#REF!,2,0)))-(G87*((VLOOKUP(S87,'BASE '!#REF!,2,0)+(VLOOKUP(H87,'BASE '!$I$112:$J$142,2,0))))))))))))))))</f>
        <v>0</v>
      </c>
      <c r="P87" s="52" t="b">
        <f t="shared" si="32"/>
        <v>0</v>
      </c>
      <c r="Q87" s="53" t="b">
        <f t="shared" si="33"/>
        <v>0</v>
      </c>
      <c r="R87" s="152" t="s">
        <v>175</v>
      </c>
      <c r="S87" s="184">
        <f t="shared" si="35"/>
        <v>0</v>
      </c>
      <c r="T87" s="124"/>
      <c r="U87" s="41" t="s">
        <v>175</v>
      </c>
      <c r="V87" s="70" t="e">
        <f>VLOOKUP(U87,'BASE '!$A$4:$H$144,2,0)</f>
        <v>#N/A</v>
      </c>
      <c r="W87" s="159"/>
      <c r="X87" s="159"/>
      <c r="Y87" s="160"/>
      <c r="Z87" s="158" t="e">
        <f>VLOOKUP(U87,'BASE '!$A$4:$H$144,3,0)</f>
        <v>#N/A</v>
      </c>
      <c r="AA87" s="94" t="e">
        <f t="shared" si="34"/>
        <v>#N/A</v>
      </c>
      <c r="AB87" s="95" t="e">
        <f>VLOOKUP(U87,'BASE '!$A$4:$H$144,6,0)*Y87/100</f>
        <v>#N/A</v>
      </c>
      <c r="AC87" s="95" t="e">
        <f>VLOOKUP(U87,'BASE '!$A$4:$H$144,7,0)*Y87/100</f>
        <v>#N/A</v>
      </c>
      <c r="AD87" s="95" t="e">
        <f>VLOOKUP(U87,'BASE '!$A$4:$H$144,8,0)*Y87/100</f>
        <v>#N/A</v>
      </c>
      <c r="AE87" s="96" t="e">
        <f t="shared" si="36"/>
        <v>#N/A</v>
      </c>
      <c r="DN87" s="116" t="e">
        <f>(($I$5*#REF!)/100)+((#REF!*$J$5)/100)+(($K$5*#REF!)/100)+($L$5*#REF!)+($M$5*#REF!)</f>
        <v>#REF!</v>
      </c>
    </row>
    <row r="88" spans="2:118" x14ac:dyDescent="0.3">
      <c r="B88" s="64"/>
      <c r="C88" s="148"/>
      <c r="D88" s="109"/>
      <c r="E88" s="63"/>
      <c r="F88" s="127"/>
      <c r="G88" s="50"/>
      <c r="H88" s="10"/>
      <c r="I88" s="10"/>
      <c r="J88" s="10"/>
      <c r="K88" s="10"/>
      <c r="L88" s="10"/>
      <c r="M88" s="39"/>
      <c r="N88" s="33">
        <f t="shared" si="31"/>
        <v>0</v>
      </c>
      <c r="O88" s="52" t="b">
        <f>IF(AND(E88="CLIENT S+L",F88="HUILE"),(S88*3333.33+(VLOOKUP(H88,'BASE '!$I$112:$J$142,2,0)))-((S88*3333.33)*G88),IF(AND(E88="CLIENT S+L",F88="LAIT"),((S88*952.4)-(S88*952.4)*G88),IF(E88="CLIENT O","OFFERT",IF(AND(F88="HUILE",E88="CLIENT L"),(((VLOOKUP(H88,'BASE '!$I$112:$J$142,2,0))+(VLOOKUP(S88,'BASE '!#REF!,2,0)))),IF(AND(F88="LAIT",E88="CLIENT L"),(S88*952.4),IF(AND(F88="HUILE",E88="CLIENT D"),(S88*3809.53+(VLOOKUP(H88,'BASE '!$I$112:$J$142,2,0))),IF(AND(F88="LAIT",E88="CLIENT D"),(S88*952.4),IF(AND(F88="HUILE",E88="CLIENT S+D"),((S88*3809.53+(VLOOKUP(H88,'BASE '!$I$112:$J$142,2,0)))-((S88*3809.53)*G88)),IF(AND(F88="LAIT",E88="CLIENT S+D"),((S88*952.4)-((S88*952.4)*G88)),IF(AND(E88="CLIENT S",F88="LAIT"),((S88*952.4)-((S88*952.4)*G88)),IF(AND(F88="HUILE",E88="CLIENT S"),(VLOOKUP(H88,'BASE '!$I$112:$J$142,2,0)+(VLOOKUP(S88,'BASE '!#REF!,2,0)))-(G88*((VLOOKUP(S88,'BASE '!#REF!,2,0)+(VLOOKUP(H88,'BASE '!$I$112:$J$142,2,0))))))))))))))))</f>
        <v>0</v>
      </c>
      <c r="P88" s="52" t="b">
        <f t="shared" si="32"/>
        <v>0</v>
      </c>
      <c r="Q88" s="53" t="b">
        <f t="shared" si="33"/>
        <v>0</v>
      </c>
      <c r="R88" s="152" t="s">
        <v>175</v>
      </c>
      <c r="S88" s="184">
        <f t="shared" si="35"/>
        <v>0</v>
      </c>
      <c r="T88" s="124"/>
      <c r="U88" s="41" t="s">
        <v>175</v>
      </c>
      <c r="V88" s="70" t="e">
        <f>VLOOKUP(U88,'BASE '!$A$4:$H$144,2,0)</f>
        <v>#N/A</v>
      </c>
      <c r="W88" s="159"/>
      <c r="X88" s="159"/>
      <c r="Y88" s="160"/>
      <c r="Z88" s="158" t="e">
        <f>VLOOKUP(U88,'BASE '!$A$4:$H$144,3,0)</f>
        <v>#N/A</v>
      </c>
      <c r="AA88" s="94" t="e">
        <f t="shared" si="34"/>
        <v>#N/A</v>
      </c>
      <c r="AB88" s="95" t="e">
        <f>VLOOKUP(U88,'BASE '!$A$4:$H$144,6,0)*Y88/100</f>
        <v>#N/A</v>
      </c>
      <c r="AC88" s="95" t="e">
        <f>VLOOKUP(U88,'BASE '!$A$4:$H$144,7,0)*Y88/100</f>
        <v>#N/A</v>
      </c>
      <c r="AD88" s="95" t="e">
        <f>VLOOKUP(U88,'BASE '!$A$4:$H$144,8,0)*Y88/100</f>
        <v>#N/A</v>
      </c>
      <c r="AE88" s="96" t="e">
        <f t="shared" si="36"/>
        <v>#N/A</v>
      </c>
      <c r="DN88" s="116" t="e">
        <f>(($I$5*#REF!)/100)+((#REF!*$J$5)/100)+(($K$5*#REF!)/100)+($L$5*#REF!)+($M$5*#REF!)</f>
        <v>#REF!</v>
      </c>
    </row>
    <row r="89" spans="2:118" x14ac:dyDescent="0.3">
      <c r="B89" s="64"/>
      <c r="C89" s="148"/>
      <c r="D89" s="109"/>
      <c r="E89" s="63"/>
      <c r="F89" s="127"/>
      <c r="G89" s="50"/>
      <c r="H89" s="10"/>
      <c r="I89" s="10"/>
      <c r="J89" s="10"/>
      <c r="K89" s="10"/>
      <c r="L89" s="10"/>
      <c r="M89" s="39"/>
      <c r="N89" s="33">
        <f t="shared" si="31"/>
        <v>0</v>
      </c>
      <c r="O89" s="52" t="b">
        <f>IF(AND(E89="CLIENT S+L",F89="HUILE"),(S89*3333.33+(VLOOKUP(H89,'BASE '!$I$112:$J$142,2,0)))-((S89*3333.33)*G89),IF(AND(E89="CLIENT S+L",F89="LAIT"),((S89*952.4)-(S89*952.4)*G89),IF(E89="CLIENT O","OFFERT",IF(AND(F89="HUILE",E89="CLIENT L"),(((VLOOKUP(H89,'BASE '!$I$112:$J$142,2,0))+(VLOOKUP(S89,'BASE '!#REF!,2,0)))),IF(AND(F89="LAIT",E89="CLIENT L"),(S89*952.4),IF(AND(F89="HUILE",E89="CLIENT D"),(S89*3809.53+(VLOOKUP(H89,'BASE '!$I$112:$J$142,2,0))),IF(AND(F89="LAIT",E89="CLIENT D"),(S89*952.4),IF(AND(F89="HUILE",E89="CLIENT S+D"),((S89*3809.53+(VLOOKUP(H89,'BASE '!$I$112:$J$142,2,0)))-((S89*3809.53)*G89)),IF(AND(F89="LAIT",E89="CLIENT S+D"),((S89*952.4)-((S89*952.4)*G89)),IF(AND(E89="CLIENT S",F89="LAIT"),((S89*952.4)-((S89*952.4)*G89)),IF(AND(F89="HUILE",E89="CLIENT S"),(VLOOKUP(H89,'BASE '!$I$112:$J$142,2,0)+(VLOOKUP(S89,'BASE '!#REF!,2,0)))-(G89*((VLOOKUP(S89,'BASE '!#REF!,2,0)+(VLOOKUP(H89,'BASE '!$I$112:$J$142,2,0))))))))))))))))</f>
        <v>0</v>
      </c>
      <c r="P89" s="52" t="b">
        <f t="shared" si="32"/>
        <v>0</v>
      </c>
      <c r="Q89" s="53" t="b">
        <f t="shared" si="33"/>
        <v>0</v>
      </c>
      <c r="R89" s="152" t="s">
        <v>175</v>
      </c>
      <c r="S89" s="184">
        <f t="shared" si="35"/>
        <v>0</v>
      </c>
      <c r="T89" s="124"/>
      <c r="U89" s="41" t="s">
        <v>175</v>
      </c>
      <c r="V89" s="70" t="e">
        <f>VLOOKUP(U89,'BASE '!$A$4:$H$144,2,0)</f>
        <v>#N/A</v>
      </c>
      <c r="W89" s="159"/>
      <c r="X89" s="159"/>
      <c r="Y89" s="160"/>
      <c r="Z89" s="158" t="e">
        <f>VLOOKUP(U89,'BASE '!$A$4:$H$144,3,0)</f>
        <v>#N/A</v>
      </c>
      <c r="AA89" s="94" t="e">
        <f t="shared" si="34"/>
        <v>#N/A</v>
      </c>
      <c r="AB89" s="95" t="e">
        <f>VLOOKUP(U89,'BASE '!$A$4:$H$144,6,0)*Y89/100</f>
        <v>#N/A</v>
      </c>
      <c r="AC89" s="95" t="e">
        <f>VLOOKUP(U89,'BASE '!$A$4:$H$144,7,0)*Y89/100</f>
        <v>#N/A</v>
      </c>
      <c r="AD89" s="95" t="e">
        <f>VLOOKUP(U89,'BASE '!$A$4:$H$144,8,0)*Y89/100</f>
        <v>#N/A</v>
      </c>
      <c r="AE89" s="96" t="e">
        <f t="shared" si="36"/>
        <v>#N/A</v>
      </c>
      <c r="DN89" s="116" t="e">
        <f>(($I$5*#REF!)/100)+((#REF!*$J$5)/100)+(($K$5*#REF!)/100)+($L$5*#REF!)+($M$5*#REF!)</f>
        <v>#REF!</v>
      </c>
    </row>
    <row r="90" spans="2:118" x14ac:dyDescent="0.3">
      <c r="B90" s="64"/>
      <c r="C90" s="148"/>
      <c r="D90" s="109"/>
      <c r="E90" s="63"/>
      <c r="F90" s="127"/>
      <c r="G90" s="50"/>
      <c r="H90" s="10"/>
      <c r="I90" s="10"/>
      <c r="J90" s="10"/>
      <c r="K90" s="10"/>
      <c r="L90" s="10"/>
      <c r="M90" s="39"/>
      <c r="N90" s="33">
        <f t="shared" si="31"/>
        <v>0</v>
      </c>
      <c r="O90" s="52" t="b">
        <f>IF(AND(E90="CLIENT S+L",F90="HUILE"),(S90*3333.33+(VLOOKUP(H90,'BASE '!$I$112:$J$142,2,0)))-((S90*3333.33)*G90),IF(AND(E90="CLIENT S+L",F90="LAIT"),((S90*952.4)-(S90*952.4)*G90),IF(E90="CLIENT O","OFFERT",IF(AND(F90="HUILE",E90="CLIENT L"),(((VLOOKUP(H90,'BASE '!$I$112:$J$142,2,0))+(VLOOKUP(S90,'BASE '!#REF!,2,0)))),IF(AND(F90="LAIT",E90="CLIENT L"),(S90*952.4),IF(AND(F90="HUILE",E90="CLIENT D"),(S90*3809.53+(VLOOKUP(H90,'BASE '!$I$112:$J$142,2,0))),IF(AND(F90="LAIT",E90="CLIENT D"),(S90*952.4),IF(AND(F90="HUILE",E90="CLIENT S+D"),((S90*3809.53+(VLOOKUP(H90,'BASE '!$I$112:$J$142,2,0)))-((S90*3809.53)*G90)),IF(AND(F90="LAIT",E90="CLIENT S+D"),((S90*952.4)-((S90*952.4)*G90)),IF(AND(E90="CLIENT S",F90="LAIT"),((S90*952.4)-((S90*952.4)*G90)),IF(AND(F90="HUILE",E90="CLIENT S"),(VLOOKUP(H90,'BASE '!$I$112:$J$142,2,0)+(VLOOKUP(S90,'BASE '!#REF!,2,0)))-(G90*((VLOOKUP(S90,'BASE '!#REF!,2,0)+(VLOOKUP(H90,'BASE '!$I$112:$J$142,2,0))))))))))))))))</f>
        <v>0</v>
      </c>
      <c r="P90" s="52" t="b">
        <f t="shared" si="32"/>
        <v>0</v>
      </c>
      <c r="Q90" s="53" t="b">
        <f t="shared" si="33"/>
        <v>0</v>
      </c>
      <c r="R90" s="152" t="s">
        <v>175</v>
      </c>
      <c r="S90" s="184">
        <f t="shared" si="35"/>
        <v>0</v>
      </c>
      <c r="T90" s="124"/>
      <c r="U90" s="41" t="s">
        <v>175</v>
      </c>
      <c r="V90" s="70" t="e">
        <f>VLOOKUP(U90,'BASE '!$A$4:$H$144,2,0)</f>
        <v>#N/A</v>
      </c>
      <c r="W90" s="159"/>
      <c r="X90" s="159"/>
      <c r="Y90" s="160"/>
      <c r="Z90" s="158" t="e">
        <f>VLOOKUP(U90,'BASE '!$A$4:$H$144,3,0)</f>
        <v>#N/A</v>
      </c>
      <c r="AA90" s="94" t="e">
        <f t="shared" si="34"/>
        <v>#N/A</v>
      </c>
      <c r="AB90" s="95" t="e">
        <f>VLOOKUP(U90,'BASE '!$A$4:$H$144,6,0)*Y90/100</f>
        <v>#N/A</v>
      </c>
      <c r="AC90" s="95" t="e">
        <f>VLOOKUP(U90,'BASE '!$A$4:$H$144,7,0)*Y90/100</f>
        <v>#N/A</v>
      </c>
      <c r="AD90" s="95" t="e">
        <f>VLOOKUP(U90,'BASE '!$A$4:$H$144,8,0)*Y90/100</f>
        <v>#N/A</v>
      </c>
      <c r="AE90" s="96" t="e">
        <f t="shared" si="36"/>
        <v>#N/A</v>
      </c>
      <c r="DN90" s="116" t="e">
        <f>(($I$5*#REF!)/100)+((#REF!*$J$5)/100)+(($K$5*#REF!)/100)+($L$5*#REF!)+($M$5*#REF!)</f>
        <v>#REF!</v>
      </c>
    </row>
    <row r="91" spans="2:118" x14ac:dyDescent="0.3">
      <c r="B91" s="64"/>
      <c r="C91" s="148"/>
      <c r="D91" s="109"/>
      <c r="E91" s="63"/>
      <c r="F91" s="127"/>
      <c r="G91" s="50"/>
      <c r="H91" s="10"/>
      <c r="I91" s="10"/>
      <c r="J91" s="10"/>
      <c r="K91" s="10"/>
      <c r="L91" s="10"/>
      <c r="M91" s="39"/>
      <c r="N91" s="33">
        <f t="shared" si="31"/>
        <v>0</v>
      </c>
      <c r="O91" s="52" t="b">
        <f>IF(AND(E91="CLIENT S+L",F91="HUILE"),(S91*3333.33+(VLOOKUP(H91,'BASE '!$I$112:$J$142,2,0)))-((S91*3333.33)*G91),IF(AND(E91="CLIENT S+L",F91="LAIT"),((S91*952.4)-(S91*952.4)*G91),IF(E91="CLIENT O","OFFERT",IF(AND(F91="HUILE",E91="CLIENT L"),(((VLOOKUP(H91,'BASE '!$I$112:$J$142,2,0))+(VLOOKUP(S91,'BASE '!#REF!,2,0)))),IF(AND(F91="LAIT",E91="CLIENT L"),(S91*952.4),IF(AND(F91="HUILE",E91="CLIENT D"),(S91*3809.53+(VLOOKUP(H91,'BASE '!$I$112:$J$142,2,0))),IF(AND(F91="LAIT",E91="CLIENT D"),(S91*952.4),IF(AND(F91="HUILE",E91="CLIENT S+D"),((S91*3809.53+(VLOOKUP(H91,'BASE '!$I$112:$J$142,2,0)))-((S91*3809.53)*G91)),IF(AND(F91="LAIT",E91="CLIENT S+D"),((S91*952.4)-((S91*952.4)*G91)),IF(AND(E91="CLIENT S",F91="LAIT"),((S91*952.4)-((S91*952.4)*G91)),IF(AND(F91="HUILE",E91="CLIENT S"),(VLOOKUP(H91,'BASE '!$I$112:$J$142,2,0)+(VLOOKUP(S91,'BASE '!#REF!,2,0)))-(G91*((VLOOKUP(S91,'BASE '!#REF!,2,0)+(VLOOKUP(H91,'BASE '!$I$112:$J$142,2,0))))))))))))))))</f>
        <v>0</v>
      </c>
      <c r="P91" s="52" t="b">
        <f t="shared" si="32"/>
        <v>0</v>
      </c>
      <c r="Q91" s="53" t="b">
        <f t="shared" si="33"/>
        <v>0</v>
      </c>
      <c r="R91" s="152" t="s">
        <v>175</v>
      </c>
      <c r="S91" s="184">
        <f t="shared" si="35"/>
        <v>0</v>
      </c>
      <c r="T91" s="124"/>
      <c r="U91" s="41" t="s">
        <v>175</v>
      </c>
      <c r="V91" s="70" t="e">
        <f>VLOOKUP(U91,'BASE '!$A$4:$H$144,2,0)</f>
        <v>#N/A</v>
      </c>
      <c r="W91" s="159"/>
      <c r="X91" s="159"/>
      <c r="Y91" s="160"/>
      <c r="Z91" s="158" t="e">
        <f>VLOOKUP(U91,'BASE '!$A$4:$H$144,3,0)</f>
        <v>#N/A</v>
      </c>
      <c r="AA91" s="94" t="e">
        <f t="shared" si="34"/>
        <v>#N/A</v>
      </c>
      <c r="AB91" s="95" t="e">
        <f>VLOOKUP(U91,'BASE '!$A$4:$H$144,6,0)*Y91/100</f>
        <v>#N/A</v>
      </c>
      <c r="AC91" s="95" t="e">
        <f>VLOOKUP(U91,'BASE '!$A$4:$H$144,7,0)*Y91/100</f>
        <v>#N/A</v>
      </c>
      <c r="AD91" s="95" t="e">
        <f>VLOOKUP(U91,'BASE '!$A$4:$H$144,8,0)*Y91/100</f>
        <v>#N/A</v>
      </c>
      <c r="AE91" s="96" t="e">
        <f t="shared" si="36"/>
        <v>#N/A</v>
      </c>
      <c r="DN91" s="116" t="e">
        <f>(($I$5*#REF!)/100)+((#REF!*$J$5)/100)+(($K$5*#REF!)/100)+($L$5*#REF!)+($M$5*#REF!)</f>
        <v>#REF!</v>
      </c>
    </row>
    <row r="92" spans="2:118" x14ac:dyDescent="0.3">
      <c r="B92" s="64"/>
      <c r="C92" s="148"/>
      <c r="D92" s="109"/>
      <c r="E92" s="63"/>
      <c r="F92" s="127"/>
      <c r="G92" s="50"/>
      <c r="H92" s="10"/>
      <c r="I92" s="10"/>
      <c r="J92" s="10"/>
      <c r="K92" s="10"/>
      <c r="L92" s="10"/>
      <c r="M92" s="39"/>
      <c r="N92" s="33">
        <f t="shared" si="31"/>
        <v>0</v>
      </c>
      <c r="O92" s="52" t="b">
        <f>IF(AND(E92="CLIENT S+L",F92="HUILE"),(S92*3333.33+(VLOOKUP(H92,'BASE '!$I$112:$J$142,2,0)))-((S92*3333.33)*G92),IF(AND(E92="CLIENT S+L",F92="LAIT"),((S92*952.4)-(S92*952.4)*G92),IF(E92="CLIENT O","OFFERT",IF(AND(F92="HUILE",E92="CLIENT L"),(((VLOOKUP(H92,'BASE '!$I$112:$J$142,2,0))+(VLOOKUP(S92,'BASE '!#REF!,2,0)))),IF(AND(F92="LAIT",E92="CLIENT L"),(S92*952.4),IF(AND(F92="HUILE",E92="CLIENT D"),(S92*3809.53+(VLOOKUP(H92,'BASE '!$I$112:$J$142,2,0))),IF(AND(F92="LAIT",E92="CLIENT D"),(S92*952.4),IF(AND(F92="HUILE",E92="CLIENT S+D"),((S92*3809.53+(VLOOKUP(H92,'BASE '!$I$112:$J$142,2,0)))-((S92*3809.53)*G92)),IF(AND(F92="LAIT",E92="CLIENT S+D"),((S92*952.4)-((S92*952.4)*G92)),IF(AND(E92="CLIENT S",F92="LAIT"),((S92*952.4)-((S92*952.4)*G92)),IF(AND(F92="HUILE",E92="CLIENT S"),(VLOOKUP(H92,'BASE '!$I$112:$J$142,2,0)+(VLOOKUP(S92,'BASE '!#REF!,2,0)))-(G92*((VLOOKUP(S92,'BASE '!#REF!,2,0)+(VLOOKUP(H92,'BASE '!$I$112:$J$142,2,0))))))))))))))))</f>
        <v>0</v>
      </c>
      <c r="P92" s="52" t="b">
        <f t="shared" si="32"/>
        <v>0</v>
      </c>
      <c r="Q92" s="53" t="b">
        <f t="shared" si="33"/>
        <v>0</v>
      </c>
      <c r="R92" s="152" t="s">
        <v>175</v>
      </c>
      <c r="S92" s="184">
        <f t="shared" si="35"/>
        <v>0</v>
      </c>
      <c r="T92" s="124"/>
      <c r="U92" s="41" t="s">
        <v>175</v>
      </c>
      <c r="V92" s="70" t="e">
        <f>VLOOKUP(U92,'BASE '!$A$4:$H$144,2,0)</f>
        <v>#N/A</v>
      </c>
      <c r="W92" s="159"/>
      <c r="X92" s="159"/>
      <c r="Y92" s="160"/>
      <c r="Z92" s="158" t="e">
        <f>VLOOKUP(U92,'BASE '!$A$4:$H$144,3,0)</f>
        <v>#N/A</v>
      </c>
      <c r="AA92" s="94" t="e">
        <f t="shared" si="34"/>
        <v>#N/A</v>
      </c>
      <c r="AB92" s="95" t="e">
        <f>VLOOKUP(U92,'BASE '!$A$4:$H$144,6,0)*Y92/100</f>
        <v>#N/A</v>
      </c>
      <c r="AC92" s="95" t="e">
        <f>VLOOKUP(U92,'BASE '!$A$4:$H$144,7,0)*Y92/100</f>
        <v>#N/A</v>
      </c>
      <c r="AD92" s="95" t="e">
        <f>VLOOKUP(U92,'BASE '!$A$4:$H$144,8,0)*Y92/100</f>
        <v>#N/A</v>
      </c>
      <c r="AE92" s="96" t="e">
        <f t="shared" si="36"/>
        <v>#N/A</v>
      </c>
      <c r="DN92" s="116" t="e">
        <f>(($I$5*#REF!)/100)+((#REF!*$J$5)/100)+(($K$5*#REF!)/100)+($L$5*#REF!)+($M$5*#REF!)</f>
        <v>#REF!</v>
      </c>
    </row>
    <row r="93" spans="2:118" x14ac:dyDescent="0.3">
      <c r="B93" s="64"/>
      <c r="C93" s="148"/>
      <c r="D93" s="109"/>
      <c r="E93" s="63"/>
      <c r="F93" s="127"/>
      <c r="G93" s="50"/>
      <c r="H93" s="10"/>
      <c r="I93" s="10"/>
      <c r="J93" s="10"/>
      <c r="K93" s="10"/>
      <c r="L93" s="10"/>
      <c r="M93" s="39"/>
      <c r="N93" s="33">
        <f t="shared" si="31"/>
        <v>0</v>
      </c>
      <c r="O93" s="52" t="b">
        <f>IF(AND(E93="CLIENT S+L",F93="HUILE"),(S93*3333.33+(VLOOKUP(H93,'BASE '!$I$112:$J$142,2,0)))-((S93*3333.33)*G93),IF(AND(E93="CLIENT S+L",F93="LAIT"),((S93*952.4)-(S93*952.4)*G93),IF(E93="CLIENT O","OFFERT",IF(AND(F93="HUILE",E93="CLIENT L"),(((VLOOKUP(H93,'BASE '!$I$112:$J$142,2,0))+(VLOOKUP(S93,'BASE '!#REF!,2,0)))),IF(AND(F93="LAIT",E93="CLIENT L"),(S93*952.4),IF(AND(F93="HUILE",E93="CLIENT D"),(S93*3809.53+(VLOOKUP(H93,'BASE '!$I$112:$J$142,2,0))),IF(AND(F93="LAIT",E93="CLIENT D"),(S93*952.4),IF(AND(F93="HUILE",E93="CLIENT S+D"),((S93*3809.53+(VLOOKUP(H93,'BASE '!$I$112:$J$142,2,0)))-((S93*3809.53)*G93)),IF(AND(F93="LAIT",E93="CLIENT S+D"),((S93*952.4)-((S93*952.4)*G93)),IF(AND(E93="CLIENT S",F93="LAIT"),((S93*952.4)-((S93*952.4)*G93)),IF(AND(F93="HUILE",E93="CLIENT S"),(VLOOKUP(H93,'BASE '!$I$112:$J$142,2,0)+(VLOOKUP(S93,'BASE '!#REF!,2,0)))-(G93*((VLOOKUP(S93,'BASE '!#REF!,2,0)+(VLOOKUP(H93,'BASE '!$I$112:$J$142,2,0))))))))))))))))</f>
        <v>0</v>
      </c>
      <c r="P93" s="52" t="b">
        <f t="shared" si="32"/>
        <v>0</v>
      </c>
      <c r="Q93" s="53" t="b">
        <f t="shared" si="33"/>
        <v>0</v>
      </c>
      <c r="R93" s="152" t="s">
        <v>175</v>
      </c>
      <c r="S93" s="184">
        <f t="shared" si="35"/>
        <v>0</v>
      </c>
      <c r="T93" s="124"/>
      <c r="U93" s="41" t="s">
        <v>175</v>
      </c>
      <c r="V93" s="70" t="e">
        <f>VLOOKUP(U93,'BASE '!$A$4:$H$144,2,0)</f>
        <v>#N/A</v>
      </c>
      <c r="W93" s="159"/>
      <c r="X93" s="159"/>
      <c r="Y93" s="160"/>
      <c r="Z93" s="158" t="e">
        <f>VLOOKUP(U93,'BASE '!$A$4:$H$144,3,0)</f>
        <v>#N/A</v>
      </c>
      <c r="AA93" s="94" t="e">
        <f t="shared" si="34"/>
        <v>#N/A</v>
      </c>
      <c r="AB93" s="95" t="e">
        <f>VLOOKUP(U93,'BASE '!$A$4:$H$144,6,0)*Y93/100</f>
        <v>#N/A</v>
      </c>
      <c r="AC93" s="95" t="e">
        <f>VLOOKUP(U93,'BASE '!$A$4:$H$144,7,0)*Y93/100</f>
        <v>#N/A</v>
      </c>
      <c r="AD93" s="95" t="e">
        <f>VLOOKUP(U93,'BASE '!$A$4:$H$144,8,0)*Y93/100</f>
        <v>#N/A</v>
      </c>
      <c r="AE93" s="96" t="e">
        <f t="shared" si="36"/>
        <v>#N/A</v>
      </c>
      <c r="DN93" s="116" t="e">
        <f>(($I$5*#REF!)/100)+((#REF!*$J$5)/100)+(($K$5*#REF!)/100)+($L$5*#REF!)+($M$5*#REF!)</f>
        <v>#REF!</v>
      </c>
    </row>
    <row r="94" spans="2:118" x14ac:dyDescent="0.3">
      <c r="B94" s="64"/>
      <c r="C94" s="148"/>
      <c r="D94" s="109"/>
      <c r="E94" s="63"/>
      <c r="F94" s="127"/>
      <c r="G94" s="50"/>
      <c r="H94" s="10"/>
      <c r="I94" s="10"/>
      <c r="J94" s="10"/>
      <c r="K94" s="10"/>
      <c r="L94" s="10"/>
      <c r="M94" s="39"/>
      <c r="N94" s="33">
        <f t="shared" si="31"/>
        <v>0</v>
      </c>
      <c r="O94" s="52" t="b">
        <f>IF(AND(E94="CLIENT S+L",F94="HUILE"),(S94*3333.33+(VLOOKUP(H94,'BASE '!$I$112:$J$142,2,0)))-((S94*3333.33)*G94),IF(AND(E94="CLIENT S+L",F94="LAIT"),((S94*952.4)-(S94*952.4)*G94),IF(E94="CLIENT O","OFFERT",IF(AND(F94="HUILE",E94="CLIENT L"),(((VLOOKUP(H94,'BASE '!$I$112:$J$142,2,0))+(VLOOKUP(S94,'BASE '!#REF!,2,0)))),IF(AND(F94="LAIT",E94="CLIENT L"),(S94*952.4),IF(AND(F94="HUILE",E94="CLIENT D"),(S94*3809.53+(VLOOKUP(H94,'BASE '!$I$112:$J$142,2,0))),IF(AND(F94="LAIT",E94="CLIENT D"),(S94*952.4),IF(AND(F94="HUILE",E94="CLIENT S+D"),((S94*3809.53+(VLOOKUP(H94,'BASE '!$I$112:$J$142,2,0)))-((S94*3809.53)*G94)),IF(AND(F94="LAIT",E94="CLIENT S+D"),((S94*952.4)-((S94*952.4)*G94)),IF(AND(E94="CLIENT S",F94="LAIT"),((S94*952.4)-((S94*952.4)*G94)),IF(AND(F94="HUILE",E94="CLIENT S"),(VLOOKUP(H94,'BASE '!$I$112:$J$142,2,0)+(VLOOKUP(S94,'BASE '!#REF!,2,0)))-(G94*((VLOOKUP(S94,'BASE '!#REF!,2,0)+(VLOOKUP(H94,'BASE '!$I$112:$J$142,2,0))))))))))))))))</f>
        <v>0</v>
      </c>
      <c r="P94" s="52" t="b">
        <f t="shared" si="32"/>
        <v>0</v>
      </c>
      <c r="Q94" s="53" t="b">
        <f t="shared" si="33"/>
        <v>0</v>
      </c>
      <c r="R94" s="152" t="s">
        <v>175</v>
      </c>
      <c r="S94" s="184">
        <f t="shared" si="35"/>
        <v>0</v>
      </c>
      <c r="T94" s="124"/>
      <c r="U94" s="41" t="s">
        <v>175</v>
      </c>
      <c r="V94" s="70" t="e">
        <f>VLOOKUP(U94,'BASE '!$A$4:$H$144,2,0)</f>
        <v>#N/A</v>
      </c>
      <c r="W94" s="159"/>
      <c r="X94" s="159"/>
      <c r="Y94" s="160"/>
      <c r="Z94" s="158" t="e">
        <f>VLOOKUP(U94,'BASE '!$A$4:$H$144,3,0)</f>
        <v>#N/A</v>
      </c>
      <c r="AA94" s="94" t="e">
        <f t="shared" si="34"/>
        <v>#N/A</v>
      </c>
      <c r="AB94" s="95" t="e">
        <f>VLOOKUP(U94,'BASE '!$A$4:$H$144,6,0)*Y94/100</f>
        <v>#N/A</v>
      </c>
      <c r="AC94" s="95" t="e">
        <f>VLOOKUP(U94,'BASE '!$A$4:$H$144,7,0)*Y94/100</f>
        <v>#N/A</v>
      </c>
      <c r="AD94" s="95" t="e">
        <f>VLOOKUP(U94,'BASE '!$A$4:$H$144,8,0)*Y94/100</f>
        <v>#N/A</v>
      </c>
      <c r="AE94" s="96" t="e">
        <f t="shared" si="36"/>
        <v>#N/A</v>
      </c>
      <c r="DN94" s="116" t="e">
        <f>(($I$5*#REF!)/100)+((#REF!*$J$5)/100)+(($K$5*#REF!)/100)+($L$5*#REF!)+($M$5*#REF!)</f>
        <v>#REF!</v>
      </c>
    </row>
    <row r="95" spans="2:118" x14ac:dyDescent="0.3">
      <c r="B95" s="64"/>
      <c r="C95" s="148"/>
      <c r="D95" s="109"/>
      <c r="E95" s="63"/>
      <c r="F95" s="127"/>
      <c r="G95" s="50"/>
      <c r="H95" s="10"/>
      <c r="I95" s="10"/>
      <c r="J95" s="10"/>
      <c r="K95" s="10"/>
      <c r="L95" s="10"/>
      <c r="M95" s="39"/>
      <c r="N95" s="33">
        <f t="shared" si="31"/>
        <v>0</v>
      </c>
      <c r="O95" s="52" t="b">
        <f>IF(AND(E95="CLIENT S+L",F95="HUILE"),(S95*3333.33+(VLOOKUP(H95,'BASE '!$I$112:$J$142,2,0)))-((S95*3333.33)*G95),IF(AND(E95="CLIENT S+L",F95="LAIT"),((S95*952.4)-(S95*952.4)*G95),IF(E95="CLIENT O","OFFERT",IF(AND(F95="HUILE",E95="CLIENT L"),(((VLOOKUP(H95,'BASE '!$I$112:$J$142,2,0))+(VLOOKUP(S95,'BASE '!#REF!,2,0)))),IF(AND(F95="LAIT",E95="CLIENT L"),(S95*952.4),IF(AND(F95="HUILE",E95="CLIENT D"),(S95*3809.53+(VLOOKUP(H95,'BASE '!$I$112:$J$142,2,0))),IF(AND(F95="LAIT",E95="CLIENT D"),(S95*952.4),IF(AND(F95="HUILE",E95="CLIENT S+D"),((S95*3809.53+(VLOOKUP(H95,'BASE '!$I$112:$J$142,2,0)))-((S95*3809.53)*G95)),IF(AND(F95="LAIT",E95="CLIENT S+D"),((S95*952.4)-((S95*952.4)*G95)),IF(AND(E95="CLIENT S",F95="LAIT"),((S95*952.4)-((S95*952.4)*G95)),IF(AND(F95="HUILE",E95="CLIENT S"),(VLOOKUP(H95,'BASE '!$I$112:$J$142,2,0)+(VLOOKUP(S95,'BASE '!#REF!,2,0)))-(G95*((VLOOKUP(S95,'BASE '!#REF!,2,0)+(VLOOKUP(H95,'BASE '!$I$112:$J$142,2,0))))))))))))))))</f>
        <v>0</v>
      </c>
      <c r="P95" s="52" t="b">
        <f t="shared" si="32"/>
        <v>0</v>
      </c>
      <c r="Q95" s="53" t="b">
        <f t="shared" si="33"/>
        <v>0</v>
      </c>
      <c r="R95" s="152" t="s">
        <v>175</v>
      </c>
      <c r="S95" s="184">
        <f t="shared" si="35"/>
        <v>0</v>
      </c>
      <c r="T95" s="124"/>
      <c r="U95" s="41" t="s">
        <v>175</v>
      </c>
      <c r="V95" s="70" t="e">
        <f>VLOOKUP(U95,'BASE '!$A$4:$H$144,2,0)</f>
        <v>#N/A</v>
      </c>
      <c r="W95" s="159"/>
      <c r="X95" s="159"/>
      <c r="Y95" s="160"/>
      <c r="Z95" s="158" t="e">
        <f>VLOOKUP(U95,'BASE '!$A$4:$H$144,3,0)</f>
        <v>#N/A</v>
      </c>
      <c r="AA95" s="94" t="e">
        <f t="shared" si="34"/>
        <v>#N/A</v>
      </c>
      <c r="AB95" s="95" t="e">
        <f>VLOOKUP(U95,'BASE '!$A$4:$H$144,6,0)*Y95/100</f>
        <v>#N/A</v>
      </c>
      <c r="AC95" s="95" t="e">
        <f>VLOOKUP(U95,'BASE '!$A$4:$H$144,7,0)*Y95/100</f>
        <v>#N/A</v>
      </c>
      <c r="AD95" s="95" t="e">
        <f>VLOOKUP(U95,'BASE '!$A$4:$H$144,8,0)*Y95/100</f>
        <v>#N/A</v>
      </c>
      <c r="AE95" s="96" t="e">
        <f t="shared" si="36"/>
        <v>#N/A</v>
      </c>
      <c r="DN95" s="116" t="e">
        <f>(($I$5*#REF!)/100)+((#REF!*$J$5)/100)+(($K$5*#REF!)/100)+($L$5*#REF!)+($M$5*#REF!)</f>
        <v>#REF!</v>
      </c>
    </row>
    <row r="96" spans="2:118" x14ac:dyDescent="0.3">
      <c r="B96" s="64"/>
      <c r="C96" s="148"/>
      <c r="D96" s="109"/>
      <c r="E96" s="63"/>
      <c r="F96" s="127"/>
      <c r="G96" s="50"/>
      <c r="H96" s="10"/>
      <c r="I96" s="10"/>
      <c r="J96" s="10"/>
      <c r="K96" s="10"/>
      <c r="L96" s="10"/>
      <c r="M96" s="39"/>
      <c r="N96" s="33">
        <f t="shared" si="31"/>
        <v>0</v>
      </c>
      <c r="O96" s="52" t="b">
        <f>IF(AND(E96="CLIENT S+L",F96="HUILE"),(S96*3333.33+(VLOOKUP(H96,'BASE '!$I$112:$J$142,2,0)))-((S96*3333.33)*G96),IF(AND(E96="CLIENT S+L",F96="LAIT"),((S96*952.4)-(S96*952.4)*G96),IF(E96="CLIENT O","OFFERT",IF(AND(F96="HUILE",E96="CLIENT L"),(((VLOOKUP(H96,'BASE '!$I$112:$J$142,2,0))+(VLOOKUP(S96,'BASE '!#REF!,2,0)))),IF(AND(F96="LAIT",E96="CLIENT L"),(S96*952.4),IF(AND(F96="HUILE",E96="CLIENT D"),(S96*3809.53+(VLOOKUP(H96,'BASE '!$I$112:$J$142,2,0))),IF(AND(F96="LAIT",E96="CLIENT D"),(S96*952.4),IF(AND(F96="HUILE",E96="CLIENT S+D"),((S96*3809.53+(VLOOKUP(H96,'BASE '!$I$112:$J$142,2,0)))-((S96*3809.53)*G96)),IF(AND(F96="LAIT",E96="CLIENT S+D"),((S96*952.4)-((S96*952.4)*G96)),IF(AND(E96="CLIENT S",F96="LAIT"),((S96*952.4)-((S96*952.4)*G96)),IF(AND(F96="HUILE",E96="CLIENT S"),(VLOOKUP(H96,'BASE '!$I$112:$J$142,2,0)+(VLOOKUP(S96,'BASE '!#REF!,2,0)))-(G96*((VLOOKUP(S96,'BASE '!#REF!,2,0)+(VLOOKUP(H96,'BASE '!$I$112:$J$142,2,0))))))))))))))))</f>
        <v>0</v>
      </c>
      <c r="P96" s="52" t="b">
        <f t="shared" si="32"/>
        <v>0</v>
      </c>
      <c r="Q96" s="53" t="b">
        <f t="shared" si="33"/>
        <v>0</v>
      </c>
      <c r="R96" s="152" t="s">
        <v>175</v>
      </c>
      <c r="S96" s="184">
        <f t="shared" si="35"/>
        <v>0</v>
      </c>
      <c r="T96" s="124"/>
      <c r="U96" s="41" t="s">
        <v>175</v>
      </c>
      <c r="V96" s="70" t="e">
        <f>VLOOKUP(U96,'BASE '!$A$4:$H$144,2,0)</f>
        <v>#N/A</v>
      </c>
      <c r="W96" s="159"/>
      <c r="X96" s="159"/>
      <c r="Y96" s="160"/>
      <c r="Z96" s="158" t="e">
        <f>VLOOKUP(U96,'BASE '!$A$4:$H$144,3,0)</f>
        <v>#N/A</v>
      </c>
      <c r="AA96" s="94" t="e">
        <f t="shared" si="34"/>
        <v>#N/A</v>
      </c>
      <c r="AB96" s="95" t="e">
        <f>VLOOKUP(U96,'BASE '!$A$4:$H$144,6,0)*Y96/100</f>
        <v>#N/A</v>
      </c>
      <c r="AC96" s="95" t="e">
        <f>VLOOKUP(U96,'BASE '!$A$4:$H$144,7,0)*Y96/100</f>
        <v>#N/A</v>
      </c>
      <c r="AD96" s="95" t="e">
        <f>VLOOKUP(U96,'BASE '!$A$4:$H$144,8,0)*Y96/100</f>
        <v>#N/A</v>
      </c>
      <c r="AE96" s="96" t="e">
        <f t="shared" si="36"/>
        <v>#N/A</v>
      </c>
      <c r="DN96" s="116" t="e">
        <f>(($I$5*#REF!)/100)+((#REF!*$J$5)/100)+(($K$5*#REF!)/100)+($L$5*#REF!)+($M$5*#REF!)</f>
        <v>#REF!</v>
      </c>
    </row>
    <row r="97" spans="2:118" x14ac:dyDescent="0.3">
      <c r="B97" s="64"/>
      <c r="C97" s="148"/>
      <c r="D97" s="109"/>
      <c r="E97" s="63"/>
      <c r="F97" s="127"/>
      <c r="G97" s="50"/>
      <c r="H97" s="10"/>
      <c r="I97" s="10"/>
      <c r="J97" s="10"/>
      <c r="K97" s="10"/>
      <c r="L97" s="10"/>
      <c r="M97" s="39"/>
      <c r="N97" s="33">
        <f t="shared" si="31"/>
        <v>0</v>
      </c>
      <c r="O97" s="52" t="b">
        <f>IF(AND(E97="CLIENT S+L",F97="HUILE"),(S97*3333.33+(VLOOKUP(H97,'BASE '!$I$112:$J$142,2,0)))-((S97*3333.33)*G97),IF(AND(E97="CLIENT S+L",F97="LAIT"),((S97*952.4)-(S97*952.4)*G97),IF(E97="CLIENT O","OFFERT",IF(AND(F97="HUILE",E97="CLIENT L"),(((VLOOKUP(H97,'BASE '!$I$112:$J$142,2,0))+(VLOOKUP(S97,'BASE '!#REF!,2,0)))),IF(AND(F97="LAIT",E97="CLIENT L"),(S97*952.4),IF(AND(F97="HUILE",E97="CLIENT D"),(S97*3809.53+(VLOOKUP(H97,'BASE '!$I$112:$J$142,2,0))),IF(AND(F97="LAIT",E97="CLIENT D"),(S97*952.4),IF(AND(F97="HUILE",E97="CLIENT S+D"),((S97*3809.53+(VLOOKUP(H97,'BASE '!$I$112:$J$142,2,0)))-((S97*3809.53)*G97)),IF(AND(F97="LAIT",E97="CLIENT S+D"),((S97*952.4)-((S97*952.4)*G97)),IF(AND(E97="CLIENT S",F97="LAIT"),((S97*952.4)-((S97*952.4)*G97)),IF(AND(F97="HUILE",E97="CLIENT S"),(VLOOKUP(H97,'BASE '!$I$112:$J$142,2,0)+(VLOOKUP(S97,'BASE '!#REF!,2,0)))-(G97*((VLOOKUP(S97,'BASE '!#REF!,2,0)+(VLOOKUP(H97,'BASE '!$I$112:$J$142,2,0))))))))))))))))</f>
        <v>0</v>
      </c>
      <c r="P97" s="52" t="b">
        <f t="shared" si="32"/>
        <v>0</v>
      </c>
      <c r="Q97" s="53" t="b">
        <f t="shared" si="33"/>
        <v>0</v>
      </c>
      <c r="R97" s="152" t="s">
        <v>175</v>
      </c>
      <c r="S97" s="184">
        <f t="shared" si="35"/>
        <v>0</v>
      </c>
      <c r="T97" s="124"/>
      <c r="U97" s="41" t="s">
        <v>175</v>
      </c>
      <c r="V97" s="70" t="e">
        <f>VLOOKUP(U97,'BASE '!$A$4:$H$144,2,0)</f>
        <v>#N/A</v>
      </c>
      <c r="W97" s="159"/>
      <c r="X97" s="159"/>
      <c r="Y97" s="160"/>
      <c r="Z97" s="158" t="e">
        <f>VLOOKUP(U97,'BASE '!$A$4:$H$144,3,0)</f>
        <v>#N/A</v>
      </c>
      <c r="AA97" s="94" t="e">
        <f t="shared" si="34"/>
        <v>#N/A</v>
      </c>
      <c r="AB97" s="95" t="e">
        <f>VLOOKUP(U97,'BASE '!$A$4:$H$144,6,0)*Y97/100</f>
        <v>#N/A</v>
      </c>
      <c r="AC97" s="95" t="e">
        <f>VLOOKUP(U97,'BASE '!$A$4:$H$144,7,0)*Y97/100</f>
        <v>#N/A</v>
      </c>
      <c r="AD97" s="95" t="e">
        <f>VLOOKUP(U97,'BASE '!$A$4:$H$144,8,0)*Y97/100</f>
        <v>#N/A</v>
      </c>
      <c r="AE97" s="96" t="e">
        <f t="shared" si="36"/>
        <v>#N/A</v>
      </c>
      <c r="DN97" s="116" t="e">
        <f>(($I$5*#REF!)/100)+((#REF!*$J$5)/100)+(($K$5*#REF!)/100)+($L$5*#REF!)+($M$5*#REF!)</f>
        <v>#REF!</v>
      </c>
    </row>
    <row r="98" spans="2:118" x14ac:dyDescent="0.3">
      <c r="B98" s="64"/>
      <c r="C98" s="148"/>
      <c r="D98" s="109"/>
      <c r="E98" s="63"/>
      <c r="F98" s="127"/>
      <c r="G98" s="50"/>
      <c r="H98" s="10"/>
      <c r="I98" s="10"/>
      <c r="J98" s="10"/>
      <c r="K98" s="10"/>
      <c r="L98" s="10"/>
      <c r="M98" s="39"/>
      <c r="N98" s="33">
        <f t="shared" si="31"/>
        <v>0</v>
      </c>
      <c r="O98" s="52" t="b">
        <f>IF(AND(E98="CLIENT S+L",F98="HUILE"),(S98*3333.33+(VLOOKUP(H98,'BASE '!$I$112:$J$142,2,0)))-((S98*3333.33)*G98),IF(AND(E98="CLIENT S+L",F98="LAIT"),((S98*952.4)-(S98*952.4)*G98),IF(E98="CLIENT O","OFFERT",IF(AND(F98="HUILE",E98="CLIENT L"),(((VLOOKUP(H98,'BASE '!$I$112:$J$142,2,0))+(VLOOKUP(S98,'BASE '!#REF!,2,0)))),IF(AND(F98="LAIT",E98="CLIENT L"),(S98*952.4),IF(AND(F98="HUILE",E98="CLIENT D"),(S98*3809.53+(VLOOKUP(H98,'BASE '!$I$112:$J$142,2,0))),IF(AND(F98="LAIT",E98="CLIENT D"),(S98*952.4),IF(AND(F98="HUILE",E98="CLIENT S+D"),((S98*3809.53+(VLOOKUP(H98,'BASE '!$I$112:$J$142,2,0)))-((S98*3809.53)*G98)),IF(AND(F98="LAIT",E98="CLIENT S+D"),((S98*952.4)-((S98*952.4)*G98)),IF(AND(E98="CLIENT S",F98="LAIT"),((S98*952.4)-((S98*952.4)*G98)),IF(AND(F98="HUILE",E98="CLIENT S"),(VLOOKUP(H98,'BASE '!$I$112:$J$142,2,0)+(VLOOKUP(S98,'BASE '!#REF!,2,0)))-(G98*((VLOOKUP(S98,'BASE '!#REF!,2,0)+(VLOOKUP(H98,'BASE '!$I$112:$J$142,2,0))))))))))))))))</f>
        <v>0</v>
      </c>
      <c r="P98" s="52" t="b">
        <f t="shared" si="32"/>
        <v>0</v>
      </c>
      <c r="Q98" s="53" t="b">
        <f t="shared" si="33"/>
        <v>0</v>
      </c>
      <c r="R98" s="152" t="s">
        <v>175</v>
      </c>
      <c r="S98" s="184">
        <f t="shared" si="35"/>
        <v>0</v>
      </c>
      <c r="T98" s="124"/>
      <c r="U98" s="41" t="s">
        <v>175</v>
      </c>
      <c r="V98" s="70" t="e">
        <f>VLOOKUP(U98,'BASE '!$A$4:$H$144,2,0)</f>
        <v>#N/A</v>
      </c>
      <c r="W98" s="159"/>
      <c r="X98" s="159"/>
      <c r="Y98" s="160"/>
      <c r="Z98" s="158" t="e">
        <f>VLOOKUP(U98,'BASE '!$A$4:$H$144,3,0)</f>
        <v>#N/A</v>
      </c>
      <c r="AA98" s="94" t="e">
        <f t="shared" si="34"/>
        <v>#N/A</v>
      </c>
      <c r="AB98" s="95" t="e">
        <f>VLOOKUP(U98,'BASE '!$A$4:$H$144,6,0)*Y98/100</f>
        <v>#N/A</v>
      </c>
      <c r="AC98" s="95" t="e">
        <f>VLOOKUP(U98,'BASE '!$A$4:$H$144,7,0)*Y98/100</f>
        <v>#N/A</v>
      </c>
      <c r="AD98" s="95" t="e">
        <f>VLOOKUP(U98,'BASE '!$A$4:$H$144,8,0)*Y98/100</f>
        <v>#N/A</v>
      </c>
      <c r="AE98" s="96" t="e">
        <f t="shared" si="36"/>
        <v>#N/A</v>
      </c>
      <c r="DN98" s="116" t="e">
        <f>(($I$5*#REF!)/100)+((#REF!*$J$5)/100)+(($K$5*#REF!)/100)+($L$5*#REF!)+($M$5*#REF!)</f>
        <v>#REF!</v>
      </c>
    </row>
    <row r="99" spans="2:118" x14ac:dyDescent="0.3">
      <c r="B99" s="64"/>
      <c r="C99" s="148"/>
      <c r="D99" s="109"/>
      <c r="E99" s="63"/>
      <c r="F99" s="127"/>
      <c r="G99" s="50"/>
      <c r="H99" s="10"/>
      <c r="I99" s="10"/>
      <c r="J99" s="10"/>
      <c r="K99" s="10"/>
      <c r="L99" s="10"/>
      <c r="M99" s="39"/>
      <c r="N99" s="33">
        <f t="shared" si="31"/>
        <v>0</v>
      </c>
      <c r="O99" s="52" t="b">
        <f>IF(AND(E99="CLIENT S+L",F99="HUILE"),(S99*3333.33+(VLOOKUP(H99,'BASE '!$I$112:$J$142,2,0)))-((S99*3333.33)*G99),IF(AND(E99="CLIENT S+L",F99="LAIT"),((S99*952.4)-(S99*952.4)*G99),IF(E99="CLIENT O","OFFERT",IF(AND(F99="HUILE",E99="CLIENT L"),(((VLOOKUP(H99,'BASE '!$I$112:$J$142,2,0))+(VLOOKUP(S99,'BASE '!#REF!,2,0)))),IF(AND(F99="LAIT",E99="CLIENT L"),(S99*952.4),IF(AND(F99="HUILE",E99="CLIENT D"),(S99*3809.53+(VLOOKUP(H99,'BASE '!$I$112:$J$142,2,0))),IF(AND(F99="LAIT",E99="CLIENT D"),(S99*952.4),IF(AND(F99="HUILE",E99="CLIENT S+D"),((S99*3809.53+(VLOOKUP(H99,'BASE '!$I$112:$J$142,2,0)))-((S99*3809.53)*G99)),IF(AND(F99="LAIT",E99="CLIENT S+D"),((S99*952.4)-((S99*952.4)*G99)),IF(AND(E99="CLIENT S",F99="LAIT"),((S99*952.4)-((S99*952.4)*G99)),IF(AND(F99="HUILE",E99="CLIENT S"),(VLOOKUP(H99,'BASE '!$I$112:$J$142,2,0)+(VLOOKUP(S99,'BASE '!#REF!,2,0)))-(G99*((VLOOKUP(S99,'BASE '!#REF!,2,0)+(VLOOKUP(H99,'BASE '!$I$112:$J$142,2,0))))))))))))))))</f>
        <v>0</v>
      </c>
      <c r="P99" s="52" t="b">
        <f t="shared" si="32"/>
        <v>0</v>
      </c>
      <c r="Q99" s="53" t="b">
        <f t="shared" si="33"/>
        <v>0</v>
      </c>
      <c r="R99" s="152" t="s">
        <v>175</v>
      </c>
      <c r="S99" s="184">
        <f t="shared" si="35"/>
        <v>0</v>
      </c>
      <c r="T99" s="124"/>
      <c r="U99" s="41" t="s">
        <v>175</v>
      </c>
      <c r="V99" s="70" t="e">
        <f>VLOOKUP(U99,'BASE '!$A$4:$H$144,2,0)</f>
        <v>#N/A</v>
      </c>
      <c r="W99" s="159"/>
      <c r="X99" s="159"/>
      <c r="Y99" s="160"/>
      <c r="Z99" s="158" t="e">
        <f>VLOOKUP(U99,'BASE '!$A$4:$H$144,3,0)</f>
        <v>#N/A</v>
      </c>
      <c r="AA99" s="94" t="e">
        <f t="shared" si="34"/>
        <v>#N/A</v>
      </c>
      <c r="AB99" s="95" t="e">
        <f>VLOOKUP(U99,'BASE '!$A$4:$H$144,6,0)*Y99/100</f>
        <v>#N/A</v>
      </c>
      <c r="AC99" s="95" t="e">
        <f>VLOOKUP(U99,'BASE '!$A$4:$H$144,7,0)*Y99/100</f>
        <v>#N/A</v>
      </c>
      <c r="AD99" s="95" t="e">
        <f>VLOOKUP(U99,'BASE '!$A$4:$H$144,8,0)*Y99/100</f>
        <v>#N/A</v>
      </c>
      <c r="AE99" s="96" t="e">
        <f t="shared" si="36"/>
        <v>#N/A</v>
      </c>
      <c r="DN99" s="116" t="e">
        <f>(($I$5*#REF!)/100)+((#REF!*$J$5)/100)+(($K$5*#REF!)/100)+($L$5*#REF!)+($M$5*#REF!)</f>
        <v>#REF!</v>
      </c>
    </row>
    <row r="100" spans="2:118" x14ac:dyDescent="0.3">
      <c r="B100" s="64"/>
      <c r="C100" s="148"/>
      <c r="D100" s="109"/>
      <c r="E100" s="63"/>
      <c r="F100" s="127"/>
      <c r="G100" s="50"/>
      <c r="H100" s="10"/>
      <c r="I100" s="10"/>
      <c r="J100" s="10"/>
      <c r="K100" s="10"/>
      <c r="L100" s="10"/>
      <c r="M100" s="39"/>
      <c r="N100" s="33">
        <f t="shared" si="31"/>
        <v>0</v>
      </c>
      <c r="O100" s="52" t="b">
        <f>IF(AND(E100="CLIENT S+L",F100="HUILE"),(S100*3333.33+(VLOOKUP(H100,'BASE '!$I$112:$J$142,2,0)))-((S100*3333.33)*G100),IF(AND(E100="CLIENT S+L",F100="LAIT"),((S100*952.4)-(S100*952.4)*G100),IF(E100="CLIENT O","OFFERT",IF(AND(F100="HUILE",E100="CLIENT L"),(((VLOOKUP(H100,'BASE '!$I$112:$J$142,2,0))+(VLOOKUP(S100,'BASE '!#REF!,2,0)))),IF(AND(F100="LAIT",E100="CLIENT L"),(S100*952.4),IF(AND(F100="HUILE",E100="CLIENT D"),(S100*3809.53+(VLOOKUP(H100,'BASE '!$I$112:$J$142,2,0))),IF(AND(F100="LAIT",E100="CLIENT D"),(S100*952.4),IF(AND(F100="HUILE",E100="CLIENT S+D"),((S100*3809.53+(VLOOKUP(H100,'BASE '!$I$112:$J$142,2,0)))-((S100*3809.53)*G100)),IF(AND(F100="LAIT",E100="CLIENT S+D"),((S100*952.4)-((S100*952.4)*G100)),IF(AND(E100="CLIENT S",F100="LAIT"),((S100*952.4)-((S100*952.4)*G100)),IF(AND(F100="HUILE",E100="CLIENT S"),(VLOOKUP(H100,'BASE '!$I$112:$J$142,2,0)+(VLOOKUP(S100,'BASE '!#REF!,2,0)))-(G100*((VLOOKUP(S100,'BASE '!#REF!,2,0)+(VLOOKUP(H100,'BASE '!$I$112:$J$142,2,0))))))))))))))))</f>
        <v>0</v>
      </c>
      <c r="P100" s="52" t="b">
        <f t="shared" si="32"/>
        <v>0</v>
      </c>
      <c r="Q100" s="53" t="b">
        <f t="shared" si="33"/>
        <v>0</v>
      </c>
      <c r="R100" s="152" t="s">
        <v>175</v>
      </c>
      <c r="S100" s="184">
        <f t="shared" si="35"/>
        <v>0</v>
      </c>
      <c r="T100" s="124"/>
      <c r="U100" s="41" t="s">
        <v>175</v>
      </c>
      <c r="V100" s="70" t="e">
        <f>VLOOKUP(U100,'BASE '!$A$4:$H$144,2,0)</f>
        <v>#N/A</v>
      </c>
      <c r="W100" s="159"/>
      <c r="X100" s="159"/>
      <c r="Y100" s="160"/>
      <c r="Z100" s="158" t="e">
        <f>VLOOKUP(U100,'BASE '!$A$4:$H$144,3,0)</f>
        <v>#N/A</v>
      </c>
      <c r="AA100" s="94" t="e">
        <f t="shared" si="34"/>
        <v>#N/A</v>
      </c>
      <c r="AB100" s="95" t="e">
        <f>VLOOKUP(U100,'BASE '!$A$4:$H$144,6,0)*Y100/100</f>
        <v>#N/A</v>
      </c>
      <c r="AC100" s="95" t="e">
        <f>VLOOKUP(U100,'BASE '!$A$4:$H$144,7,0)*Y100/100</f>
        <v>#N/A</v>
      </c>
      <c r="AD100" s="95" t="e">
        <f>VLOOKUP(U100,'BASE '!$A$4:$H$144,8,0)*Y100/100</f>
        <v>#N/A</v>
      </c>
      <c r="AE100" s="96" t="e">
        <f t="shared" si="36"/>
        <v>#N/A</v>
      </c>
      <c r="DN100" s="116" t="e">
        <f>(($I$5*#REF!)/100)+((#REF!*$J$5)/100)+(($K$5*#REF!)/100)+($L$5*#REF!)+($M$5*#REF!)</f>
        <v>#REF!</v>
      </c>
    </row>
    <row r="101" spans="2:118" x14ac:dyDescent="0.3">
      <c r="B101" s="64"/>
      <c r="C101" s="148"/>
      <c r="D101" s="109"/>
      <c r="E101" s="63"/>
      <c r="F101" s="127"/>
      <c r="G101" s="50"/>
      <c r="H101" s="10"/>
      <c r="I101" s="10"/>
      <c r="J101" s="10"/>
      <c r="K101" s="10"/>
      <c r="L101" s="10"/>
      <c r="M101" s="39"/>
      <c r="N101" s="33">
        <f t="shared" si="31"/>
        <v>0</v>
      </c>
      <c r="O101" s="52" t="b">
        <f>IF(AND(E101="CLIENT S+L",F101="HUILE"),(S101*3333.33+(VLOOKUP(H101,'BASE '!$I$112:$J$142,2,0)))-((S101*3333.33)*G101),IF(AND(E101="CLIENT S+L",F101="LAIT"),((S101*952.4)-(S101*952.4)*G101),IF(E101="CLIENT O","OFFERT",IF(AND(F101="HUILE",E101="CLIENT L"),(((VLOOKUP(H101,'BASE '!$I$112:$J$142,2,0))+(VLOOKUP(S101,'BASE '!#REF!,2,0)))),IF(AND(F101="LAIT",E101="CLIENT L"),(S101*952.4),IF(AND(F101="HUILE",E101="CLIENT D"),(S101*3809.53+(VLOOKUP(H101,'BASE '!$I$112:$J$142,2,0))),IF(AND(F101="LAIT",E101="CLIENT D"),(S101*952.4),IF(AND(F101="HUILE",E101="CLIENT S+D"),((S101*3809.53+(VLOOKUP(H101,'BASE '!$I$112:$J$142,2,0)))-((S101*3809.53)*G101)),IF(AND(F101="LAIT",E101="CLIENT S+D"),((S101*952.4)-((S101*952.4)*G101)),IF(AND(E101="CLIENT S",F101="LAIT"),((S101*952.4)-((S101*952.4)*G101)),IF(AND(F101="HUILE",E101="CLIENT S"),(VLOOKUP(H101,'BASE '!$I$112:$J$142,2,0)+(VLOOKUP(S101,'BASE '!#REF!,2,0)))-(G101*((VLOOKUP(S101,'BASE '!#REF!,2,0)+(VLOOKUP(H101,'BASE '!$I$112:$J$142,2,0))))))))))))))))</f>
        <v>0</v>
      </c>
      <c r="P101" s="52" t="b">
        <f t="shared" si="32"/>
        <v>0</v>
      </c>
      <c r="Q101" s="53" t="b">
        <f t="shared" si="33"/>
        <v>0</v>
      </c>
      <c r="R101" s="152" t="s">
        <v>175</v>
      </c>
      <c r="S101" s="184">
        <f t="shared" si="35"/>
        <v>0</v>
      </c>
      <c r="T101" s="124"/>
      <c r="U101" s="41" t="s">
        <v>175</v>
      </c>
      <c r="V101" s="70" t="e">
        <f>VLOOKUP(U101,'BASE '!$A$4:$H$144,2,0)</f>
        <v>#N/A</v>
      </c>
      <c r="W101" s="159"/>
      <c r="X101" s="159"/>
      <c r="Y101" s="160"/>
      <c r="Z101" s="158" t="e">
        <f>VLOOKUP(U101,'BASE '!$A$4:$H$144,3,0)</f>
        <v>#N/A</v>
      </c>
      <c r="AA101" s="94" t="e">
        <f t="shared" si="34"/>
        <v>#N/A</v>
      </c>
      <c r="AB101" s="95" t="e">
        <f>VLOOKUP(U101,'BASE '!$A$4:$H$144,6,0)*Y101/100</f>
        <v>#N/A</v>
      </c>
      <c r="AC101" s="95" t="e">
        <f>VLOOKUP(U101,'BASE '!$A$4:$H$144,7,0)*Y101/100</f>
        <v>#N/A</v>
      </c>
      <c r="AD101" s="95" t="e">
        <f>VLOOKUP(U101,'BASE '!$A$4:$H$144,8,0)*Y101/100</f>
        <v>#N/A</v>
      </c>
      <c r="AE101" s="96" t="e">
        <f t="shared" si="36"/>
        <v>#N/A</v>
      </c>
      <c r="DN101" s="116" t="e">
        <f>(($I$5*#REF!)/100)+((#REF!*$J$5)/100)+(($K$5*#REF!)/100)+($L$5*#REF!)+($M$5*#REF!)</f>
        <v>#REF!</v>
      </c>
    </row>
    <row r="102" spans="2:118" x14ac:dyDescent="0.3">
      <c r="B102" s="64"/>
      <c r="C102" s="148"/>
      <c r="D102" s="109"/>
      <c r="E102" s="63"/>
      <c r="F102" s="127"/>
      <c r="G102" s="50"/>
      <c r="H102" s="10"/>
      <c r="I102" s="10"/>
      <c r="J102" s="10"/>
      <c r="K102" s="10"/>
      <c r="L102" s="10"/>
      <c r="M102" s="39"/>
      <c r="N102" s="33">
        <f t="shared" si="31"/>
        <v>0</v>
      </c>
      <c r="O102" s="52" t="b">
        <f>IF(AND(E102="CLIENT S+L",F102="HUILE"),(S102*3333.33+(VLOOKUP(H102,'BASE '!$I$112:$J$142,2,0)))-((S102*3333.33)*G102),IF(AND(E102="CLIENT S+L",F102="LAIT"),((S102*952.4)-(S102*952.4)*G102),IF(E102="CLIENT O","OFFERT",IF(AND(F102="HUILE",E102="CLIENT L"),(((VLOOKUP(H102,'BASE '!$I$112:$J$142,2,0))+(VLOOKUP(S102,'BASE '!#REF!,2,0)))),IF(AND(F102="LAIT",E102="CLIENT L"),(S102*952.4),IF(AND(F102="HUILE",E102="CLIENT D"),(S102*3809.53+(VLOOKUP(H102,'BASE '!$I$112:$J$142,2,0))),IF(AND(F102="LAIT",E102="CLIENT D"),(S102*952.4),IF(AND(F102="HUILE",E102="CLIENT S+D"),((S102*3809.53+(VLOOKUP(H102,'BASE '!$I$112:$J$142,2,0)))-((S102*3809.53)*G102)),IF(AND(F102="LAIT",E102="CLIENT S+D"),((S102*952.4)-((S102*952.4)*G102)),IF(AND(E102="CLIENT S",F102="LAIT"),((S102*952.4)-((S102*952.4)*G102)),IF(AND(F102="HUILE",E102="CLIENT S"),(VLOOKUP(H102,'BASE '!$I$112:$J$142,2,0)+(VLOOKUP(S102,'BASE '!#REF!,2,0)))-(G102*((VLOOKUP(S102,'BASE '!#REF!,2,0)+(VLOOKUP(H102,'BASE '!$I$112:$J$142,2,0))))))))))))))))</f>
        <v>0</v>
      </c>
      <c r="P102" s="52" t="b">
        <f t="shared" si="32"/>
        <v>0</v>
      </c>
      <c r="Q102" s="53" t="b">
        <f t="shared" si="33"/>
        <v>0</v>
      </c>
      <c r="R102" s="152" t="s">
        <v>175</v>
      </c>
      <c r="S102" s="184">
        <f t="shared" si="35"/>
        <v>0</v>
      </c>
      <c r="T102" s="124"/>
      <c r="U102" s="41" t="s">
        <v>175</v>
      </c>
      <c r="V102" s="70" t="e">
        <f>VLOOKUP(U102,'BASE '!$A$4:$H$144,2,0)</f>
        <v>#N/A</v>
      </c>
      <c r="W102" s="159"/>
      <c r="X102" s="159"/>
      <c r="Y102" s="160"/>
      <c r="Z102" s="158" t="e">
        <f>VLOOKUP(U102,'BASE '!$A$4:$H$144,3,0)</f>
        <v>#N/A</v>
      </c>
      <c r="AA102" s="94" t="e">
        <f t="shared" si="34"/>
        <v>#N/A</v>
      </c>
      <c r="AB102" s="95" t="e">
        <f>VLOOKUP(U102,'BASE '!$A$4:$H$144,6,0)*Y102/100</f>
        <v>#N/A</v>
      </c>
      <c r="AC102" s="95" t="e">
        <f>VLOOKUP(U102,'BASE '!$A$4:$H$144,7,0)*Y102/100</f>
        <v>#N/A</v>
      </c>
      <c r="AD102" s="95" t="e">
        <f>VLOOKUP(U102,'BASE '!$A$4:$H$144,8,0)*Y102/100</f>
        <v>#N/A</v>
      </c>
      <c r="AE102" s="96" t="e">
        <f t="shared" si="36"/>
        <v>#N/A</v>
      </c>
      <c r="DN102" s="116" t="e">
        <f>(($I$5*#REF!)/100)+((#REF!*$J$5)/100)+(($K$5*#REF!)/100)+($L$5*#REF!)+($M$5*#REF!)</f>
        <v>#REF!</v>
      </c>
    </row>
    <row r="103" spans="2:118" x14ac:dyDescent="0.3">
      <c r="B103" s="64"/>
      <c r="C103" s="148"/>
      <c r="D103" s="109"/>
      <c r="E103" s="63"/>
      <c r="F103" s="127"/>
      <c r="G103" s="50"/>
      <c r="H103" s="10"/>
      <c r="I103" s="10"/>
      <c r="J103" s="10"/>
      <c r="K103" s="10"/>
      <c r="L103" s="10"/>
      <c r="M103" s="39"/>
      <c r="N103" s="33">
        <f t="shared" si="31"/>
        <v>0</v>
      </c>
      <c r="O103" s="52" t="b">
        <f>IF(AND(E103="CLIENT S+L",F103="HUILE"),(S103*3333.33+(VLOOKUP(H103,'BASE '!$I$112:$J$142,2,0)))-((S103*3333.33)*G103),IF(AND(E103="CLIENT S+L",F103="LAIT"),((S103*952.4)-(S103*952.4)*G103),IF(E103="CLIENT O","OFFERT",IF(AND(F103="HUILE",E103="CLIENT L"),(((VLOOKUP(H103,'BASE '!$I$112:$J$142,2,0))+(VLOOKUP(S103,'BASE '!#REF!,2,0)))),IF(AND(F103="LAIT",E103="CLIENT L"),(S103*952.4),IF(AND(F103="HUILE",E103="CLIENT D"),(S103*3809.53+(VLOOKUP(H103,'BASE '!$I$112:$J$142,2,0))),IF(AND(F103="LAIT",E103="CLIENT D"),(S103*952.4),IF(AND(F103="HUILE",E103="CLIENT S+D"),((S103*3809.53+(VLOOKUP(H103,'BASE '!$I$112:$J$142,2,0)))-((S103*3809.53)*G103)),IF(AND(F103="LAIT",E103="CLIENT S+D"),((S103*952.4)-((S103*952.4)*G103)),IF(AND(E103="CLIENT S",F103="LAIT"),((S103*952.4)-((S103*952.4)*G103)),IF(AND(F103="HUILE",E103="CLIENT S"),(VLOOKUP(H103,'BASE '!$I$112:$J$142,2,0)+(VLOOKUP(S103,'BASE '!#REF!,2,0)))-(G103*((VLOOKUP(S103,'BASE '!#REF!,2,0)+(VLOOKUP(H103,'BASE '!$I$112:$J$142,2,0))))))))))))))))</f>
        <v>0</v>
      </c>
      <c r="P103" s="52" t="b">
        <f t="shared" si="32"/>
        <v>0</v>
      </c>
      <c r="Q103" s="53" t="b">
        <f t="shared" si="33"/>
        <v>0</v>
      </c>
      <c r="R103" s="152" t="s">
        <v>175</v>
      </c>
      <c r="S103" s="184">
        <f t="shared" si="35"/>
        <v>0</v>
      </c>
      <c r="T103" s="124"/>
      <c r="U103" s="41" t="s">
        <v>175</v>
      </c>
      <c r="V103" s="70" t="e">
        <f>VLOOKUP(U103,'BASE '!$A$4:$H$144,2,0)</f>
        <v>#N/A</v>
      </c>
      <c r="W103" s="159"/>
      <c r="X103" s="159"/>
      <c r="Y103" s="160"/>
      <c r="Z103" s="158" t="e">
        <f>VLOOKUP(U103,'BASE '!$A$4:$H$144,3,0)</f>
        <v>#N/A</v>
      </c>
      <c r="AA103" s="94" t="e">
        <f t="shared" si="34"/>
        <v>#N/A</v>
      </c>
      <c r="AB103" s="95" t="e">
        <f>VLOOKUP(U103,'BASE '!$A$4:$H$144,6,0)*Y103/100</f>
        <v>#N/A</v>
      </c>
      <c r="AC103" s="95" t="e">
        <f>VLOOKUP(U103,'BASE '!$A$4:$H$144,7,0)*Y103/100</f>
        <v>#N/A</v>
      </c>
      <c r="AD103" s="95" t="e">
        <f>VLOOKUP(U103,'BASE '!$A$4:$H$144,8,0)*Y103/100</f>
        <v>#N/A</v>
      </c>
      <c r="AE103" s="96" t="e">
        <f t="shared" si="36"/>
        <v>#N/A</v>
      </c>
      <c r="DN103" s="116" t="e">
        <f>(($I$5*#REF!)/100)+((#REF!*$J$5)/100)+(($K$5*#REF!)/100)+($L$5*#REF!)+($M$5*#REF!)</f>
        <v>#REF!</v>
      </c>
    </row>
    <row r="104" spans="2:118" x14ac:dyDescent="0.3">
      <c r="B104" s="64"/>
      <c r="C104" s="148"/>
      <c r="D104" s="109"/>
      <c r="E104" s="63"/>
      <c r="F104" s="127"/>
      <c r="G104" s="50"/>
      <c r="H104" s="10"/>
      <c r="I104" s="10"/>
      <c r="J104" s="10"/>
      <c r="K104" s="10"/>
      <c r="L104" s="10"/>
      <c r="M104" s="39"/>
      <c r="N104" s="33">
        <f t="shared" si="31"/>
        <v>0</v>
      </c>
      <c r="O104" s="52" t="b">
        <f>IF(AND(E104="CLIENT S+L",F104="HUILE"),(S104*3333.33+(VLOOKUP(H104,'BASE '!$I$112:$J$142,2,0)))-((S104*3333.33)*G104),IF(AND(E104="CLIENT S+L",F104="LAIT"),((S104*952.4)-(S104*952.4)*G104),IF(E104="CLIENT O","OFFERT",IF(AND(F104="HUILE",E104="CLIENT L"),(((VLOOKUP(H104,'BASE '!$I$112:$J$142,2,0))+(VLOOKUP(S104,'BASE '!#REF!,2,0)))),IF(AND(F104="LAIT",E104="CLIENT L"),(S104*952.4),IF(AND(F104="HUILE",E104="CLIENT D"),(S104*3809.53+(VLOOKUP(H104,'BASE '!$I$112:$J$142,2,0))),IF(AND(F104="LAIT",E104="CLIENT D"),(S104*952.4),IF(AND(F104="HUILE",E104="CLIENT S+D"),((S104*3809.53+(VLOOKUP(H104,'BASE '!$I$112:$J$142,2,0)))-((S104*3809.53)*G104)),IF(AND(F104="LAIT",E104="CLIENT S+D"),((S104*952.4)-((S104*952.4)*G104)),IF(AND(E104="CLIENT S",F104="LAIT"),((S104*952.4)-((S104*952.4)*G104)),IF(AND(F104="HUILE",E104="CLIENT S"),(VLOOKUP(H104,'BASE '!$I$112:$J$142,2,0)+(VLOOKUP(S104,'BASE '!#REF!,2,0)))-(G104*((VLOOKUP(S104,'BASE '!#REF!,2,0)+(VLOOKUP(H104,'BASE '!$I$112:$J$142,2,0))))))))))))))))</f>
        <v>0</v>
      </c>
      <c r="P104" s="52" t="b">
        <f t="shared" si="32"/>
        <v>0</v>
      </c>
      <c r="Q104" s="53" t="b">
        <f t="shared" si="33"/>
        <v>0</v>
      </c>
      <c r="R104" s="152" t="s">
        <v>175</v>
      </c>
      <c r="S104" s="184">
        <f t="shared" si="35"/>
        <v>0</v>
      </c>
      <c r="T104" s="124"/>
      <c r="U104" s="41" t="s">
        <v>175</v>
      </c>
      <c r="V104" s="70" t="e">
        <f>VLOOKUP(U104,'BASE '!$A$4:$H$144,2,0)</f>
        <v>#N/A</v>
      </c>
      <c r="W104" s="159"/>
      <c r="X104" s="159"/>
      <c r="Y104" s="160"/>
      <c r="Z104" s="158" t="e">
        <f>VLOOKUP(U104,'BASE '!$A$4:$H$144,3,0)</f>
        <v>#N/A</v>
      </c>
      <c r="AA104" s="94" t="e">
        <f t="shared" si="34"/>
        <v>#N/A</v>
      </c>
      <c r="AB104" s="95" t="e">
        <f>VLOOKUP(U104,'BASE '!$A$4:$H$144,6,0)*Y104/100</f>
        <v>#N/A</v>
      </c>
      <c r="AC104" s="95" t="e">
        <f>VLOOKUP(U104,'BASE '!$A$4:$H$144,7,0)*Y104/100</f>
        <v>#N/A</v>
      </c>
      <c r="AD104" s="95" t="e">
        <f>VLOOKUP(U104,'BASE '!$A$4:$H$144,8,0)*Y104/100</f>
        <v>#N/A</v>
      </c>
      <c r="AE104" s="96" t="e">
        <f t="shared" si="36"/>
        <v>#N/A</v>
      </c>
      <c r="DN104" s="116" t="e">
        <f>(($I$5*#REF!)/100)+((#REF!*$J$5)/100)+(($K$5*#REF!)/100)+($L$5*#REF!)+($M$5*#REF!)</f>
        <v>#REF!</v>
      </c>
    </row>
    <row r="105" spans="2:118" x14ac:dyDescent="0.3">
      <c r="B105" s="64"/>
      <c r="C105" s="148"/>
      <c r="D105" s="109"/>
      <c r="E105" s="63"/>
      <c r="F105" s="127"/>
      <c r="G105" s="50"/>
      <c r="H105" s="10"/>
      <c r="I105" s="10"/>
      <c r="J105" s="10"/>
      <c r="K105" s="10"/>
      <c r="L105" s="10"/>
      <c r="M105" s="39"/>
      <c r="N105" s="33">
        <f t="shared" si="31"/>
        <v>0</v>
      </c>
      <c r="O105" s="52" t="b">
        <f>IF(AND(E105="CLIENT S+L",F105="HUILE"),(S105*3333.33+(VLOOKUP(H105,'BASE '!$I$112:$J$142,2,0)))-((S105*3333.33)*G105),IF(AND(E105="CLIENT S+L",F105="LAIT"),((S105*952.4)-(S105*952.4)*G105),IF(E105="CLIENT O","OFFERT",IF(AND(F105="HUILE",E105="CLIENT L"),(((VLOOKUP(H105,'BASE '!$I$112:$J$142,2,0))+(VLOOKUP(S105,'BASE '!#REF!,2,0)))),IF(AND(F105="LAIT",E105="CLIENT L"),(S105*952.4),IF(AND(F105="HUILE",E105="CLIENT D"),(S105*3809.53+(VLOOKUP(H105,'BASE '!$I$112:$J$142,2,0))),IF(AND(F105="LAIT",E105="CLIENT D"),(S105*952.4),IF(AND(F105="HUILE",E105="CLIENT S+D"),((S105*3809.53+(VLOOKUP(H105,'BASE '!$I$112:$J$142,2,0)))-((S105*3809.53)*G105)),IF(AND(F105="LAIT",E105="CLIENT S+D"),((S105*952.4)-((S105*952.4)*G105)),IF(AND(E105="CLIENT S",F105="LAIT"),((S105*952.4)-((S105*952.4)*G105)),IF(AND(F105="HUILE",E105="CLIENT S"),(VLOOKUP(H105,'BASE '!$I$112:$J$142,2,0)+(VLOOKUP(S105,'BASE '!#REF!,2,0)))-(G105*((VLOOKUP(S105,'BASE '!#REF!,2,0)+(VLOOKUP(H105,'BASE '!$I$112:$J$142,2,0))))))))))))))))</f>
        <v>0</v>
      </c>
      <c r="P105" s="52" t="b">
        <f t="shared" si="32"/>
        <v>0</v>
      </c>
      <c r="Q105" s="53" t="b">
        <f t="shared" si="33"/>
        <v>0</v>
      </c>
      <c r="R105" s="152" t="s">
        <v>175</v>
      </c>
      <c r="S105" s="184">
        <f t="shared" si="35"/>
        <v>0</v>
      </c>
      <c r="T105" s="124"/>
      <c r="U105" s="41" t="s">
        <v>175</v>
      </c>
      <c r="V105" s="70" t="e">
        <f>VLOOKUP(U105,'BASE '!$A$4:$H$144,2,0)</f>
        <v>#N/A</v>
      </c>
      <c r="W105" s="159"/>
      <c r="X105" s="159"/>
      <c r="Y105" s="160"/>
      <c r="Z105" s="158" t="e">
        <f>VLOOKUP(U105,'BASE '!$A$4:$H$144,3,0)</f>
        <v>#N/A</v>
      </c>
      <c r="AA105" s="94" t="e">
        <f t="shared" si="34"/>
        <v>#N/A</v>
      </c>
      <c r="AB105" s="95" t="e">
        <f>VLOOKUP(U105,'BASE '!$A$4:$H$144,6,0)*Y105/100</f>
        <v>#N/A</v>
      </c>
      <c r="AC105" s="95" t="e">
        <f>VLOOKUP(U105,'BASE '!$A$4:$H$144,7,0)*Y105/100</f>
        <v>#N/A</v>
      </c>
      <c r="AD105" s="95" t="e">
        <f>VLOOKUP(U105,'BASE '!$A$4:$H$144,8,0)*Y105/100</f>
        <v>#N/A</v>
      </c>
      <c r="AE105" s="96" t="e">
        <f t="shared" si="36"/>
        <v>#N/A</v>
      </c>
      <c r="DN105" s="116" t="e">
        <f>(($I$5*#REF!)/100)+((#REF!*$J$5)/100)+(($K$5*#REF!)/100)+($L$5*#REF!)+($M$5*#REF!)</f>
        <v>#REF!</v>
      </c>
    </row>
    <row r="106" spans="2:118" x14ac:dyDescent="0.3">
      <c r="B106" s="64"/>
      <c r="C106" s="148"/>
      <c r="D106" s="109"/>
      <c r="E106" s="63"/>
      <c r="F106" s="127"/>
      <c r="G106" s="50"/>
      <c r="H106" s="10"/>
      <c r="I106" s="10"/>
      <c r="J106" s="10"/>
      <c r="K106" s="10"/>
      <c r="L106" s="10"/>
      <c r="M106" s="39"/>
      <c r="N106" s="33">
        <f t="shared" si="31"/>
        <v>0</v>
      </c>
      <c r="O106" s="52" t="b">
        <f>IF(AND(E106="CLIENT S+L",F106="HUILE"),(S106*3333.33+(VLOOKUP(H106,'BASE '!$I$112:$J$142,2,0)))-((S106*3333.33)*G106),IF(AND(E106="CLIENT S+L",F106="LAIT"),((S106*952.4)-(S106*952.4)*G106),IF(E106="CLIENT O","OFFERT",IF(AND(F106="HUILE",E106="CLIENT L"),(((VLOOKUP(H106,'BASE '!$I$112:$J$142,2,0))+(VLOOKUP(S106,'BASE '!#REF!,2,0)))),IF(AND(F106="LAIT",E106="CLIENT L"),(S106*952.4),IF(AND(F106="HUILE",E106="CLIENT D"),(S106*3809.53+(VLOOKUP(H106,'BASE '!$I$112:$J$142,2,0))),IF(AND(F106="LAIT",E106="CLIENT D"),(S106*952.4),IF(AND(F106="HUILE",E106="CLIENT S+D"),((S106*3809.53+(VLOOKUP(H106,'BASE '!$I$112:$J$142,2,0)))-((S106*3809.53)*G106)),IF(AND(F106="LAIT",E106="CLIENT S+D"),((S106*952.4)-((S106*952.4)*G106)),IF(AND(E106="CLIENT S",F106="LAIT"),((S106*952.4)-((S106*952.4)*G106)),IF(AND(F106="HUILE",E106="CLIENT S"),(VLOOKUP(H106,'BASE '!$I$112:$J$142,2,0)+(VLOOKUP(S106,'BASE '!#REF!,2,0)))-(G106*((VLOOKUP(S106,'BASE '!#REF!,2,0)+(VLOOKUP(H106,'BASE '!$I$112:$J$142,2,0))))))))))))))))</f>
        <v>0</v>
      </c>
      <c r="P106" s="52" t="b">
        <f t="shared" si="32"/>
        <v>0</v>
      </c>
      <c r="Q106" s="53" t="b">
        <f t="shared" si="33"/>
        <v>0</v>
      </c>
      <c r="R106" s="152" t="s">
        <v>175</v>
      </c>
      <c r="S106" s="184">
        <f t="shared" si="35"/>
        <v>0</v>
      </c>
      <c r="T106" s="124"/>
      <c r="U106" s="41" t="s">
        <v>175</v>
      </c>
      <c r="V106" s="70" t="e">
        <f>VLOOKUP(U106,'BASE '!$A$4:$H$144,2,0)</f>
        <v>#N/A</v>
      </c>
      <c r="W106" s="159"/>
      <c r="X106" s="159"/>
      <c r="Y106" s="160"/>
      <c r="Z106" s="158" t="e">
        <f>VLOOKUP(U106,'BASE '!$A$4:$H$144,3,0)</f>
        <v>#N/A</v>
      </c>
      <c r="AA106" s="94" t="e">
        <f t="shared" si="34"/>
        <v>#N/A</v>
      </c>
      <c r="AB106" s="95" t="e">
        <f>VLOOKUP(U106,'BASE '!$A$4:$H$144,6,0)*Y106/100</f>
        <v>#N/A</v>
      </c>
      <c r="AC106" s="95" t="e">
        <f>VLOOKUP(U106,'BASE '!$A$4:$H$144,7,0)*Y106/100</f>
        <v>#N/A</v>
      </c>
      <c r="AD106" s="95" t="e">
        <f>VLOOKUP(U106,'BASE '!$A$4:$H$144,8,0)*Y106/100</f>
        <v>#N/A</v>
      </c>
      <c r="AE106" s="96" t="e">
        <f t="shared" si="36"/>
        <v>#N/A</v>
      </c>
      <c r="DN106" s="116" t="e">
        <f>(($I$5*#REF!)/100)+((#REF!*$J$5)/100)+(($K$5*#REF!)/100)+($L$5*#REF!)+($M$5*#REF!)</f>
        <v>#REF!</v>
      </c>
    </row>
    <row r="107" spans="2:118" x14ac:dyDescent="0.3">
      <c r="B107" s="64"/>
      <c r="C107" s="148"/>
      <c r="D107" s="109"/>
      <c r="E107" s="63"/>
      <c r="F107" s="127"/>
      <c r="G107" s="50"/>
      <c r="H107" s="10"/>
      <c r="I107" s="10"/>
      <c r="J107" s="10"/>
      <c r="K107" s="10"/>
      <c r="L107" s="10"/>
      <c r="M107" s="39"/>
      <c r="N107" s="33">
        <f t="shared" si="31"/>
        <v>0</v>
      </c>
      <c r="O107" s="52" t="b">
        <f>IF(AND(E107="CLIENT S+L",F107="HUILE"),(S107*3333.33+(VLOOKUP(H107,'BASE '!$I$112:$J$142,2,0)))-((S107*3333.33)*G107),IF(AND(E107="CLIENT S+L",F107="LAIT"),((S107*952.4)-(S107*952.4)*G107),IF(E107="CLIENT O","OFFERT",IF(AND(F107="HUILE",E107="CLIENT L"),(((VLOOKUP(H107,'BASE '!$I$112:$J$142,2,0))+(VLOOKUP(S107,'BASE '!#REF!,2,0)))),IF(AND(F107="LAIT",E107="CLIENT L"),(S107*952.4),IF(AND(F107="HUILE",E107="CLIENT D"),(S107*3809.53+(VLOOKUP(H107,'BASE '!$I$112:$J$142,2,0))),IF(AND(F107="LAIT",E107="CLIENT D"),(S107*952.4),IF(AND(F107="HUILE",E107="CLIENT S+D"),((S107*3809.53+(VLOOKUP(H107,'BASE '!$I$112:$J$142,2,0)))-((S107*3809.53)*G107)),IF(AND(F107="LAIT",E107="CLIENT S+D"),((S107*952.4)-((S107*952.4)*G107)),IF(AND(E107="CLIENT S",F107="LAIT"),((S107*952.4)-((S107*952.4)*G107)),IF(AND(F107="HUILE",E107="CLIENT S"),(VLOOKUP(H107,'BASE '!$I$112:$J$142,2,0)+(VLOOKUP(S107,'BASE '!#REF!,2,0)))-(G107*((VLOOKUP(S107,'BASE '!#REF!,2,0)+(VLOOKUP(H107,'BASE '!$I$112:$J$142,2,0))))))))))))))))</f>
        <v>0</v>
      </c>
      <c r="P107" s="52" t="b">
        <f t="shared" si="32"/>
        <v>0</v>
      </c>
      <c r="Q107" s="53" t="b">
        <f t="shared" si="33"/>
        <v>0</v>
      </c>
      <c r="R107" s="152" t="s">
        <v>175</v>
      </c>
      <c r="S107" s="184">
        <f t="shared" si="35"/>
        <v>0</v>
      </c>
      <c r="T107" s="124"/>
      <c r="U107" s="41" t="s">
        <v>175</v>
      </c>
      <c r="V107" s="70" t="e">
        <f>VLOOKUP(U107,'BASE '!$A$4:$H$144,2,0)</f>
        <v>#N/A</v>
      </c>
      <c r="W107" s="159"/>
      <c r="X107" s="159"/>
      <c r="Y107" s="160"/>
      <c r="Z107" s="158" t="e">
        <f>VLOOKUP(U107,'BASE '!$A$4:$H$144,3,0)</f>
        <v>#N/A</v>
      </c>
      <c r="AA107" s="94" t="e">
        <f t="shared" si="34"/>
        <v>#N/A</v>
      </c>
      <c r="AB107" s="95" t="e">
        <f>VLOOKUP(U107,'BASE '!$A$4:$H$144,6,0)*Y107/100</f>
        <v>#N/A</v>
      </c>
      <c r="AC107" s="95" t="e">
        <f>VLOOKUP(U107,'BASE '!$A$4:$H$144,7,0)*Y107/100</f>
        <v>#N/A</v>
      </c>
      <c r="AD107" s="95" t="e">
        <f>VLOOKUP(U107,'BASE '!$A$4:$H$144,8,0)*Y107/100</f>
        <v>#N/A</v>
      </c>
      <c r="AE107" s="96" t="e">
        <f t="shared" si="36"/>
        <v>#N/A</v>
      </c>
      <c r="DN107" s="116" t="e">
        <f>(($I$5*#REF!)/100)+((#REF!*$J$5)/100)+(($K$5*#REF!)/100)+($L$5*#REF!)+($M$5*#REF!)</f>
        <v>#REF!</v>
      </c>
    </row>
    <row r="108" spans="2:118" x14ac:dyDescent="0.3">
      <c r="B108" s="64"/>
      <c r="C108" s="148"/>
      <c r="D108" s="109"/>
      <c r="E108" s="63"/>
      <c r="F108" s="127"/>
      <c r="G108" s="50"/>
      <c r="H108" s="10"/>
      <c r="I108" s="10"/>
      <c r="J108" s="10"/>
      <c r="K108" s="10"/>
      <c r="L108" s="10"/>
      <c r="M108" s="39"/>
      <c r="N108" s="33">
        <f t="shared" si="31"/>
        <v>0</v>
      </c>
      <c r="O108" s="52" t="b">
        <f>IF(AND(E108="CLIENT S+L",F108="HUILE"),(S108*3333.33+(VLOOKUP(H108,'BASE '!$I$112:$J$142,2,0)))-((S108*3333.33)*G108),IF(AND(E108="CLIENT S+L",F108="LAIT"),((S108*952.4)-(S108*952.4)*G108),IF(E108="CLIENT O","OFFERT",IF(AND(F108="HUILE",E108="CLIENT L"),(((VLOOKUP(H108,'BASE '!$I$112:$J$142,2,0))+(VLOOKUP(S108,'BASE '!#REF!,2,0)))),IF(AND(F108="LAIT",E108="CLIENT L"),(S108*952.4),IF(AND(F108="HUILE",E108="CLIENT D"),(S108*3809.53+(VLOOKUP(H108,'BASE '!$I$112:$J$142,2,0))),IF(AND(F108="LAIT",E108="CLIENT D"),(S108*952.4),IF(AND(F108="HUILE",E108="CLIENT S+D"),((S108*3809.53+(VLOOKUP(H108,'BASE '!$I$112:$J$142,2,0)))-((S108*3809.53)*G108)),IF(AND(F108="LAIT",E108="CLIENT S+D"),((S108*952.4)-((S108*952.4)*G108)),IF(AND(E108="CLIENT S",F108="LAIT"),((S108*952.4)-((S108*952.4)*G108)),IF(AND(F108="HUILE",E108="CLIENT S"),(VLOOKUP(H108,'BASE '!$I$112:$J$142,2,0)+(VLOOKUP(S108,'BASE '!#REF!,2,0)))-(G108*((VLOOKUP(S108,'BASE '!#REF!,2,0)+(VLOOKUP(H108,'BASE '!$I$112:$J$142,2,0))))))))))))))))</f>
        <v>0</v>
      </c>
      <c r="P108" s="52" t="b">
        <f t="shared" si="32"/>
        <v>0</v>
      </c>
      <c r="Q108" s="53" t="b">
        <f t="shared" si="33"/>
        <v>0</v>
      </c>
      <c r="R108" s="152" t="s">
        <v>175</v>
      </c>
      <c r="S108" s="184">
        <f t="shared" si="35"/>
        <v>0</v>
      </c>
      <c r="T108" s="124"/>
      <c r="U108" s="41" t="s">
        <v>175</v>
      </c>
      <c r="V108" s="70" t="e">
        <f>VLOOKUP(U108,'BASE '!$A$4:$H$144,2,0)</f>
        <v>#N/A</v>
      </c>
      <c r="W108" s="159"/>
      <c r="X108" s="159"/>
      <c r="Y108" s="160"/>
      <c r="Z108" s="158" t="e">
        <f>VLOOKUP(U108,'BASE '!$A$4:$H$144,3,0)</f>
        <v>#N/A</v>
      </c>
      <c r="AA108" s="94" t="e">
        <f t="shared" si="34"/>
        <v>#N/A</v>
      </c>
      <c r="AB108" s="95" t="e">
        <f>VLOOKUP(U108,'BASE '!$A$4:$H$144,6,0)*Y108/100</f>
        <v>#N/A</v>
      </c>
      <c r="AC108" s="95" t="e">
        <f>VLOOKUP(U108,'BASE '!$A$4:$H$144,7,0)*Y108/100</f>
        <v>#N/A</v>
      </c>
      <c r="AD108" s="95" t="e">
        <f>VLOOKUP(U108,'BASE '!$A$4:$H$144,8,0)*Y108/100</f>
        <v>#N/A</v>
      </c>
      <c r="AE108" s="96" t="e">
        <f t="shared" si="36"/>
        <v>#N/A</v>
      </c>
      <c r="DN108" s="116" t="e">
        <f>(($I$5*#REF!)/100)+((#REF!*$J$5)/100)+(($K$5*#REF!)/100)+($L$5*#REF!)+($M$5*#REF!)</f>
        <v>#REF!</v>
      </c>
    </row>
    <row r="109" spans="2:118" x14ac:dyDescent="0.3">
      <c r="B109" s="64"/>
      <c r="C109" s="148"/>
      <c r="D109" s="109"/>
      <c r="E109" s="63"/>
      <c r="F109" s="127"/>
      <c r="G109" s="50"/>
      <c r="H109" s="10"/>
      <c r="I109" s="10"/>
      <c r="J109" s="10"/>
      <c r="K109" s="10"/>
      <c r="L109" s="10"/>
      <c r="M109" s="39"/>
      <c r="N109" s="33">
        <f t="shared" si="31"/>
        <v>0</v>
      </c>
      <c r="O109" s="52" t="b">
        <f>IF(AND(E109="CLIENT S+L",F109="HUILE"),(S109*3333.33+(VLOOKUP(H109,'BASE '!$I$112:$J$142,2,0)))-((S109*3333.33)*G109),IF(AND(E109="CLIENT S+L",F109="LAIT"),((S109*952.4)-(S109*952.4)*G109),IF(E109="CLIENT O","OFFERT",IF(AND(F109="HUILE",E109="CLIENT L"),(((VLOOKUP(H109,'BASE '!$I$112:$J$142,2,0))+(VLOOKUP(S109,'BASE '!#REF!,2,0)))),IF(AND(F109="LAIT",E109="CLIENT L"),(S109*952.4),IF(AND(F109="HUILE",E109="CLIENT D"),(S109*3809.53+(VLOOKUP(H109,'BASE '!$I$112:$J$142,2,0))),IF(AND(F109="LAIT",E109="CLIENT D"),(S109*952.4),IF(AND(F109="HUILE",E109="CLIENT S+D"),((S109*3809.53+(VLOOKUP(H109,'BASE '!$I$112:$J$142,2,0)))-((S109*3809.53)*G109)),IF(AND(F109="LAIT",E109="CLIENT S+D"),((S109*952.4)-((S109*952.4)*G109)),IF(AND(E109="CLIENT S",F109="LAIT"),((S109*952.4)-((S109*952.4)*G109)),IF(AND(F109="HUILE",E109="CLIENT S"),(VLOOKUP(H109,'BASE '!$I$112:$J$142,2,0)+(VLOOKUP(S109,'BASE '!#REF!,2,0)))-(G109*((VLOOKUP(S109,'BASE '!#REF!,2,0)+(VLOOKUP(H109,'BASE '!$I$112:$J$142,2,0))))))))))))))))</f>
        <v>0</v>
      </c>
      <c r="P109" s="52" t="b">
        <f t="shared" si="32"/>
        <v>0</v>
      </c>
      <c r="Q109" s="53" t="b">
        <f t="shared" si="33"/>
        <v>0</v>
      </c>
      <c r="R109" s="152" t="s">
        <v>175</v>
      </c>
      <c r="S109" s="184">
        <f t="shared" si="35"/>
        <v>0</v>
      </c>
      <c r="T109" s="124"/>
      <c r="U109" s="41" t="s">
        <v>175</v>
      </c>
      <c r="V109" s="70" t="e">
        <f>VLOOKUP(U109,'BASE '!$A$4:$H$144,2,0)</f>
        <v>#N/A</v>
      </c>
      <c r="W109" s="159"/>
      <c r="X109" s="159"/>
      <c r="Y109" s="160"/>
      <c r="Z109" s="158" t="e">
        <f>VLOOKUP(U109,'BASE '!$A$4:$H$144,3,0)</f>
        <v>#N/A</v>
      </c>
      <c r="AA109" s="94" t="e">
        <f t="shared" si="34"/>
        <v>#N/A</v>
      </c>
      <c r="AB109" s="95" t="e">
        <f>VLOOKUP(U109,'BASE '!$A$4:$H$144,6,0)*Y109/100</f>
        <v>#N/A</v>
      </c>
      <c r="AC109" s="95" t="e">
        <f>VLOOKUP(U109,'BASE '!$A$4:$H$144,7,0)*Y109/100</f>
        <v>#N/A</v>
      </c>
      <c r="AD109" s="95" t="e">
        <f>VLOOKUP(U109,'BASE '!$A$4:$H$144,8,0)*Y109/100</f>
        <v>#N/A</v>
      </c>
      <c r="AE109" s="96" t="e">
        <f t="shared" si="36"/>
        <v>#N/A</v>
      </c>
      <c r="DN109" s="116" t="e">
        <f>(($I$5*#REF!)/100)+((#REF!*$J$5)/100)+(($K$5*#REF!)/100)+($L$5*#REF!)+($M$5*#REF!)</f>
        <v>#REF!</v>
      </c>
    </row>
    <row r="110" spans="2:118" x14ac:dyDescent="0.3">
      <c r="B110" s="64"/>
      <c r="C110" s="148"/>
      <c r="D110" s="109"/>
      <c r="E110" s="63"/>
      <c r="F110" s="127"/>
      <c r="G110" s="50"/>
      <c r="H110" s="10"/>
      <c r="I110" s="10"/>
      <c r="J110" s="10"/>
      <c r="K110" s="10"/>
      <c r="L110" s="10"/>
      <c r="M110" s="39"/>
      <c r="N110" s="33">
        <f t="shared" si="31"/>
        <v>0</v>
      </c>
      <c r="O110" s="52" t="b">
        <f>IF(AND(E110="CLIENT S+L",F110="HUILE"),(S110*3333.33+(VLOOKUP(H110,'BASE '!$I$112:$J$142,2,0)))-((S110*3333.33)*G110),IF(AND(E110="CLIENT S+L",F110="LAIT"),((S110*952.4)-(S110*952.4)*G110),IF(E110="CLIENT O","OFFERT",IF(AND(F110="HUILE",E110="CLIENT L"),(((VLOOKUP(H110,'BASE '!$I$112:$J$142,2,0))+(VLOOKUP(S110,'BASE '!#REF!,2,0)))),IF(AND(F110="LAIT",E110="CLIENT L"),(S110*952.4),IF(AND(F110="HUILE",E110="CLIENT D"),(S110*3809.53+(VLOOKUP(H110,'BASE '!$I$112:$J$142,2,0))),IF(AND(F110="LAIT",E110="CLIENT D"),(S110*952.4),IF(AND(F110="HUILE",E110="CLIENT S+D"),((S110*3809.53+(VLOOKUP(H110,'BASE '!$I$112:$J$142,2,0)))-((S110*3809.53)*G110)),IF(AND(F110="LAIT",E110="CLIENT S+D"),((S110*952.4)-((S110*952.4)*G110)),IF(AND(E110="CLIENT S",F110="LAIT"),((S110*952.4)-((S110*952.4)*G110)),IF(AND(F110="HUILE",E110="CLIENT S"),(VLOOKUP(H110,'BASE '!$I$112:$J$142,2,0)+(VLOOKUP(S110,'BASE '!#REF!,2,0)))-(G110*((VLOOKUP(S110,'BASE '!#REF!,2,0)+(VLOOKUP(H110,'BASE '!$I$112:$J$142,2,0))))))))))))))))</f>
        <v>0</v>
      </c>
      <c r="P110" s="52" t="b">
        <f t="shared" si="32"/>
        <v>0</v>
      </c>
      <c r="Q110" s="53" t="b">
        <f t="shared" si="33"/>
        <v>0</v>
      </c>
      <c r="R110" s="152" t="s">
        <v>175</v>
      </c>
      <c r="S110" s="184">
        <f t="shared" si="35"/>
        <v>0</v>
      </c>
      <c r="T110" s="124"/>
      <c r="U110" s="41" t="s">
        <v>175</v>
      </c>
      <c r="V110" s="70" t="e">
        <f>VLOOKUP(U110,'BASE '!$A$4:$H$144,2,0)</f>
        <v>#N/A</v>
      </c>
      <c r="W110" s="159"/>
      <c r="X110" s="159"/>
      <c r="Y110" s="160"/>
      <c r="Z110" s="158" t="e">
        <f>VLOOKUP(U110,'BASE '!$A$4:$H$144,3,0)</f>
        <v>#N/A</v>
      </c>
      <c r="AA110" s="94" t="e">
        <f t="shared" si="34"/>
        <v>#N/A</v>
      </c>
      <c r="AB110" s="95" t="e">
        <f>VLOOKUP(U110,'BASE '!$A$4:$H$144,6,0)*Y110/100</f>
        <v>#N/A</v>
      </c>
      <c r="AC110" s="95" t="e">
        <f>VLOOKUP(U110,'BASE '!$A$4:$H$144,7,0)*Y110/100</f>
        <v>#N/A</v>
      </c>
      <c r="AD110" s="95" t="e">
        <f>VLOOKUP(U110,'BASE '!$A$4:$H$144,8,0)*Y110/100</f>
        <v>#N/A</v>
      </c>
      <c r="AE110" s="96" t="e">
        <f t="shared" si="36"/>
        <v>#N/A</v>
      </c>
      <c r="DN110" s="116" t="e">
        <f>(($I$5*#REF!)/100)+((#REF!*$J$5)/100)+(($K$5*#REF!)/100)+($L$5*#REF!)+($M$5*#REF!)</f>
        <v>#REF!</v>
      </c>
    </row>
    <row r="111" spans="2:118" x14ac:dyDescent="0.3">
      <c r="B111" s="64"/>
      <c r="C111" s="148"/>
      <c r="D111" s="109"/>
      <c r="E111" s="63"/>
      <c r="F111" s="127"/>
      <c r="G111" s="50"/>
      <c r="H111" s="10"/>
      <c r="I111" s="10"/>
      <c r="J111" s="10"/>
      <c r="K111" s="10"/>
      <c r="L111" s="10"/>
      <c r="M111" s="39"/>
      <c r="N111" s="33">
        <f t="shared" si="31"/>
        <v>0</v>
      </c>
      <c r="O111" s="52" t="b">
        <f>IF(AND(E111="CLIENT S+L",F111="HUILE"),(S111*3333.33+(VLOOKUP(H111,'BASE '!$I$112:$J$142,2,0)))-((S111*3333.33)*G111),IF(AND(E111="CLIENT S+L",F111="LAIT"),((S111*952.4)-(S111*952.4)*G111),IF(E111="CLIENT O","OFFERT",IF(AND(F111="HUILE",E111="CLIENT L"),(((VLOOKUP(H111,'BASE '!$I$112:$J$142,2,0))+(VLOOKUP(S111,'BASE '!#REF!,2,0)))),IF(AND(F111="LAIT",E111="CLIENT L"),(S111*952.4),IF(AND(F111="HUILE",E111="CLIENT D"),(S111*3809.53+(VLOOKUP(H111,'BASE '!$I$112:$J$142,2,0))),IF(AND(F111="LAIT",E111="CLIENT D"),(S111*952.4),IF(AND(F111="HUILE",E111="CLIENT S+D"),((S111*3809.53+(VLOOKUP(H111,'BASE '!$I$112:$J$142,2,0)))-((S111*3809.53)*G111)),IF(AND(F111="LAIT",E111="CLIENT S+D"),((S111*952.4)-((S111*952.4)*G111)),IF(AND(E111="CLIENT S",F111="LAIT"),((S111*952.4)-((S111*952.4)*G111)),IF(AND(F111="HUILE",E111="CLIENT S"),(VLOOKUP(H111,'BASE '!$I$112:$J$142,2,0)+(VLOOKUP(S111,'BASE '!#REF!,2,0)))-(G111*((VLOOKUP(S111,'BASE '!#REF!,2,0)+(VLOOKUP(H111,'BASE '!$I$112:$J$142,2,0))))))))))))))))</f>
        <v>0</v>
      </c>
      <c r="P111" s="52" t="b">
        <f t="shared" si="32"/>
        <v>0</v>
      </c>
      <c r="Q111" s="53" t="b">
        <f t="shared" si="33"/>
        <v>0</v>
      </c>
      <c r="R111" s="152" t="s">
        <v>175</v>
      </c>
      <c r="S111" s="184">
        <f t="shared" si="35"/>
        <v>0</v>
      </c>
      <c r="T111" s="124"/>
      <c r="U111" s="41" t="s">
        <v>175</v>
      </c>
      <c r="V111" s="70" t="e">
        <f>VLOOKUP(U111,'BASE '!$A$4:$H$144,2,0)</f>
        <v>#N/A</v>
      </c>
      <c r="W111" s="159"/>
      <c r="X111" s="159"/>
      <c r="Y111" s="160"/>
      <c r="Z111" s="158" t="e">
        <f>VLOOKUP(U111,'BASE '!$A$4:$H$144,3,0)</f>
        <v>#N/A</v>
      </c>
      <c r="AA111" s="94" t="e">
        <f t="shared" si="34"/>
        <v>#N/A</v>
      </c>
      <c r="AB111" s="95" t="e">
        <f>VLOOKUP(U111,'BASE '!$A$4:$H$144,6,0)*Y111/100</f>
        <v>#N/A</v>
      </c>
      <c r="AC111" s="95" t="e">
        <f>VLOOKUP(U111,'BASE '!$A$4:$H$144,7,0)*Y111/100</f>
        <v>#N/A</v>
      </c>
      <c r="AD111" s="95" t="e">
        <f>VLOOKUP(U111,'BASE '!$A$4:$H$144,8,0)*Y111/100</f>
        <v>#N/A</v>
      </c>
      <c r="AE111" s="96" t="e">
        <f t="shared" si="36"/>
        <v>#N/A</v>
      </c>
      <c r="DN111" s="116" t="e">
        <f>(($I$5*#REF!)/100)+((#REF!*$J$5)/100)+(($K$5*#REF!)/100)+($L$5*#REF!)+($M$5*#REF!)</f>
        <v>#REF!</v>
      </c>
    </row>
    <row r="112" spans="2:118" x14ac:dyDescent="0.3">
      <c r="B112" s="64"/>
      <c r="C112" s="148"/>
      <c r="D112" s="109"/>
      <c r="E112" s="63"/>
      <c r="F112" s="127"/>
      <c r="G112" s="50"/>
      <c r="H112" s="10"/>
      <c r="I112" s="10"/>
      <c r="J112" s="10"/>
      <c r="K112" s="10"/>
      <c r="L112" s="10"/>
      <c r="M112" s="39"/>
      <c r="N112" s="33">
        <f t="shared" si="31"/>
        <v>0</v>
      </c>
      <c r="O112" s="52" t="b">
        <f>IF(AND(E112="CLIENT S+L",F112="HUILE"),(S112*3333.33+(VLOOKUP(H112,'BASE '!$I$112:$J$142,2,0)))-((S112*3333.33)*G112),IF(AND(E112="CLIENT S+L",F112="LAIT"),((S112*952.4)-(S112*952.4)*G112),IF(E112="CLIENT O","OFFERT",IF(AND(F112="HUILE",E112="CLIENT L"),(((VLOOKUP(H112,'BASE '!$I$112:$J$142,2,0))+(VLOOKUP(S112,'BASE '!#REF!,2,0)))),IF(AND(F112="LAIT",E112="CLIENT L"),(S112*952.4),IF(AND(F112="HUILE",E112="CLIENT D"),(S112*3809.53+(VLOOKUP(H112,'BASE '!$I$112:$J$142,2,0))),IF(AND(F112="LAIT",E112="CLIENT D"),(S112*952.4),IF(AND(F112="HUILE",E112="CLIENT S+D"),((S112*3809.53+(VLOOKUP(H112,'BASE '!$I$112:$J$142,2,0)))-((S112*3809.53)*G112)),IF(AND(F112="LAIT",E112="CLIENT S+D"),((S112*952.4)-((S112*952.4)*G112)),IF(AND(E112="CLIENT S",F112="LAIT"),((S112*952.4)-((S112*952.4)*G112)),IF(AND(F112="HUILE",E112="CLIENT S"),(VLOOKUP(H112,'BASE '!$I$112:$J$142,2,0)+(VLOOKUP(S112,'BASE '!#REF!,2,0)))-(G112*((VLOOKUP(S112,'BASE '!#REF!,2,0)+(VLOOKUP(H112,'BASE '!$I$112:$J$142,2,0))))))))))))))))</f>
        <v>0</v>
      </c>
      <c r="P112" s="52" t="b">
        <f t="shared" si="32"/>
        <v>0</v>
      </c>
      <c r="Q112" s="53" t="b">
        <f t="shared" si="33"/>
        <v>0</v>
      </c>
      <c r="R112" s="152" t="s">
        <v>175</v>
      </c>
      <c r="S112" s="184">
        <f t="shared" si="35"/>
        <v>0</v>
      </c>
      <c r="T112" s="124"/>
      <c r="U112" s="41" t="s">
        <v>175</v>
      </c>
      <c r="V112" s="70" t="e">
        <f>VLOOKUP(U112,'BASE '!$A$4:$H$144,2,0)</f>
        <v>#N/A</v>
      </c>
      <c r="W112" s="159"/>
      <c r="X112" s="159"/>
      <c r="Y112" s="160"/>
      <c r="Z112" s="158" t="e">
        <f>VLOOKUP(U112,'BASE '!$A$4:$H$144,3,0)</f>
        <v>#N/A</v>
      </c>
      <c r="AA112" s="94" t="e">
        <f t="shared" si="34"/>
        <v>#N/A</v>
      </c>
      <c r="AB112" s="95" t="e">
        <f>VLOOKUP(U112,'BASE '!$A$4:$H$144,6,0)*Y112/100</f>
        <v>#N/A</v>
      </c>
      <c r="AC112" s="95" t="e">
        <f>VLOOKUP(U112,'BASE '!$A$4:$H$144,7,0)*Y112/100</f>
        <v>#N/A</v>
      </c>
      <c r="AD112" s="95" t="e">
        <f>VLOOKUP(U112,'BASE '!$A$4:$H$144,8,0)*Y112/100</f>
        <v>#N/A</v>
      </c>
      <c r="AE112" s="96" t="e">
        <f t="shared" si="36"/>
        <v>#N/A</v>
      </c>
      <c r="DN112" s="116" t="e">
        <f>(($I$5*#REF!)/100)+((#REF!*$J$5)/100)+(($K$5*#REF!)/100)+($L$5*#REF!)+($M$5*#REF!)</f>
        <v>#REF!</v>
      </c>
    </row>
    <row r="113" spans="2:118" x14ac:dyDescent="0.3">
      <c r="B113" s="64"/>
      <c r="C113" s="148"/>
      <c r="D113" s="109"/>
      <c r="E113" s="63"/>
      <c r="F113" s="127"/>
      <c r="G113" s="50"/>
      <c r="H113" s="10"/>
      <c r="I113" s="10"/>
      <c r="J113" s="10"/>
      <c r="K113" s="10"/>
      <c r="L113" s="10"/>
      <c r="M113" s="39"/>
      <c r="N113" s="33">
        <f t="shared" si="31"/>
        <v>0</v>
      </c>
      <c r="O113" s="52" t="b">
        <f>IF(AND(E113="CLIENT S+L",F113="HUILE"),(S113*3333.33+(VLOOKUP(H113,'BASE '!$I$112:$J$142,2,0)))-((S113*3333.33)*G113),IF(AND(E113="CLIENT S+L",F113="LAIT"),((S113*952.4)-(S113*952.4)*G113),IF(E113="CLIENT O","OFFERT",IF(AND(F113="HUILE",E113="CLIENT L"),(((VLOOKUP(H113,'BASE '!$I$112:$J$142,2,0))+(VLOOKUP(S113,'BASE '!#REF!,2,0)))),IF(AND(F113="LAIT",E113="CLIENT L"),(S113*952.4),IF(AND(F113="HUILE",E113="CLIENT D"),(S113*3809.53+(VLOOKUP(H113,'BASE '!$I$112:$J$142,2,0))),IF(AND(F113="LAIT",E113="CLIENT D"),(S113*952.4),IF(AND(F113="HUILE",E113="CLIENT S+D"),((S113*3809.53+(VLOOKUP(H113,'BASE '!$I$112:$J$142,2,0)))-((S113*3809.53)*G113)),IF(AND(F113="LAIT",E113="CLIENT S+D"),((S113*952.4)-((S113*952.4)*G113)),IF(AND(E113="CLIENT S",F113="LAIT"),((S113*952.4)-((S113*952.4)*G113)),IF(AND(F113="HUILE",E113="CLIENT S"),(VLOOKUP(H113,'BASE '!$I$112:$J$142,2,0)+(VLOOKUP(S113,'BASE '!#REF!,2,0)))-(G113*((VLOOKUP(S113,'BASE '!#REF!,2,0)+(VLOOKUP(H113,'BASE '!$I$112:$J$142,2,0))))))))))))))))</f>
        <v>0</v>
      </c>
      <c r="P113" s="52" t="b">
        <f t="shared" si="32"/>
        <v>0</v>
      </c>
      <c r="Q113" s="53" t="b">
        <f t="shared" si="33"/>
        <v>0</v>
      </c>
      <c r="R113" s="152" t="s">
        <v>175</v>
      </c>
      <c r="S113" s="184">
        <f t="shared" si="35"/>
        <v>0</v>
      </c>
      <c r="T113" s="124"/>
      <c r="U113" s="41" t="s">
        <v>175</v>
      </c>
      <c r="V113" s="70" t="e">
        <f>VLOOKUP(U113,'BASE '!$A$4:$H$144,2,0)</f>
        <v>#N/A</v>
      </c>
      <c r="W113" s="159"/>
      <c r="X113" s="159"/>
      <c r="Y113" s="160"/>
      <c r="Z113" s="158" t="e">
        <f>VLOOKUP(U113,'BASE '!$A$4:$H$144,3,0)</f>
        <v>#N/A</v>
      </c>
      <c r="AA113" s="94" t="e">
        <f t="shared" si="34"/>
        <v>#N/A</v>
      </c>
      <c r="AB113" s="95" t="e">
        <f>VLOOKUP(U113,'BASE '!$A$4:$H$144,6,0)*Y113/100</f>
        <v>#N/A</v>
      </c>
      <c r="AC113" s="95" t="e">
        <f>VLOOKUP(U113,'BASE '!$A$4:$H$144,7,0)*Y113/100</f>
        <v>#N/A</v>
      </c>
      <c r="AD113" s="95" t="e">
        <f>VLOOKUP(U113,'BASE '!$A$4:$H$144,8,0)*Y113/100</f>
        <v>#N/A</v>
      </c>
      <c r="AE113" s="96" t="e">
        <f t="shared" si="36"/>
        <v>#N/A</v>
      </c>
      <c r="DN113" s="116" t="e">
        <f>(($I$5*#REF!)/100)+((#REF!*$J$5)/100)+(($K$5*#REF!)/100)+($L$5*#REF!)+($M$5*#REF!)</f>
        <v>#REF!</v>
      </c>
    </row>
    <row r="114" spans="2:118" x14ac:dyDescent="0.3">
      <c r="B114" s="64"/>
      <c r="C114" s="148"/>
      <c r="D114" s="109"/>
      <c r="E114" s="63"/>
      <c r="F114" s="127"/>
      <c r="G114" s="50"/>
      <c r="H114" s="10"/>
      <c r="I114" s="10"/>
      <c r="J114" s="10"/>
      <c r="K114" s="10"/>
      <c r="L114" s="10"/>
      <c r="M114" s="39"/>
      <c r="N114" s="33">
        <f t="shared" si="31"/>
        <v>0</v>
      </c>
      <c r="O114" s="52" t="b">
        <f>IF(AND(E114="CLIENT S+L",F114="HUILE"),(S114*3333.33+(VLOOKUP(H114,'BASE '!$I$112:$J$142,2,0)))-((S114*3333.33)*G114),IF(AND(E114="CLIENT S+L",F114="LAIT"),((S114*952.4)-(S114*952.4)*G114),IF(E114="CLIENT O","OFFERT",IF(AND(F114="HUILE",E114="CLIENT L"),(((VLOOKUP(H114,'BASE '!$I$112:$J$142,2,0))+(VLOOKUP(S114,'BASE '!#REF!,2,0)))),IF(AND(F114="LAIT",E114="CLIENT L"),(S114*952.4),IF(AND(F114="HUILE",E114="CLIENT D"),(S114*3809.53+(VLOOKUP(H114,'BASE '!$I$112:$J$142,2,0))),IF(AND(F114="LAIT",E114="CLIENT D"),(S114*952.4),IF(AND(F114="HUILE",E114="CLIENT S+D"),((S114*3809.53+(VLOOKUP(H114,'BASE '!$I$112:$J$142,2,0)))-((S114*3809.53)*G114)),IF(AND(F114="LAIT",E114="CLIENT S+D"),((S114*952.4)-((S114*952.4)*G114)),IF(AND(E114="CLIENT S",F114="LAIT"),((S114*952.4)-((S114*952.4)*G114)),IF(AND(F114="HUILE",E114="CLIENT S"),(VLOOKUP(H114,'BASE '!$I$112:$J$142,2,0)+(VLOOKUP(S114,'BASE '!#REF!,2,0)))-(G114*((VLOOKUP(S114,'BASE '!#REF!,2,0)+(VLOOKUP(H114,'BASE '!$I$112:$J$142,2,0))))))))))))))))</f>
        <v>0</v>
      </c>
      <c r="P114" s="52" t="b">
        <f t="shared" si="32"/>
        <v>0</v>
      </c>
      <c r="Q114" s="53" t="b">
        <f t="shared" si="33"/>
        <v>0</v>
      </c>
      <c r="R114" s="152" t="s">
        <v>175</v>
      </c>
      <c r="S114" s="184">
        <f t="shared" si="35"/>
        <v>0</v>
      </c>
      <c r="T114" s="124"/>
      <c r="U114" s="41" t="s">
        <v>175</v>
      </c>
      <c r="V114" s="70" t="e">
        <f>VLOOKUP(U114,'BASE '!$A$4:$H$144,2,0)</f>
        <v>#N/A</v>
      </c>
      <c r="W114" s="159"/>
      <c r="X114" s="159"/>
      <c r="Y114" s="160"/>
      <c r="Z114" s="158" t="e">
        <f>VLOOKUP(U114,'BASE '!$A$4:$H$144,3,0)</f>
        <v>#N/A</v>
      </c>
      <c r="AA114" s="94" t="e">
        <f t="shared" si="34"/>
        <v>#N/A</v>
      </c>
      <c r="AB114" s="95" t="e">
        <f>VLOOKUP(U114,'BASE '!$A$4:$H$144,6,0)*Y114/100</f>
        <v>#N/A</v>
      </c>
      <c r="AC114" s="95" t="e">
        <f>VLOOKUP(U114,'BASE '!$A$4:$H$144,7,0)*Y114/100</f>
        <v>#N/A</v>
      </c>
      <c r="AD114" s="95" t="e">
        <f>VLOOKUP(U114,'BASE '!$A$4:$H$144,8,0)*Y114/100</f>
        <v>#N/A</v>
      </c>
      <c r="AE114" s="96" t="e">
        <f t="shared" si="36"/>
        <v>#N/A</v>
      </c>
      <c r="DN114" s="116" t="e">
        <f>(($I$5*#REF!)/100)+((#REF!*$J$5)/100)+(($K$5*#REF!)/100)+($L$5*#REF!)+($M$5*#REF!)</f>
        <v>#REF!</v>
      </c>
    </row>
    <row r="115" spans="2:118" x14ac:dyDescent="0.3">
      <c r="B115" s="64"/>
      <c r="C115" s="148"/>
      <c r="D115" s="109"/>
      <c r="E115" s="63"/>
      <c r="F115" s="127"/>
      <c r="G115" s="50"/>
      <c r="H115" s="10"/>
      <c r="I115" s="10"/>
      <c r="J115" s="10"/>
      <c r="K115" s="10"/>
      <c r="L115" s="10"/>
      <c r="M115" s="39"/>
      <c r="N115" s="33">
        <f t="shared" si="31"/>
        <v>0</v>
      </c>
      <c r="O115" s="52" t="b">
        <f>IF(AND(E115="CLIENT S+L",F115="HUILE"),(S115*3333.33+(VLOOKUP(H115,'BASE '!$I$112:$J$142,2,0)))-((S115*3333.33)*G115),IF(AND(E115="CLIENT S+L",F115="LAIT"),((S115*952.4)-(S115*952.4)*G115),IF(E115="CLIENT O","OFFERT",IF(AND(F115="HUILE",E115="CLIENT L"),(((VLOOKUP(H115,'BASE '!$I$112:$J$142,2,0))+(VLOOKUP(S115,'BASE '!#REF!,2,0)))),IF(AND(F115="LAIT",E115="CLIENT L"),(S115*952.4),IF(AND(F115="HUILE",E115="CLIENT D"),(S115*3809.53+(VLOOKUP(H115,'BASE '!$I$112:$J$142,2,0))),IF(AND(F115="LAIT",E115="CLIENT D"),(S115*952.4),IF(AND(F115="HUILE",E115="CLIENT S+D"),((S115*3809.53+(VLOOKUP(H115,'BASE '!$I$112:$J$142,2,0)))-((S115*3809.53)*G115)),IF(AND(F115="LAIT",E115="CLIENT S+D"),((S115*952.4)-((S115*952.4)*G115)),IF(AND(E115="CLIENT S",F115="LAIT"),((S115*952.4)-((S115*952.4)*G115)),IF(AND(F115="HUILE",E115="CLIENT S"),(VLOOKUP(H115,'BASE '!$I$112:$J$142,2,0)+(VLOOKUP(S115,'BASE '!#REF!,2,0)))-(G115*((VLOOKUP(S115,'BASE '!#REF!,2,0)+(VLOOKUP(H115,'BASE '!$I$112:$J$142,2,0))))))))))))))))</f>
        <v>0</v>
      </c>
      <c r="P115" s="52" t="b">
        <f t="shared" si="32"/>
        <v>0</v>
      </c>
      <c r="Q115" s="53" t="b">
        <f t="shared" si="33"/>
        <v>0</v>
      </c>
      <c r="R115" s="152" t="s">
        <v>175</v>
      </c>
      <c r="S115" s="184">
        <f t="shared" si="35"/>
        <v>0</v>
      </c>
      <c r="T115" s="124"/>
      <c r="U115" s="41" t="s">
        <v>175</v>
      </c>
      <c r="V115" s="70" t="e">
        <f>VLOOKUP(U115,'BASE '!$A$4:$H$144,2,0)</f>
        <v>#N/A</v>
      </c>
      <c r="W115" s="159"/>
      <c r="X115" s="159"/>
      <c r="Y115" s="160"/>
      <c r="Z115" s="158" t="e">
        <f>VLOOKUP(U115,'BASE '!$A$4:$H$144,3,0)</f>
        <v>#N/A</v>
      </c>
      <c r="AA115" s="94" t="e">
        <f t="shared" si="34"/>
        <v>#N/A</v>
      </c>
      <c r="AB115" s="95" t="e">
        <f>VLOOKUP(U115,'BASE '!$A$4:$H$144,6,0)*Y115/100</f>
        <v>#N/A</v>
      </c>
      <c r="AC115" s="95" t="e">
        <f>VLOOKUP(U115,'BASE '!$A$4:$H$144,7,0)*Y115/100</f>
        <v>#N/A</v>
      </c>
      <c r="AD115" s="95" t="e">
        <f>VLOOKUP(U115,'BASE '!$A$4:$H$144,8,0)*Y115/100</f>
        <v>#N/A</v>
      </c>
      <c r="AE115" s="96" t="e">
        <f t="shared" si="36"/>
        <v>#N/A</v>
      </c>
      <c r="DN115" s="116" t="e">
        <f>(($I$5*#REF!)/100)+((#REF!*$J$5)/100)+(($K$5*#REF!)/100)+($L$5*#REF!)+($M$5*#REF!)</f>
        <v>#REF!</v>
      </c>
    </row>
    <row r="116" spans="2:118" x14ac:dyDescent="0.3">
      <c r="B116" s="64"/>
      <c r="C116" s="148"/>
      <c r="D116" s="109"/>
      <c r="E116" s="63"/>
      <c r="F116" s="127"/>
      <c r="G116" s="50"/>
      <c r="H116" s="10"/>
      <c r="I116" s="10"/>
      <c r="J116" s="10"/>
      <c r="K116" s="10"/>
      <c r="L116" s="10"/>
      <c r="M116" s="39"/>
      <c r="N116" s="33">
        <f t="shared" si="31"/>
        <v>0</v>
      </c>
      <c r="O116" s="52" t="b">
        <f>IF(AND(E116="CLIENT S+L",F116="HUILE"),(S116*3333.33+(VLOOKUP(H116,'BASE '!$I$112:$J$142,2,0)))-((S116*3333.33)*G116),IF(AND(E116="CLIENT S+L",F116="LAIT"),((S116*952.4)-(S116*952.4)*G116),IF(E116="CLIENT O","OFFERT",IF(AND(F116="HUILE",E116="CLIENT L"),(((VLOOKUP(H116,'BASE '!$I$112:$J$142,2,0))+(VLOOKUP(S116,'BASE '!#REF!,2,0)))),IF(AND(F116="LAIT",E116="CLIENT L"),(S116*952.4),IF(AND(F116="HUILE",E116="CLIENT D"),(S116*3809.53+(VLOOKUP(H116,'BASE '!$I$112:$J$142,2,0))),IF(AND(F116="LAIT",E116="CLIENT D"),(S116*952.4),IF(AND(F116="HUILE",E116="CLIENT S+D"),((S116*3809.53+(VLOOKUP(H116,'BASE '!$I$112:$J$142,2,0)))-((S116*3809.53)*G116)),IF(AND(F116="LAIT",E116="CLIENT S+D"),((S116*952.4)-((S116*952.4)*G116)),IF(AND(E116="CLIENT S",F116="LAIT"),((S116*952.4)-((S116*952.4)*G116)),IF(AND(F116="HUILE",E116="CLIENT S"),(VLOOKUP(H116,'BASE '!$I$112:$J$142,2,0)+(VLOOKUP(S116,'BASE '!#REF!,2,0)))-(G116*((VLOOKUP(S116,'BASE '!#REF!,2,0)+(VLOOKUP(H116,'BASE '!$I$112:$J$142,2,0))))))))))))))))</f>
        <v>0</v>
      </c>
      <c r="P116" s="52" t="b">
        <f t="shared" si="32"/>
        <v>0</v>
      </c>
      <c r="Q116" s="53" t="b">
        <f t="shared" si="33"/>
        <v>0</v>
      </c>
      <c r="R116" s="152" t="s">
        <v>175</v>
      </c>
      <c r="S116" s="184">
        <f t="shared" si="35"/>
        <v>0</v>
      </c>
      <c r="T116" s="124"/>
      <c r="U116" s="41" t="s">
        <v>175</v>
      </c>
      <c r="V116" s="70" t="e">
        <f>VLOOKUP(U116,'BASE '!$A$4:$H$144,2,0)</f>
        <v>#N/A</v>
      </c>
      <c r="W116" s="159"/>
      <c r="X116" s="159"/>
      <c r="Y116" s="160"/>
      <c r="Z116" s="158" t="e">
        <f>VLOOKUP(U116,'BASE '!$A$4:$H$144,3,0)</f>
        <v>#N/A</v>
      </c>
      <c r="AA116" s="94" t="e">
        <f t="shared" si="34"/>
        <v>#N/A</v>
      </c>
      <c r="AB116" s="95" t="e">
        <f>VLOOKUP(U116,'BASE '!$A$4:$H$144,6,0)*Y116/100</f>
        <v>#N/A</v>
      </c>
      <c r="AC116" s="95" t="e">
        <f>VLOOKUP(U116,'BASE '!$A$4:$H$144,7,0)*Y116/100</f>
        <v>#N/A</v>
      </c>
      <c r="AD116" s="95" t="e">
        <f>VLOOKUP(U116,'BASE '!$A$4:$H$144,8,0)*Y116/100</f>
        <v>#N/A</v>
      </c>
      <c r="AE116" s="96" t="e">
        <f t="shared" si="36"/>
        <v>#N/A</v>
      </c>
      <c r="DN116" s="116" t="e">
        <f>(($I$5*#REF!)/100)+((#REF!*$J$5)/100)+(($K$5*#REF!)/100)+($L$5*#REF!)+($M$5*#REF!)</f>
        <v>#REF!</v>
      </c>
    </row>
    <row r="117" spans="2:118" x14ac:dyDescent="0.3">
      <c r="B117" s="64"/>
      <c r="C117" s="148"/>
      <c r="D117" s="109"/>
      <c r="E117" s="63"/>
      <c r="F117" s="127"/>
      <c r="G117" s="50"/>
      <c r="H117" s="10"/>
      <c r="I117" s="10"/>
      <c r="J117" s="10"/>
      <c r="K117" s="10"/>
      <c r="L117" s="10"/>
      <c r="M117" s="39"/>
      <c r="N117" s="33">
        <f t="shared" si="31"/>
        <v>0</v>
      </c>
      <c r="O117" s="52" t="b">
        <f>IF(AND(E117="CLIENT S+L",F117="HUILE"),(S117*3333.33+(VLOOKUP(H117,'BASE '!$I$112:$J$142,2,0)))-((S117*3333.33)*G117),IF(AND(E117="CLIENT S+L",F117="LAIT"),((S117*952.4)-(S117*952.4)*G117),IF(E117="CLIENT O","OFFERT",IF(AND(F117="HUILE",E117="CLIENT L"),(((VLOOKUP(H117,'BASE '!$I$112:$J$142,2,0))+(VLOOKUP(S117,'BASE '!#REF!,2,0)))),IF(AND(F117="LAIT",E117="CLIENT L"),(S117*952.4),IF(AND(F117="HUILE",E117="CLIENT D"),(S117*3809.53+(VLOOKUP(H117,'BASE '!$I$112:$J$142,2,0))),IF(AND(F117="LAIT",E117="CLIENT D"),(S117*952.4),IF(AND(F117="HUILE",E117="CLIENT S+D"),((S117*3809.53+(VLOOKUP(H117,'BASE '!$I$112:$J$142,2,0)))-((S117*3809.53)*G117)),IF(AND(F117="LAIT",E117="CLIENT S+D"),((S117*952.4)-((S117*952.4)*G117)),IF(AND(E117="CLIENT S",F117="LAIT"),((S117*952.4)-((S117*952.4)*G117)),IF(AND(F117="HUILE",E117="CLIENT S"),(VLOOKUP(H117,'BASE '!$I$112:$J$142,2,0)+(VLOOKUP(S117,'BASE '!#REF!,2,0)))-(G117*((VLOOKUP(S117,'BASE '!#REF!,2,0)+(VLOOKUP(H117,'BASE '!$I$112:$J$142,2,0))))))))))))))))</f>
        <v>0</v>
      </c>
      <c r="P117" s="52" t="b">
        <f t="shared" si="32"/>
        <v>0</v>
      </c>
      <c r="Q117" s="53" t="b">
        <f t="shared" si="33"/>
        <v>0</v>
      </c>
      <c r="R117" s="152" t="s">
        <v>175</v>
      </c>
      <c r="S117" s="184">
        <f t="shared" si="35"/>
        <v>0</v>
      </c>
      <c r="T117" s="124"/>
      <c r="U117" s="41" t="s">
        <v>175</v>
      </c>
      <c r="V117" s="70" t="e">
        <f>VLOOKUP(U117,'BASE '!$A$4:$H$144,2,0)</f>
        <v>#N/A</v>
      </c>
      <c r="W117" s="159"/>
      <c r="X117" s="159"/>
      <c r="Y117" s="160"/>
      <c r="Z117" s="158" t="e">
        <f>VLOOKUP(U117,'BASE '!$A$4:$H$144,3,0)</f>
        <v>#N/A</v>
      </c>
      <c r="AA117" s="94" t="e">
        <f t="shared" si="34"/>
        <v>#N/A</v>
      </c>
      <c r="AB117" s="95" t="e">
        <f>VLOOKUP(U117,'BASE '!$A$4:$H$144,6,0)*Y117/100</f>
        <v>#N/A</v>
      </c>
      <c r="AC117" s="95" t="e">
        <f>VLOOKUP(U117,'BASE '!$A$4:$H$144,7,0)*Y117/100</f>
        <v>#N/A</v>
      </c>
      <c r="AD117" s="95" t="e">
        <f>VLOOKUP(U117,'BASE '!$A$4:$H$144,8,0)*Y117/100</f>
        <v>#N/A</v>
      </c>
      <c r="AE117" s="96" t="e">
        <f t="shared" si="36"/>
        <v>#N/A</v>
      </c>
      <c r="DN117" s="116" t="e">
        <f>(($I$5*#REF!)/100)+((#REF!*$J$5)/100)+(($K$5*#REF!)/100)+($L$5*#REF!)+($M$5*#REF!)</f>
        <v>#REF!</v>
      </c>
    </row>
    <row r="118" spans="2:118" x14ac:dyDescent="0.3">
      <c r="B118" s="64"/>
      <c r="C118" s="148"/>
      <c r="D118" s="109"/>
      <c r="E118" s="63"/>
      <c r="F118" s="127"/>
      <c r="G118" s="50"/>
      <c r="H118" s="10"/>
      <c r="I118" s="10"/>
      <c r="J118" s="10"/>
      <c r="K118" s="10"/>
      <c r="L118" s="10"/>
      <c r="M118" s="39"/>
      <c r="N118" s="33">
        <f t="shared" si="31"/>
        <v>0</v>
      </c>
      <c r="O118" s="52" t="b">
        <f>IF(AND(E118="CLIENT S+L",F118="HUILE"),(S118*3333.33+(VLOOKUP(H118,'BASE '!$I$112:$J$142,2,0)))-((S118*3333.33)*G118),IF(AND(E118="CLIENT S+L",F118="LAIT"),((S118*952.4)-(S118*952.4)*G118),IF(E118="CLIENT O","OFFERT",IF(AND(F118="HUILE",E118="CLIENT L"),(((VLOOKUP(H118,'BASE '!$I$112:$J$142,2,0))+(VLOOKUP(S118,'BASE '!#REF!,2,0)))),IF(AND(F118="LAIT",E118="CLIENT L"),(S118*952.4),IF(AND(F118="HUILE",E118="CLIENT D"),(S118*3809.53+(VLOOKUP(H118,'BASE '!$I$112:$J$142,2,0))),IF(AND(F118="LAIT",E118="CLIENT D"),(S118*952.4),IF(AND(F118="HUILE",E118="CLIENT S+D"),((S118*3809.53+(VLOOKUP(H118,'BASE '!$I$112:$J$142,2,0)))-((S118*3809.53)*G118)),IF(AND(F118="LAIT",E118="CLIENT S+D"),((S118*952.4)-((S118*952.4)*G118)),IF(AND(E118="CLIENT S",F118="LAIT"),((S118*952.4)-((S118*952.4)*G118)),IF(AND(F118="HUILE",E118="CLIENT S"),(VLOOKUP(H118,'BASE '!$I$112:$J$142,2,0)+(VLOOKUP(S118,'BASE '!#REF!,2,0)))-(G118*((VLOOKUP(S118,'BASE '!#REF!,2,0)+(VLOOKUP(H118,'BASE '!$I$112:$J$142,2,0))))))))))))))))</f>
        <v>0</v>
      </c>
      <c r="P118" s="52" t="b">
        <f t="shared" si="32"/>
        <v>0</v>
      </c>
      <c r="Q118" s="53" t="b">
        <f t="shared" si="33"/>
        <v>0</v>
      </c>
      <c r="R118" s="152" t="s">
        <v>175</v>
      </c>
      <c r="S118" s="184">
        <f t="shared" si="35"/>
        <v>0</v>
      </c>
      <c r="T118" s="124"/>
      <c r="U118" s="41" t="s">
        <v>175</v>
      </c>
      <c r="V118" s="70" t="e">
        <f>VLOOKUP(U118,'BASE '!$A$4:$H$144,2,0)</f>
        <v>#N/A</v>
      </c>
      <c r="W118" s="159"/>
      <c r="X118" s="159"/>
      <c r="Y118" s="160"/>
      <c r="Z118" s="158" t="e">
        <f>VLOOKUP(U118,'BASE '!$A$4:$H$144,3,0)</f>
        <v>#N/A</v>
      </c>
      <c r="AA118" s="94" t="e">
        <f t="shared" si="34"/>
        <v>#N/A</v>
      </c>
      <c r="AB118" s="95" t="e">
        <f>VLOOKUP(U118,'BASE '!$A$4:$H$144,6,0)*Y118/100</f>
        <v>#N/A</v>
      </c>
      <c r="AC118" s="95" t="e">
        <f>VLOOKUP(U118,'BASE '!$A$4:$H$144,7,0)*Y118/100</f>
        <v>#N/A</v>
      </c>
      <c r="AD118" s="95" t="e">
        <f>VLOOKUP(U118,'BASE '!$A$4:$H$144,8,0)*Y118/100</f>
        <v>#N/A</v>
      </c>
      <c r="AE118" s="96" t="e">
        <f t="shared" si="36"/>
        <v>#N/A</v>
      </c>
      <c r="DN118" s="116" t="e">
        <f>(($I$5*#REF!)/100)+((#REF!*$J$5)/100)+(($K$5*#REF!)/100)+($L$5*#REF!)+($M$5*#REF!)</f>
        <v>#REF!</v>
      </c>
    </row>
    <row r="119" spans="2:118" x14ac:dyDescent="0.3">
      <c r="B119" s="64"/>
      <c r="C119" s="148"/>
      <c r="D119" s="109"/>
      <c r="E119" s="63"/>
      <c r="F119" s="127"/>
      <c r="G119" s="50"/>
      <c r="H119" s="10"/>
      <c r="I119" s="10"/>
      <c r="J119" s="10"/>
      <c r="K119" s="10"/>
      <c r="L119" s="10"/>
      <c r="M119" s="39"/>
      <c r="N119" s="33">
        <f t="shared" si="31"/>
        <v>0</v>
      </c>
      <c r="O119" s="52" t="b">
        <f>IF(AND(E119="CLIENT S+L",F119="HUILE"),(S119*3333.33+(VLOOKUP(H119,'BASE '!$I$112:$J$142,2,0)))-((S119*3333.33)*G119),IF(AND(E119="CLIENT S+L",F119="LAIT"),((S119*952.4)-(S119*952.4)*G119),IF(E119="CLIENT O","OFFERT",IF(AND(F119="HUILE",E119="CLIENT L"),(((VLOOKUP(H119,'BASE '!$I$112:$J$142,2,0))+(VLOOKUP(S119,'BASE '!#REF!,2,0)))),IF(AND(F119="LAIT",E119="CLIENT L"),(S119*952.4),IF(AND(F119="HUILE",E119="CLIENT D"),(S119*3809.53+(VLOOKUP(H119,'BASE '!$I$112:$J$142,2,0))),IF(AND(F119="LAIT",E119="CLIENT D"),(S119*952.4),IF(AND(F119="HUILE",E119="CLIENT S+D"),((S119*3809.53+(VLOOKUP(H119,'BASE '!$I$112:$J$142,2,0)))-((S119*3809.53)*G119)),IF(AND(F119="LAIT",E119="CLIENT S+D"),((S119*952.4)-((S119*952.4)*G119)),IF(AND(E119="CLIENT S",F119="LAIT"),((S119*952.4)-((S119*952.4)*G119)),IF(AND(F119="HUILE",E119="CLIENT S"),(VLOOKUP(H119,'BASE '!$I$112:$J$142,2,0)+(VLOOKUP(S119,'BASE '!#REF!,2,0)))-(G119*((VLOOKUP(S119,'BASE '!#REF!,2,0)+(VLOOKUP(H119,'BASE '!$I$112:$J$142,2,0))))))))))))))))</f>
        <v>0</v>
      </c>
      <c r="P119" s="52" t="b">
        <f t="shared" si="32"/>
        <v>0</v>
      </c>
      <c r="Q119" s="53" t="b">
        <f t="shared" si="33"/>
        <v>0</v>
      </c>
      <c r="R119" s="152" t="s">
        <v>175</v>
      </c>
      <c r="S119" s="184">
        <f t="shared" si="35"/>
        <v>0</v>
      </c>
      <c r="T119" s="124"/>
      <c r="U119" s="41" t="s">
        <v>175</v>
      </c>
      <c r="V119" s="70" t="e">
        <f>VLOOKUP(U119,'BASE '!$A$4:$H$144,2,0)</f>
        <v>#N/A</v>
      </c>
      <c r="W119" s="159"/>
      <c r="X119" s="159"/>
      <c r="Y119" s="160"/>
      <c r="Z119" s="158" t="e">
        <f>VLOOKUP(U119,'BASE '!$A$4:$H$144,3,0)</f>
        <v>#N/A</v>
      </c>
      <c r="AA119" s="94" t="e">
        <f t="shared" si="34"/>
        <v>#N/A</v>
      </c>
      <c r="AB119" s="95" t="e">
        <f>VLOOKUP(U119,'BASE '!$A$4:$H$144,6,0)*Y119/100</f>
        <v>#N/A</v>
      </c>
      <c r="AC119" s="95" t="e">
        <f>VLOOKUP(U119,'BASE '!$A$4:$H$144,7,0)*Y119/100</f>
        <v>#N/A</v>
      </c>
      <c r="AD119" s="95" t="e">
        <f>VLOOKUP(U119,'BASE '!$A$4:$H$144,8,0)*Y119/100</f>
        <v>#N/A</v>
      </c>
      <c r="AE119" s="96" t="e">
        <f t="shared" si="36"/>
        <v>#N/A</v>
      </c>
      <c r="DN119" s="116" t="e">
        <f>(($I$5*#REF!)/100)+((#REF!*$J$5)/100)+(($K$5*#REF!)/100)+($L$5*#REF!)+($M$5*#REF!)</f>
        <v>#REF!</v>
      </c>
    </row>
    <row r="120" spans="2:118" x14ac:dyDescent="0.3">
      <c r="B120" s="64"/>
      <c r="C120" s="148"/>
      <c r="D120" s="109"/>
      <c r="E120" s="63"/>
      <c r="F120" s="127"/>
      <c r="G120" s="50"/>
      <c r="H120" s="10"/>
      <c r="I120" s="10"/>
      <c r="J120" s="10"/>
      <c r="K120" s="10"/>
      <c r="L120" s="10"/>
      <c r="M120" s="39"/>
      <c r="N120" s="33">
        <f t="shared" si="31"/>
        <v>0</v>
      </c>
      <c r="O120" s="52" t="b">
        <f>IF(AND(E120="CLIENT S+L",F120="HUILE"),(S120*3333.33+(VLOOKUP(H120,'BASE '!$I$112:$J$142,2,0)))-((S120*3333.33)*G120),IF(AND(E120="CLIENT S+L",F120="LAIT"),((S120*952.4)-(S120*952.4)*G120),IF(E120="CLIENT O","OFFERT",IF(AND(F120="HUILE",E120="CLIENT L"),(((VLOOKUP(H120,'BASE '!$I$112:$J$142,2,0))+(VLOOKUP(S120,'BASE '!#REF!,2,0)))),IF(AND(F120="LAIT",E120="CLIENT L"),(S120*952.4),IF(AND(F120="HUILE",E120="CLIENT D"),(S120*3809.53+(VLOOKUP(H120,'BASE '!$I$112:$J$142,2,0))),IF(AND(F120="LAIT",E120="CLIENT D"),(S120*952.4),IF(AND(F120="HUILE",E120="CLIENT S+D"),((S120*3809.53+(VLOOKUP(H120,'BASE '!$I$112:$J$142,2,0)))-((S120*3809.53)*G120)),IF(AND(F120="LAIT",E120="CLIENT S+D"),((S120*952.4)-((S120*952.4)*G120)),IF(AND(E120="CLIENT S",F120="LAIT"),((S120*952.4)-((S120*952.4)*G120)),IF(AND(F120="HUILE",E120="CLIENT S"),(VLOOKUP(H120,'BASE '!$I$112:$J$142,2,0)+(VLOOKUP(S120,'BASE '!#REF!,2,0)))-(G120*((VLOOKUP(S120,'BASE '!#REF!,2,0)+(VLOOKUP(H120,'BASE '!$I$112:$J$142,2,0))))))))))))))))</f>
        <v>0</v>
      </c>
      <c r="P120" s="52" t="b">
        <f t="shared" si="32"/>
        <v>0</v>
      </c>
      <c r="Q120" s="53" t="b">
        <f t="shared" si="33"/>
        <v>0</v>
      </c>
      <c r="R120" s="152" t="s">
        <v>175</v>
      </c>
      <c r="S120" s="184">
        <f t="shared" si="35"/>
        <v>0</v>
      </c>
      <c r="T120" s="124"/>
      <c r="U120" s="41" t="s">
        <v>175</v>
      </c>
      <c r="V120" s="70" t="e">
        <f>VLOOKUP(U120,'BASE '!$A$4:$H$144,2,0)</f>
        <v>#N/A</v>
      </c>
      <c r="W120" s="159"/>
      <c r="X120" s="159"/>
      <c r="Y120" s="160"/>
      <c r="Z120" s="158" t="e">
        <f>VLOOKUP(U120,'BASE '!$A$4:$H$144,3,0)</f>
        <v>#N/A</v>
      </c>
      <c r="AA120" s="94" t="e">
        <f t="shared" si="34"/>
        <v>#N/A</v>
      </c>
      <c r="AB120" s="95" t="e">
        <f>VLOOKUP(U120,'BASE '!$A$4:$H$144,6,0)*Y120/100</f>
        <v>#N/A</v>
      </c>
      <c r="AC120" s="95" t="e">
        <f>VLOOKUP(U120,'BASE '!$A$4:$H$144,7,0)*Y120/100</f>
        <v>#N/A</v>
      </c>
      <c r="AD120" s="95" t="e">
        <f>VLOOKUP(U120,'BASE '!$A$4:$H$144,8,0)*Y120/100</f>
        <v>#N/A</v>
      </c>
      <c r="AE120" s="96" t="e">
        <f t="shared" si="36"/>
        <v>#N/A</v>
      </c>
      <c r="DN120" s="116" t="e">
        <f>(($I$5*#REF!)/100)+((#REF!*$J$5)/100)+(($K$5*#REF!)/100)+($L$5*#REF!)+($M$5*#REF!)</f>
        <v>#REF!</v>
      </c>
    </row>
    <row r="121" spans="2:118" x14ac:dyDescent="0.3">
      <c r="B121" s="64"/>
      <c r="C121" s="148"/>
      <c r="D121" s="109"/>
      <c r="E121" s="63"/>
      <c r="F121" s="127"/>
      <c r="G121" s="50"/>
      <c r="H121" s="10"/>
      <c r="I121" s="10"/>
      <c r="J121" s="10"/>
      <c r="K121" s="10"/>
      <c r="L121" s="10"/>
      <c r="M121" s="39"/>
      <c r="N121" s="33">
        <f t="shared" si="31"/>
        <v>0</v>
      </c>
      <c r="O121" s="52" t="b">
        <f>IF(AND(E121="CLIENT S+L",F121="HUILE"),(S121*3333.33+(VLOOKUP(H121,'BASE '!$I$112:$J$142,2,0)))-((S121*3333.33)*G121),IF(AND(E121="CLIENT S+L",F121="LAIT"),((S121*952.4)-(S121*952.4)*G121),IF(E121="CLIENT O","OFFERT",IF(AND(F121="HUILE",E121="CLIENT L"),(((VLOOKUP(H121,'BASE '!$I$112:$J$142,2,0))+(VLOOKUP(S121,'BASE '!#REF!,2,0)))),IF(AND(F121="LAIT",E121="CLIENT L"),(S121*952.4),IF(AND(F121="HUILE",E121="CLIENT D"),(S121*3809.53+(VLOOKUP(H121,'BASE '!$I$112:$J$142,2,0))),IF(AND(F121="LAIT",E121="CLIENT D"),(S121*952.4),IF(AND(F121="HUILE",E121="CLIENT S+D"),((S121*3809.53+(VLOOKUP(H121,'BASE '!$I$112:$J$142,2,0)))-((S121*3809.53)*G121)),IF(AND(F121="LAIT",E121="CLIENT S+D"),((S121*952.4)-((S121*952.4)*G121)),IF(AND(E121="CLIENT S",F121="LAIT"),((S121*952.4)-((S121*952.4)*G121)),IF(AND(F121="HUILE",E121="CLIENT S"),(VLOOKUP(H121,'BASE '!$I$112:$J$142,2,0)+(VLOOKUP(S121,'BASE '!#REF!,2,0)))-(G121*((VLOOKUP(S121,'BASE '!#REF!,2,0)+(VLOOKUP(H121,'BASE '!$I$112:$J$142,2,0))))))))))))))))</f>
        <v>0</v>
      </c>
      <c r="P121" s="52" t="b">
        <f t="shared" si="32"/>
        <v>0</v>
      </c>
      <c r="Q121" s="53" t="b">
        <f t="shared" si="33"/>
        <v>0</v>
      </c>
      <c r="R121" s="152" t="s">
        <v>175</v>
      </c>
      <c r="S121" s="184">
        <f t="shared" si="35"/>
        <v>0</v>
      </c>
      <c r="T121" s="124"/>
      <c r="U121" s="41" t="s">
        <v>175</v>
      </c>
      <c r="V121" s="70" t="e">
        <f>VLOOKUP(U121,'BASE '!$A$4:$H$144,2,0)</f>
        <v>#N/A</v>
      </c>
      <c r="W121" s="159"/>
      <c r="X121" s="159"/>
      <c r="Y121" s="160"/>
      <c r="Z121" s="158" t="e">
        <f>VLOOKUP(U121,'BASE '!$A$4:$H$144,3,0)</f>
        <v>#N/A</v>
      </c>
      <c r="AA121" s="94" t="e">
        <f t="shared" si="34"/>
        <v>#N/A</v>
      </c>
      <c r="AB121" s="95" t="e">
        <f>VLOOKUP(U121,'BASE '!$A$4:$H$144,6,0)*Y121/100</f>
        <v>#N/A</v>
      </c>
      <c r="AC121" s="95" t="e">
        <f>VLOOKUP(U121,'BASE '!$A$4:$H$144,7,0)*Y121/100</f>
        <v>#N/A</v>
      </c>
      <c r="AD121" s="95" t="e">
        <f>VLOOKUP(U121,'BASE '!$A$4:$H$144,8,0)*Y121/100</f>
        <v>#N/A</v>
      </c>
      <c r="AE121" s="96" t="e">
        <f t="shared" si="36"/>
        <v>#N/A</v>
      </c>
      <c r="DN121" s="116" t="e">
        <f>(($I$5*#REF!)/100)+((#REF!*$J$5)/100)+(($K$5*#REF!)/100)+($L$5*#REF!)+($M$5*#REF!)</f>
        <v>#REF!</v>
      </c>
    </row>
    <row r="122" spans="2:118" x14ac:dyDescent="0.3">
      <c r="B122" s="64"/>
      <c r="C122" s="148"/>
      <c r="D122" s="109"/>
      <c r="E122" s="63"/>
      <c r="F122" s="127"/>
      <c r="G122" s="50"/>
      <c r="H122" s="10"/>
      <c r="I122" s="10"/>
      <c r="J122" s="10"/>
      <c r="K122" s="10"/>
      <c r="L122" s="10"/>
      <c r="M122" s="39"/>
      <c r="N122" s="33">
        <f t="shared" si="31"/>
        <v>0</v>
      </c>
      <c r="O122" s="52" t="b">
        <f>IF(AND(E122="CLIENT S+L",F122="HUILE"),(S122*3333.33+(VLOOKUP(H122,'BASE '!$I$112:$J$142,2,0)))-((S122*3333.33)*G122),IF(AND(E122="CLIENT S+L",F122="LAIT"),((S122*952.4)-(S122*952.4)*G122),IF(E122="CLIENT O","OFFERT",IF(AND(F122="HUILE",E122="CLIENT L"),(((VLOOKUP(H122,'BASE '!$I$112:$J$142,2,0))+(VLOOKUP(S122,'BASE '!#REF!,2,0)))),IF(AND(F122="LAIT",E122="CLIENT L"),(S122*952.4),IF(AND(F122="HUILE",E122="CLIENT D"),(S122*3809.53+(VLOOKUP(H122,'BASE '!$I$112:$J$142,2,0))),IF(AND(F122="LAIT",E122="CLIENT D"),(S122*952.4),IF(AND(F122="HUILE",E122="CLIENT S+D"),((S122*3809.53+(VLOOKUP(H122,'BASE '!$I$112:$J$142,2,0)))-((S122*3809.53)*G122)),IF(AND(F122="LAIT",E122="CLIENT S+D"),((S122*952.4)-((S122*952.4)*G122)),IF(AND(E122="CLIENT S",F122="LAIT"),((S122*952.4)-((S122*952.4)*G122)),IF(AND(F122="HUILE",E122="CLIENT S"),(VLOOKUP(H122,'BASE '!$I$112:$J$142,2,0)+(VLOOKUP(S122,'BASE '!#REF!,2,0)))-(G122*((VLOOKUP(S122,'BASE '!#REF!,2,0)+(VLOOKUP(H122,'BASE '!$I$112:$J$142,2,0))))))))))))))))</f>
        <v>0</v>
      </c>
      <c r="P122" s="52" t="b">
        <f t="shared" si="32"/>
        <v>0</v>
      </c>
      <c r="Q122" s="53" t="b">
        <f t="shared" si="33"/>
        <v>0</v>
      </c>
      <c r="R122" s="152" t="s">
        <v>175</v>
      </c>
      <c r="S122" s="184">
        <f t="shared" si="35"/>
        <v>0</v>
      </c>
      <c r="T122" s="124"/>
      <c r="U122" s="41" t="s">
        <v>175</v>
      </c>
      <c r="V122" s="70" t="e">
        <f>VLOOKUP(U122,'BASE '!$A$4:$H$144,2,0)</f>
        <v>#N/A</v>
      </c>
      <c r="W122" s="159"/>
      <c r="X122" s="159"/>
      <c r="Y122" s="160"/>
      <c r="Z122" s="158" t="e">
        <f>VLOOKUP(U122,'BASE '!$A$4:$H$144,3,0)</f>
        <v>#N/A</v>
      </c>
      <c r="AA122" s="94" t="e">
        <f t="shared" si="34"/>
        <v>#N/A</v>
      </c>
      <c r="AB122" s="95" t="e">
        <f>VLOOKUP(U122,'BASE '!$A$4:$H$144,6,0)*Y122/100</f>
        <v>#N/A</v>
      </c>
      <c r="AC122" s="95" t="e">
        <f>VLOOKUP(U122,'BASE '!$A$4:$H$144,7,0)*Y122/100</f>
        <v>#N/A</v>
      </c>
      <c r="AD122" s="95" t="e">
        <f>VLOOKUP(U122,'BASE '!$A$4:$H$144,8,0)*Y122/100</f>
        <v>#N/A</v>
      </c>
      <c r="AE122" s="96" t="e">
        <f t="shared" si="36"/>
        <v>#N/A</v>
      </c>
      <c r="DN122" s="116" t="e">
        <f>(($I$5*#REF!)/100)+((#REF!*$J$5)/100)+(($K$5*#REF!)/100)+($L$5*#REF!)+($M$5*#REF!)</f>
        <v>#REF!</v>
      </c>
    </row>
    <row r="123" spans="2:118" x14ac:dyDescent="0.3">
      <c r="B123" s="64"/>
      <c r="C123" s="148"/>
      <c r="D123" s="109"/>
      <c r="E123" s="63"/>
      <c r="F123" s="127"/>
      <c r="G123" s="50"/>
      <c r="H123" s="10"/>
      <c r="I123" s="10"/>
      <c r="J123" s="10"/>
      <c r="K123" s="10"/>
      <c r="L123" s="10"/>
      <c r="M123" s="39"/>
      <c r="N123" s="33">
        <f t="shared" si="31"/>
        <v>0</v>
      </c>
      <c r="O123" s="52" t="b">
        <f>IF(AND(E123="CLIENT S+L",F123="HUILE"),(S123*3333.33+(VLOOKUP(H123,'BASE '!$I$112:$J$142,2,0)))-((S123*3333.33)*G123),IF(AND(E123="CLIENT S+L",F123="LAIT"),((S123*952.4)-(S123*952.4)*G123),IF(E123="CLIENT O","OFFERT",IF(AND(F123="HUILE",E123="CLIENT L"),(((VLOOKUP(H123,'BASE '!$I$112:$J$142,2,0))+(VLOOKUP(S123,'BASE '!#REF!,2,0)))),IF(AND(F123="LAIT",E123="CLIENT L"),(S123*952.4),IF(AND(F123="HUILE",E123="CLIENT D"),(S123*3809.53+(VLOOKUP(H123,'BASE '!$I$112:$J$142,2,0))),IF(AND(F123="LAIT",E123="CLIENT D"),(S123*952.4),IF(AND(F123="HUILE",E123="CLIENT S+D"),((S123*3809.53+(VLOOKUP(H123,'BASE '!$I$112:$J$142,2,0)))-((S123*3809.53)*G123)),IF(AND(F123="LAIT",E123="CLIENT S+D"),((S123*952.4)-((S123*952.4)*G123)),IF(AND(E123="CLIENT S",F123="LAIT"),((S123*952.4)-((S123*952.4)*G123)),IF(AND(F123="HUILE",E123="CLIENT S"),(VLOOKUP(H123,'BASE '!$I$112:$J$142,2,0)+(VLOOKUP(S123,'BASE '!#REF!,2,0)))-(G123*((VLOOKUP(S123,'BASE '!#REF!,2,0)+(VLOOKUP(H123,'BASE '!$I$112:$J$142,2,0))))))))))))))))</f>
        <v>0</v>
      </c>
      <c r="P123" s="52" t="b">
        <f t="shared" si="32"/>
        <v>0</v>
      </c>
      <c r="Q123" s="53" t="b">
        <f t="shared" si="33"/>
        <v>0</v>
      </c>
      <c r="R123" s="152" t="s">
        <v>175</v>
      </c>
      <c r="S123" s="184">
        <f t="shared" si="35"/>
        <v>0</v>
      </c>
      <c r="T123" s="124"/>
      <c r="U123" s="41" t="s">
        <v>175</v>
      </c>
      <c r="V123" s="70" t="e">
        <f>VLOOKUP(U123,'BASE '!$A$4:$H$144,2,0)</f>
        <v>#N/A</v>
      </c>
      <c r="W123" s="159"/>
      <c r="X123" s="159"/>
      <c r="Y123" s="160"/>
      <c r="Z123" s="158" t="e">
        <f>VLOOKUP(U123,'BASE '!$A$4:$H$144,3,0)</f>
        <v>#N/A</v>
      </c>
      <c r="AA123" s="94" t="e">
        <f t="shared" si="34"/>
        <v>#N/A</v>
      </c>
      <c r="AB123" s="95" t="e">
        <f>VLOOKUP(U123,'BASE '!$A$4:$H$144,6,0)*Y123/100</f>
        <v>#N/A</v>
      </c>
      <c r="AC123" s="95" t="e">
        <f>VLOOKUP(U123,'BASE '!$A$4:$H$144,7,0)*Y123/100</f>
        <v>#N/A</v>
      </c>
      <c r="AD123" s="95" t="e">
        <f>VLOOKUP(U123,'BASE '!$A$4:$H$144,8,0)*Y123/100</f>
        <v>#N/A</v>
      </c>
      <c r="AE123" s="96" t="e">
        <f t="shared" si="36"/>
        <v>#N/A</v>
      </c>
      <c r="DN123" s="116" t="e">
        <f>(($I$5*#REF!)/100)+((#REF!*$J$5)/100)+(($K$5*#REF!)/100)+($L$5*#REF!)+($M$5*#REF!)</f>
        <v>#REF!</v>
      </c>
    </row>
    <row r="124" spans="2:118" x14ac:dyDescent="0.3">
      <c r="B124" s="64"/>
      <c r="C124" s="148"/>
      <c r="D124" s="109"/>
      <c r="E124" s="63"/>
      <c r="F124" s="127"/>
      <c r="G124" s="50"/>
      <c r="H124" s="10"/>
      <c r="I124" s="10"/>
      <c r="J124" s="10"/>
      <c r="K124" s="10"/>
      <c r="L124" s="10"/>
      <c r="M124" s="39"/>
      <c r="N124" s="33">
        <f t="shared" si="31"/>
        <v>0</v>
      </c>
      <c r="O124" s="52" t="b">
        <f>IF(AND(E124="CLIENT S+L",F124="HUILE"),(S124*3333.33+(VLOOKUP(H124,'BASE '!$I$112:$J$142,2,0)))-((S124*3333.33)*G124),IF(AND(E124="CLIENT S+L",F124="LAIT"),((S124*952.4)-(S124*952.4)*G124),IF(E124="CLIENT O","OFFERT",IF(AND(F124="HUILE",E124="CLIENT L"),(((VLOOKUP(H124,'BASE '!$I$112:$J$142,2,0))+(VLOOKUP(S124,'BASE '!#REF!,2,0)))),IF(AND(F124="LAIT",E124="CLIENT L"),(S124*952.4),IF(AND(F124="HUILE",E124="CLIENT D"),(S124*3809.53+(VLOOKUP(H124,'BASE '!$I$112:$J$142,2,0))),IF(AND(F124="LAIT",E124="CLIENT D"),(S124*952.4),IF(AND(F124="HUILE",E124="CLIENT S+D"),((S124*3809.53+(VLOOKUP(H124,'BASE '!$I$112:$J$142,2,0)))-((S124*3809.53)*G124)),IF(AND(F124="LAIT",E124="CLIENT S+D"),((S124*952.4)-((S124*952.4)*G124)),IF(AND(E124="CLIENT S",F124="LAIT"),((S124*952.4)-((S124*952.4)*G124)),IF(AND(F124="HUILE",E124="CLIENT S"),(VLOOKUP(H124,'BASE '!$I$112:$J$142,2,0)+(VLOOKUP(S124,'BASE '!#REF!,2,0)))-(G124*((VLOOKUP(S124,'BASE '!#REF!,2,0)+(VLOOKUP(H124,'BASE '!$I$112:$J$142,2,0))))))))))))))))</f>
        <v>0</v>
      </c>
      <c r="P124" s="52" t="b">
        <f t="shared" si="32"/>
        <v>0</v>
      </c>
      <c r="Q124" s="53" t="b">
        <f t="shared" si="33"/>
        <v>0</v>
      </c>
      <c r="R124" s="152" t="s">
        <v>175</v>
      </c>
      <c r="S124" s="184">
        <f t="shared" si="35"/>
        <v>0</v>
      </c>
      <c r="T124" s="124"/>
      <c r="U124" s="41" t="s">
        <v>175</v>
      </c>
      <c r="V124" s="70" t="e">
        <f>VLOOKUP(U124,'BASE '!$A$4:$H$144,2,0)</f>
        <v>#N/A</v>
      </c>
      <c r="W124" s="159"/>
      <c r="X124" s="159"/>
      <c r="Y124" s="160"/>
      <c r="Z124" s="158" t="e">
        <f>VLOOKUP(U124,'BASE '!$A$4:$H$144,3,0)</f>
        <v>#N/A</v>
      </c>
      <c r="AA124" s="94" t="e">
        <f t="shared" si="34"/>
        <v>#N/A</v>
      </c>
      <c r="AB124" s="95" t="e">
        <f>VLOOKUP(U124,'BASE '!$A$4:$H$144,6,0)*Y124/100</f>
        <v>#N/A</v>
      </c>
      <c r="AC124" s="95" t="e">
        <f>VLOOKUP(U124,'BASE '!$A$4:$H$144,7,0)*Y124/100</f>
        <v>#N/A</v>
      </c>
      <c r="AD124" s="95" t="e">
        <f>VLOOKUP(U124,'BASE '!$A$4:$H$144,8,0)*Y124/100</f>
        <v>#N/A</v>
      </c>
      <c r="AE124" s="96" t="e">
        <f t="shared" si="36"/>
        <v>#N/A</v>
      </c>
      <c r="DN124" s="116" t="e">
        <f>(($I$5*#REF!)/100)+((#REF!*$J$5)/100)+(($K$5*#REF!)/100)+($L$5*#REF!)+($M$5*#REF!)</f>
        <v>#REF!</v>
      </c>
    </row>
    <row r="125" spans="2:118" x14ac:dyDescent="0.3">
      <c r="B125" s="64"/>
      <c r="C125" s="148"/>
      <c r="D125" s="109"/>
      <c r="E125" s="63"/>
      <c r="F125" s="127"/>
      <c r="G125" s="50"/>
      <c r="H125" s="10"/>
      <c r="I125" s="10"/>
      <c r="J125" s="10"/>
      <c r="K125" s="10"/>
      <c r="L125" s="10"/>
      <c r="M125" s="39"/>
      <c r="N125" s="33">
        <f t="shared" si="31"/>
        <v>0</v>
      </c>
      <c r="O125" s="52" t="b">
        <f>IF(AND(E125="CLIENT S+L",F125="HUILE"),(S125*3333.33+(VLOOKUP(H125,'BASE '!$I$112:$J$142,2,0)))-((S125*3333.33)*G125),IF(AND(E125="CLIENT S+L",F125="LAIT"),((S125*952.4)-(S125*952.4)*G125),IF(E125="CLIENT O","OFFERT",IF(AND(F125="HUILE",E125="CLIENT L"),(((VLOOKUP(H125,'BASE '!$I$112:$J$142,2,0))+(VLOOKUP(S125,'BASE '!#REF!,2,0)))),IF(AND(F125="LAIT",E125="CLIENT L"),(S125*952.4),IF(AND(F125="HUILE",E125="CLIENT D"),(S125*3809.53+(VLOOKUP(H125,'BASE '!$I$112:$J$142,2,0))),IF(AND(F125="LAIT",E125="CLIENT D"),(S125*952.4),IF(AND(F125="HUILE",E125="CLIENT S+D"),((S125*3809.53+(VLOOKUP(H125,'BASE '!$I$112:$J$142,2,0)))-((S125*3809.53)*G125)),IF(AND(F125="LAIT",E125="CLIENT S+D"),((S125*952.4)-((S125*952.4)*G125)),IF(AND(E125="CLIENT S",F125="LAIT"),((S125*952.4)-((S125*952.4)*G125)),IF(AND(F125="HUILE",E125="CLIENT S"),(VLOOKUP(H125,'BASE '!$I$112:$J$142,2,0)+(VLOOKUP(S125,'BASE '!#REF!,2,0)))-(G125*((VLOOKUP(S125,'BASE '!#REF!,2,0)+(VLOOKUP(H125,'BASE '!$I$112:$J$142,2,0))))))))))))))))</f>
        <v>0</v>
      </c>
      <c r="P125" s="52" t="b">
        <f t="shared" si="32"/>
        <v>0</v>
      </c>
      <c r="Q125" s="53" t="b">
        <f t="shared" si="33"/>
        <v>0</v>
      </c>
      <c r="R125" s="152" t="s">
        <v>175</v>
      </c>
      <c r="S125" s="184">
        <f t="shared" si="35"/>
        <v>0</v>
      </c>
      <c r="T125" s="124"/>
      <c r="U125" s="41" t="s">
        <v>175</v>
      </c>
      <c r="V125" s="70" t="e">
        <f>VLOOKUP(U125,'BASE '!$A$4:$H$144,2,0)</f>
        <v>#N/A</v>
      </c>
      <c r="W125" s="159"/>
      <c r="X125" s="159"/>
      <c r="Y125" s="160"/>
      <c r="Z125" s="158" t="e">
        <f>VLOOKUP(U125,'BASE '!$A$4:$H$144,3,0)</f>
        <v>#N/A</v>
      </c>
      <c r="AA125" s="94" t="e">
        <f t="shared" si="34"/>
        <v>#N/A</v>
      </c>
      <c r="AB125" s="95" t="e">
        <f>VLOOKUP(U125,'BASE '!$A$4:$H$144,6,0)*Y125/100</f>
        <v>#N/A</v>
      </c>
      <c r="AC125" s="95" t="e">
        <f>VLOOKUP(U125,'BASE '!$A$4:$H$144,7,0)*Y125/100</f>
        <v>#N/A</v>
      </c>
      <c r="AD125" s="95" t="e">
        <f>VLOOKUP(U125,'BASE '!$A$4:$H$144,8,0)*Y125/100</f>
        <v>#N/A</v>
      </c>
      <c r="AE125" s="96" t="e">
        <f t="shared" si="36"/>
        <v>#N/A</v>
      </c>
      <c r="DN125" s="116" t="e">
        <f>(($I$5*#REF!)/100)+((#REF!*$J$5)/100)+(($K$5*#REF!)/100)+($L$5*#REF!)+($M$5*#REF!)</f>
        <v>#REF!</v>
      </c>
    </row>
    <row r="126" spans="2:118" x14ac:dyDescent="0.3">
      <c r="B126" s="64"/>
      <c r="C126" s="148"/>
      <c r="D126" s="109"/>
      <c r="E126" s="63"/>
      <c r="F126" s="127"/>
      <c r="G126" s="50"/>
      <c r="H126" s="10"/>
      <c r="I126" s="10"/>
      <c r="J126" s="10"/>
      <c r="K126" s="10"/>
      <c r="L126" s="10"/>
      <c r="M126" s="39"/>
      <c r="N126" s="33">
        <f t="shared" si="31"/>
        <v>0</v>
      </c>
      <c r="O126" s="52" t="b">
        <f>IF(AND(E126="CLIENT S+L",F126="HUILE"),(S126*3333.33+(VLOOKUP(H126,'BASE '!$I$112:$J$142,2,0)))-((S126*3333.33)*G126),IF(AND(E126="CLIENT S+L",F126="LAIT"),((S126*952.4)-(S126*952.4)*G126),IF(E126="CLIENT O","OFFERT",IF(AND(F126="HUILE",E126="CLIENT L"),(((VLOOKUP(H126,'BASE '!$I$112:$J$142,2,0))+(VLOOKUP(S126,'BASE '!#REF!,2,0)))),IF(AND(F126="LAIT",E126="CLIENT L"),(S126*952.4),IF(AND(F126="HUILE",E126="CLIENT D"),(S126*3809.53+(VLOOKUP(H126,'BASE '!$I$112:$J$142,2,0))),IF(AND(F126="LAIT",E126="CLIENT D"),(S126*952.4),IF(AND(F126="HUILE",E126="CLIENT S+D"),((S126*3809.53+(VLOOKUP(H126,'BASE '!$I$112:$J$142,2,0)))-((S126*3809.53)*G126)),IF(AND(F126="LAIT",E126="CLIENT S+D"),((S126*952.4)-((S126*952.4)*G126)),IF(AND(E126="CLIENT S",F126="LAIT"),((S126*952.4)-((S126*952.4)*G126)),IF(AND(F126="HUILE",E126="CLIENT S"),(VLOOKUP(H126,'BASE '!$I$112:$J$142,2,0)+(VLOOKUP(S126,'BASE '!#REF!,2,0)))-(G126*((VLOOKUP(S126,'BASE '!#REF!,2,0)+(VLOOKUP(H126,'BASE '!$I$112:$J$142,2,0))))))))))))))))</f>
        <v>0</v>
      </c>
      <c r="P126" s="52" t="b">
        <f t="shared" si="32"/>
        <v>0</v>
      </c>
      <c r="Q126" s="53" t="b">
        <f t="shared" si="33"/>
        <v>0</v>
      </c>
      <c r="R126" s="152" t="s">
        <v>175</v>
      </c>
      <c r="S126" s="184">
        <f t="shared" si="35"/>
        <v>0</v>
      </c>
      <c r="T126" s="124"/>
      <c r="U126" s="41" t="s">
        <v>175</v>
      </c>
      <c r="V126" s="70" t="e">
        <f>VLOOKUP(U126,'BASE '!$A$4:$H$144,2,0)</f>
        <v>#N/A</v>
      </c>
      <c r="W126" s="159"/>
      <c r="X126" s="159"/>
      <c r="Y126" s="160"/>
      <c r="Z126" s="158" t="e">
        <f>VLOOKUP(U126,'BASE '!$A$4:$H$144,3,0)</f>
        <v>#N/A</v>
      </c>
      <c r="AA126" s="94" t="e">
        <f t="shared" si="34"/>
        <v>#N/A</v>
      </c>
      <c r="AB126" s="95" t="e">
        <f>VLOOKUP(U126,'BASE '!$A$4:$H$144,6,0)*Y126/100</f>
        <v>#N/A</v>
      </c>
      <c r="AC126" s="95" t="e">
        <f>VLOOKUP(U126,'BASE '!$A$4:$H$144,7,0)*Y126/100</f>
        <v>#N/A</v>
      </c>
      <c r="AD126" s="95" t="e">
        <f>VLOOKUP(U126,'BASE '!$A$4:$H$144,8,0)*Y126/100</f>
        <v>#N/A</v>
      </c>
      <c r="AE126" s="96" t="e">
        <f t="shared" si="36"/>
        <v>#N/A</v>
      </c>
      <c r="DN126" s="116" t="e">
        <f>(($I$5*#REF!)/100)+((#REF!*$J$5)/100)+(($K$5*#REF!)/100)+($L$5*#REF!)+($M$5*#REF!)</f>
        <v>#REF!</v>
      </c>
    </row>
    <row r="127" spans="2:118" x14ac:dyDescent="0.3">
      <c r="B127" s="64"/>
      <c r="C127" s="148"/>
      <c r="D127" s="109"/>
      <c r="E127" s="63"/>
      <c r="F127" s="127"/>
      <c r="G127" s="50"/>
      <c r="H127" s="10"/>
      <c r="I127" s="10"/>
      <c r="J127" s="10"/>
      <c r="K127" s="10"/>
      <c r="L127" s="10"/>
      <c r="M127" s="39"/>
      <c r="N127" s="33">
        <f t="shared" si="31"/>
        <v>0</v>
      </c>
      <c r="O127" s="52" t="b">
        <f>IF(AND(E127="CLIENT S+L",F127="HUILE"),(S127*3333.33+(VLOOKUP(H127,'BASE '!$I$112:$J$142,2,0)))-((S127*3333.33)*G127),IF(AND(E127="CLIENT S+L",F127="LAIT"),((S127*952.4)-(S127*952.4)*G127),IF(E127="CLIENT O","OFFERT",IF(AND(F127="HUILE",E127="CLIENT L"),(((VLOOKUP(H127,'BASE '!$I$112:$J$142,2,0))+(VLOOKUP(S127,'BASE '!#REF!,2,0)))),IF(AND(F127="LAIT",E127="CLIENT L"),(S127*952.4),IF(AND(F127="HUILE",E127="CLIENT D"),(S127*3809.53+(VLOOKUP(H127,'BASE '!$I$112:$J$142,2,0))),IF(AND(F127="LAIT",E127="CLIENT D"),(S127*952.4),IF(AND(F127="HUILE",E127="CLIENT S+D"),((S127*3809.53+(VLOOKUP(H127,'BASE '!$I$112:$J$142,2,0)))-((S127*3809.53)*G127)),IF(AND(F127="LAIT",E127="CLIENT S+D"),((S127*952.4)-((S127*952.4)*G127)),IF(AND(E127="CLIENT S",F127="LAIT"),((S127*952.4)-((S127*952.4)*G127)),IF(AND(F127="HUILE",E127="CLIENT S"),(VLOOKUP(H127,'BASE '!$I$112:$J$142,2,0)+(VLOOKUP(S127,'BASE '!#REF!,2,0)))-(G127*((VLOOKUP(S127,'BASE '!#REF!,2,0)+(VLOOKUP(H127,'BASE '!$I$112:$J$142,2,0))))))))))))))))</f>
        <v>0</v>
      </c>
      <c r="P127" s="52" t="b">
        <f t="shared" si="32"/>
        <v>0</v>
      </c>
      <c r="Q127" s="53" t="b">
        <f t="shared" si="33"/>
        <v>0</v>
      </c>
      <c r="R127" s="152" t="s">
        <v>175</v>
      </c>
      <c r="S127" s="184">
        <f t="shared" si="35"/>
        <v>0</v>
      </c>
      <c r="T127" s="124"/>
      <c r="U127" s="41" t="s">
        <v>175</v>
      </c>
      <c r="V127" s="70" t="e">
        <f>VLOOKUP(U127,'BASE '!$A$4:$H$144,2,0)</f>
        <v>#N/A</v>
      </c>
      <c r="W127" s="159"/>
      <c r="X127" s="159"/>
      <c r="Y127" s="160"/>
      <c r="Z127" s="158" t="e">
        <f>VLOOKUP(U127,'BASE '!$A$4:$H$144,3,0)</f>
        <v>#N/A</v>
      </c>
      <c r="AA127" s="94" t="e">
        <f t="shared" si="34"/>
        <v>#N/A</v>
      </c>
      <c r="AB127" s="95" t="e">
        <f>VLOOKUP(U127,'BASE '!$A$4:$H$144,6,0)*Y127/100</f>
        <v>#N/A</v>
      </c>
      <c r="AC127" s="95" t="e">
        <f>VLOOKUP(U127,'BASE '!$A$4:$H$144,7,0)*Y127/100</f>
        <v>#N/A</v>
      </c>
      <c r="AD127" s="95" t="e">
        <f>VLOOKUP(U127,'BASE '!$A$4:$H$144,8,0)*Y127/100</f>
        <v>#N/A</v>
      </c>
      <c r="AE127" s="96" t="e">
        <f t="shared" si="36"/>
        <v>#N/A</v>
      </c>
      <c r="DN127" s="116" t="e">
        <f>(($I$5*#REF!)/100)+((#REF!*$J$5)/100)+(($K$5*#REF!)/100)+($L$5*#REF!)+($M$5*#REF!)</f>
        <v>#REF!</v>
      </c>
    </row>
    <row r="128" spans="2:118" x14ac:dyDescent="0.3">
      <c r="B128" s="64"/>
      <c r="C128" s="148"/>
      <c r="D128" s="109"/>
      <c r="E128" s="63"/>
      <c r="F128" s="127"/>
      <c r="G128" s="50"/>
      <c r="H128" s="10"/>
      <c r="I128" s="10"/>
      <c r="J128" s="10"/>
      <c r="K128" s="10"/>
      <c r="L128" s="10"/>
      <c r="M128" s="39"/>
      <c r="N128" s="33">
        <f t="shared" si="31"/>
        <v>0</v>
      </c>
      <c r="O128" s="52" t="b">
        <f>IF(AND(E128="CLIENT S+L",F128="HUILE"),(S128*3333.33+(VLOOKUP(H128,'BASE '!$I$112:$J$142,2,0)))-((S128*3333.33)*G128),IF(AND(E128="CLIENT S+L",F128="LAIT"),((S128*952.4)-(S128*952.4)*G128),IF(E128="CLIENT O","OFFERT",IF(AND(F128="HUILE",E128="CLIENT L"),(((VLOOKUP(H128,'BASE '!$I$112:$J$142,2,0))+(VLOOKUP(S128,'BASE '!#REF!,2,0)))),IF(AND(F128="LAIT",E128="CLIENT L"),(S128*952.4),IF(AND(F128="HUILE",E128="CLIENT D"),(S128*3809.53+(VLOOKUP(H128,'BASE '!$I$112:$J$142,2,0))),IF(AND(F128="LAIT",E128="CLIENT D"),(S128*952.4),IF(AND(F128="HUILE",E128="CLIENT S+D"),((S128*3809.53+(VLOOKUP(H128,'BASE '!$I$112:$J$142,2,0)))-((S128*3809.53)*G128)),IF(AND(F128="LAIT",E128="CLIENT S+D"),((S128*952.4)-((S128*952.4)*G128)),IF(AND(E128="CLIENT S",F128="LAIT"),((S128*952.4)-((S128*952.4)*G128)),IF(AND(F128="HUILE",E128="CLIENT S"),(VLOOKUP(H128,'BASE '!$I$112:$J$142,2,0)+(VLOOKUP(S128,'BASE '!#REF!,2,0)))-(G128*((VLOOKUP(S128,'BASE '!#REF!,2,0)+(VLOOKUP(H128,'BASE '!$I$112:$J$142,2,0))))))))))))))))</f>
        <v>0</v>
      </c>
      <c r="P128" s="52" t="b">
        <f t="shared" si="32"/>
        <v>0</v>
      </c>
      <c r="Q128" s="53" t="b">
        <f t="shared" si="33"/>
        <v>0</v>
      </c>
      <c r="R128" s="152" t="s">
        <v>175</v>
      </c>
      <c r="S128" s="184">
        <f t="shared" si="35"/>
        <v>0</v>
      </c>
      <c r="T128" s="124"/>
      <c r="U128" s="41" t="s">
        <v>175</v>
      </c>
      <c r="V128" s="70" t="e">
        <f>VLOOKUP(U128,'BASE '!$A$4:$H$144,2,0)</f>
        <v>#N/A</v>
      </c>
      <c r="W128" s="159"/>
      <c r="X128" s="159"/>
      <c r="Y128" s="160"/>
      <c r="Z128" s="158" t="e">
        <f>VLOOKUP(U128,'BASE '!$A$4:$H$144,3,0)</f>
        <v>#N/A</v>
      </c>
      <c r="AA128" s="94" t="e">
        <f t="shared" si="34"/>
        <v>#N/A</v>
      </c>
      <c r="AB128" s="95" t="e">
        <f>VLOOKUP(U128,'BASE '!$A$4:$H$144,6,0)*Y128/100</f>
        <v>#N/A</v>
      </c>
      <c r="AC128" s="95" t="e">
        <f>VLOOKUP(U128,'BASE '!$A$4:$H$144,7,0)*Y128/100</f>
        <v>#N/A</v>
      </c>
      <c r="AD128" s="95" t="e">
        <f>VLOOKUP(U128,'BASE '!$A$4:$H$144,8,0)*Y128/100</f>
        <v>#N/A</v>
      </c>
      <c r="AE128" s="96" t="e">
        <f t="shared" si="36"/>
        <v>#N/A</v>
      </c>
      <c r="DN128" s="116" t="e">
        <f>(($I$5*#REF!)/100)+((#REF!*$J$5)/100)+(($K$5*#REF!)/100)+($L$5*#REF!)+($M$5*#REF!)</f>
        <v>#REF!</v>
      </c>
    </row>
    <row r="129" spans="2:118" x14ac:dyDescent="0.3">
      <c r="B129" s="64"/>
      <c r="C129" s="148"/>
      <c r="D129" s="109"/>
      <c r="E129" s="63"/>
      <c r="F129" s="127"/>
      <c r="G129" s="50"/>
      <c r="H129" s="10"/>
      <c r="I129" s="10"/>
      <c r="J129" s="10"/>
      <c r="K129" s="10"/>
      <c r="L129" s="10"/>
      <c r="M129" s="39"/>
      <c r="N129" s="33">
        <f t="shared" si="31"/>
        <v>0</v>
      </c>
      <c r="O129" s="52" t="b">
        <f>IF(AND(E129="CLIENT S+L",F129="HUILE"),(S129*3333.33+(VLOOKUP(H129,'BASE '!$I$112:$J$142,2,0)))-((S129*3333.33)*G129),IF(AND(E129="CLIENT S+L",F129="LAIT"),((S129*952.4)-(S129*952.4)*G129),IF(E129="CLIENT O","OFFERT",IF(AND(F129="HUILE",E129="CLIENT L"),(((VLOOKUP(H129,'BASE '!$I$112:$J$142,2,0))+(VLOOKUP(S129,'BASE '!#REF!,2,0)))),IF(AND(F129="LAIT",E129="CLIENT L"),(S129*952.4),IF(AND(F129="HUILE",E129="CLIENT D"),(S129*3809.53+(VLOOKUP(H129,'BASE '!$I$112:$J$142,2,0))),IF(AND(F129="LAIT",E129="CLIENT D"),(S129*952.4),IF(AND(F129="HUILE",E129="CLIENT S+D"),((S129*3809.53+(VLOOKUP(H129,'BASE '!$I$112:$J$142,2,0)))-((S129*3809.53)*G129)),IF(AND(F129="LAIT",E129="CLIENT S+D"),((S129*952.4)-((S129*952.4)*G129)),IF(AND(E129="CLIENT S",F129="LAIT"),((S129*952.4)-((S129*952.4)*G129)),IF(AND(F129="HUILE",E129="CLIENT S"),(VLOOKUP(H129,'BASE '!$I$112:$J$142,2,0)+(VLOOKUP(S129,'BASE '!#REF!,2,0)))-(G129*((VLOOKUP(S129,'BASE '!#REF!,2,0)+(VLOOKUP(H129,'BASE '!$I$112:$J$142,2,0))))))))))))))))</f>
        <v>0</v>
      </c>
      <c r="P129" s="52" t="b">
        <f t="shared" si="32"/>
        <v>0</v>
      </c>
      <c r="Q129" s="53" t="b">
        <f t="shared" si="33"/>
        <v>0</v>
      </c>
      <c r="R129" s="152" t="s">
        <v>175</v>
      </c>
      <c r="S129" s="184">
        <f t="shared" si="35"/>
        <v>0</v>
      </c>
      <c r="T129" s="124"/>
      <c r="U129" s="41" t="s">
        <v>175</v>
      </c>
      <c r="V129" s="70" t="e">
        <f>VLOOKUP(U129,'BASE '!$A$4:$H$144,2,0)</f>
        <v>#N/A</v>
      </c>
      <c r="W129" s="159"/>
      <c r="X129" s="159"/>
      <c r="Y129" s="160"/>
      <c r="Z129" s="158" t="e">
        <f>VLOOKUP(U129,'BASE '!$A$4:$H$144,3,0)</f>
        <v>#N/A</v>
      </c>
      <c r="AA129" s="94" t="e">
        <f t="shared" si="34"/>
        <v>#N/A</v>
      </c>
      <c r="AB129" s="95" t="e">
        <f>VLOOKUP(U129,'BASE '!$A$4:$H$144,6,0)*Y129/100</f>
        <v>#N/A</v>
      </c>
      <c r="AC129" s="95" t="e">
        <f>VLOOKUP(U129,'BASE '!$A$4:$H$144,7,0)*Y129/100</f>
        <v>#N/A</v>
      </c>
      <c r="AD129" s="95" t="e">
        <f>VLOOKUP(U129,'BASE '!$A$4:$H$144,8,0)*Y129/100</f>
        <v>#N/A</v>
      </c>
      <c r="AE129" s="96" t="e">
        <f t="shared" si="36"/>
        <v>#N/A</v>
      </c>
      <c r="DN129" s="116" t="e">
        <f>(($I$5*#REF!)/100)+((#REF!*$J$5)/100)+(($K$5*#REF!)/100)+($L$5*#REF!)+($M$5*#REF!)</f>
        <v>#REF!</v>
      </c>
    </row>
    <row r="130" spans="2:118" x14ac:dyDescent="0.3">
      <c r="B130" s="64"/>
      <c r="C130" s="148"/>
      <c r="D130" s="109"/>
      <c r="E130" s="63"/>
      <c r="F130" s="127"/>
      <c r="G130" s="50"/>
      <c r="H130" s="10"/>
      <c r="I130" s="10"/>
      <c r="J130" s="10"/>
      <c r="K130" s="10"/>
      <c r="L130" s="10"/>
      <c r="M130" s="39"/>
      <c r="N130" s="33">
        <f t="shared" si="31"/>
        <v>0</v>
      </c>
      <c r="O130" s="52" t="b">
        <f>IF(AND(E130="CLIENT S+L",F130="HUILE"),(S130*3333.33+(VLOOKUP(H130,'BASE '!$I$112:$J$142,2,0)))-((S130*3333.33)*G130),IF(AND(E130="CLIENT S+L",F130="LAIT"),((S130*952.4)-(S130*952.4)*G130),IF(E130="CLIENT O","OFFERT",IF(AND(F130="HUILE",E130="CLIENT L"),(((VLOOKUP(H130,'BASE '!$I$112:$J$142,2,0))+(VLOOKUP(S130,'BASE '!#REF!,2,0)))),IF(AND(F130="LAIT",E130="CLIENT L"),(S130*952.4),IF(AND(F130="HUILE",E130="CLIENT D"),(S130*3809.53+(VLOOKUP(H130,'BASE '!$I$112:$J$142,2,0))),IF(AND(F130="LAIT",E130="CLIENT D"),(S130*952.4),IF(AND(F130="HUILE",E130="CLIENT S+D"),((S130*3809.53+(VLOOKUP(H130,'BASE '!$I$112:$J$142,2,0)))-((S130*3809.53)*G130)),IF(AND(F130="LAIT",E130="CLIENT S+D"),((S130*952.4)-((S130*952.4)*G130)),IF(AND(E130="CLIENT S",F130="LAIT"),((S130*952.4)-((S130*952.4)*G130)),IF(AND(F130="HUILE",E130="CLIENT S"),(VLOOKUP(H130,'BASE '!$I$112:$J$142,2,0)+(VLOOKUP(S130,'BASE '!#REF!,2,0)))-(G130*((VLOOKUP(S130,'BASE '!#REF!,2,0)+(VLOOKUP(H130,'BASE '!$I$112:$J$142,2,0))))))))))))))))</f>
        <v>0</v>
      </c>
      <c r="P130" s="52" t="b">
        <f t="shared" si="32"/>
        <v>0</v>
      </c>
      <c r="Q130" s="53" t="b">
        <f t="shared" si="33"/>
        <v>0</v>
      </c>
      <c r="R130" s="152" t="s">
        <v>175</v>
      </c>
      <c r="S130" s="184">
        <f t="shared" si="35"/>
        <v>0</v>
      </c>
      <c r="T130" s="124"/>
      <c r="U130" s="41" t="s">
        <v>175</v>
      </c>
      <c r="V130" s="70" t="e">
        <f>VLOOKUP(U130,'BASE '!$A$4:$H$144,2,0)</f>
        <v>#N/A</v>
      </c>
      <c r="W130" s="159"/>
      <c r="X130" s="159"/>
      <c r="Y130" s="160"/>
      <c r="Z130" s="158" t="e">
        <f>VLOOKUP(U130,'BASE '!$A$4:$H$144,3,0)</f>
        <v>#N/A</v>
      </c>
      <c r="AA130" s="94" t="e">
        <f t="shared" si="34"/>
        <v>#N/A</v>
      </c>
      <c r="AB130" s="95" t="e">
        <f>VLOOKUP(U130,'BASE '!$A$4:$H$144,6,0)*Y130/100</f>
        <v>#N/A</v>
      </c>
      <c r="AC130" s="95" t="e">
        <f>VLOOKUP(U130,'BASE '!$A$4:$H$144,7,0)*Y130/100</f>
        <v>#N/A</v>
      </c>
      <c r="AD130" s="95" t="e">
        <f>VLOOKUP(U130,'BASE '!$A$4:$H$144,8,0)*Y130/100</f>
        <v>#N/A</v>
      </c>
      <c r="AE130" s="96" t="e">
        <f t="shared" si="36"/>
        <v>#N/A</v>
      </c>
      <c r="DN130" s="116" t="e">
        <f>(($I$5*#REF!)/100)+((#REF!*$J$5)/100)+(($K$5*#REF!)/100)+($L$5*#REF!)+($M$5*#REF!)</f>
        <v>#REF!</v>
      </c>
    </row>
    <row r="131" spans="2:118" x14ac:dyDescent="0.3">
      <c r="B131" s="64"/>
      <c r="C131" s="148"/>
      <c r="D131" s="109"/>
      <c r="E131" s="63"/>
      <c r="F131" s="127"/>
      <c r="G131" s="50"/>
      <c r="H131" s="10"/>
      <c r="I131" s="10"/>
      <c r="J131" s="10"/>
      <c r="K131" s="10"/>
      <c r="L131" s="10"/>
      <c r="M131" s="39"/>
      <c r="N131" s="33">
        <f t="shared" si="31"/>
        <v>0</v>
      </c>
      <c r="O131" s="52" t="b">
        <f>IF(AND(E131="CLIENT S+L",F131="HUILE"),(S131*3333.33+(VLOOKUP(H131,'BASE '!$I$112:$J$142,2,0)))-((S131*3333.33)*G131),IF(AND(E131="CLIENT S+L",F131="LAIT"),((S131*952.4)-(S131*952.4)*G131),IF(E131="CLIENT O","OFFERT",IF(AND(F131="HUILE",E131="CLIENT L"),(((VLOOKUP(H131,'BASE '!$I$112:$J$142,2,0))+(VLOOKUP(S131,'BASE '!#REF!,2,0)))),IF(AND(F131="LAIT",E131="CLIENT L"),(S131*952.4),IF(AND(F131="HUILE",E131="CLIENT D"),(S131*3809.53+(VLOOKUP(H131,'BASE '!$I$112:$J$142,2,0))),IF(AND(F131="LAIT",E131="CLIENT D"),(S131*952.4),IF(AND(F131="HUILE",E131="CLIENT S+D"),((S131*3809.53+(VLOOKUP(H131,'BASE '!$I$112:$J$142,2,0)))-((S131*3809.53)*G131)),IF(AND(F131="LAIT",E131="CLIENT S+D"),((S131*952.4)-((S131*952.4)*G131)),IF(AND(E131="CLIENT S",F131="LAIT"),((S131*952.4)-((S131*952.4)*G131)),IF(AND(F131="HUILE",E131="CLIENT S"),(VLOOKUP(H131,'BASE '!$I$112:$J$142,2,0)+(VLOOKUP(S131,'BASE '!#REF!,2,0)))-(G131*((VLOOKUP(S131,'BASE '!#REF!,2,0)+(VLOOKUP(H131,'BASE '!$I$112:$J$142,2,0))))))))))))))))</f>
        <v>0</v>
      </c>
      <c r="P131" s="52" t="b">
        <f t="shared" si="32"/>
        <v>0</v>
      </c>
      <c r="Q131" s="53" t="b">
        <f t="shared" si="33"/>
        <v>0</v>
      </c>
      <c r="R131" s="152" t="s">
        <v>175</v>
      </c>
      <c r="S131" s="184">
        <f t="shared" si="35"/>
        <v>0</v>
      </c>
      <c r="T131" s="124"/>
      <c r="U131" s="41" t="s">
        <v>175</v>
      </c>
      <c r="V131" s="70" t="e">
        <f>VLOOKUP(U131,'BASE '!$A$4:$H$144,2,0)</f>
        <v>#N/A</v>
      </c>
      <c r="W131" s="159"/>
      <c r="X131" s="159"/>
      <c r="Y131" s="160"/>
      <c r="Z131" s="158" t="e">
        <f>VLOOKUP(U131,'BASE '!$A$4:$H$144,3,0)</f>
        <v>#N/A</v>
      </c>
      <c r="AA131" s="94" t="e">
        <f t="shared" si="34"/>
        <v>#N/A</v>
      </c>
      <c r="AB131" s="95" t="e">
        <f>VLOOKUP(U131,'BASE '!$A$4:$H$144,6,0)*Y131/100</f>
        <v>#N/A</v>
      </c>
      <c r="AC131" s="95" t="e">
        <f>VLOOKUP(U131,'BASE '!$A$4:$H$144,7,0)*Y131/100</f>
        <v>#N/A</v>
      </c>
      <c r="AD131" s="95" t="e">
        <f>VLOOKUP(U131,'BASE '!$A$4:$H$144,8,0)*Y131/100</f>
        <v>#N/A</v>
      </c>
      <c r="AE131" s="96" t="e">
        <f t="shared" si="36"/>
        <v>#N/A</v>
      </c>
      <c r="DN131" s="116" t="e">
        <f>(($I$5*#REF!)/100)+((#REF!*$J$5)/100)+(($K$5*#REF!)/100)+($L$5*#REF!)+($M$5*#REF!)</f>
        <v>#REF!</v>
      </c>
    </row>
    <row r="132" spans="2:118" x14ac:dyDescent="0.3">
      <c r="B132" s="64"/>
      <c r="C132" s="148"/>
      <c r="D132" s="109"/>
      <c r="E132" s="63"/>
      <c r="F132" s="127"/>
      <c r="G132" s="50"/>
      <c r="H132" s="10"/>
      <c r="I132" s="10"/>
      <c r="J132" s="10"/>
      <c r="K132" s="10"/>
      <c r="L132" s="10"/>
      <c r="M132" s="39"/>
      <c r="N132" s="33">
        <f t="shared" si="31"/>
        <v>0</v>
      </c>
      <c r="O132" s="52" t="b">
        <f>IF(AND(E132="CLIENT S+L",F132="HUILE"),(S132*3333.33+(VLOOKUP(H132,'BASE '!$I$112:$J$142,2,0)))-((S132*3333.33)*G132),IF(AND(E132="CLIENT S+L",F132="LAIT"),((S132*952.4)-(S132*952.4)*G132),IF(E132="CLIENT O","OFFERT",IF(AND(F132="HUILE",E132="CLIENT L"),(((VLOOKUP(H132,'BASE '!$I$112:$J$142,2,0))+(VLOOKUP(S132,'BASE '!#REF!,2,0)))),IF(AND(F132="LAIT",E132="CLIENT L"),(S132*952.4),IF(AND(F132="HUILE",E132="CLIENT D"),(S132*3809.53+(VLOOKUP(H132,'BASE '!$I$112:$J$142,2,0))),IF(AND(F132="LAIT",E132="CLIENT D"),(S132*952.4),IF(AND(F132="HUILE",E132="CLIENT S+D"),((S132*3809.53+(VLOOKUP(H132,'BASE '!$I$112:$J$142,2,0)))-((S132*3809.53)*G132)),IF(AND(F132="LAIT",E132="CLIENT S+D"),((S132*952.4)-((S132*952.4)*G132)),IF(AND(E132="CLIENT S",F132="LAIT"),((S132*952.4)-((S132*952.4)*G132)),IF(AND(F132="HUILE",E132="CLIENT S"),(VLOOKUP(H132,'BASE '!$I$112:$J$142,2,0)+(VLOOKUP(S132,'BASE '!#REF!,2,0)))-(G132*((VLOOKUP(S132,'BASE '!#REF!,2,0)+(VLOOKUP(H132,'BASE '!$I$112:$J$142,2,0))))))))))))))))</f>
        <v>0</v>
      </c>
      <c r="P132" s="52" t="b">
        <f t="shared" si="32"/>
        <v>0</v>
      </c>
      <c r="Q132" s="53" t="b">
        <f t="shared" si="33"/>
        <v>0</v>
      </c>
      <c r="R132" s="152" t="s">
        <v>175</v>
      </c>
      <c r="S132" s="184">
        <f t="shared" si="35"/>
        <v>0</v>
      </c>
      <c r="T132" s="124"/>
      <c r="U132" s="41" t="s">
        <v>175</v>
      </c>
      <c r="V132" s="70" t="e">
        <f>VLOOKUP(U132,'BASE '!$A$4:$H$144,2,0)</f>
        <v>#N/A</v>
      </c>
      <c r="W132" s="159"/>
      <c r="X132" s="159"/>
      <c r="Y132" s="160"/>
      <c r="Z132" s="158" t="e">
        <f>VLOOKUP(U132,'BASE '!$A$4:$H$144,3,0)</f>
        <v>#N/A</v>
      </c>
      <c r="AA132" s="94" t="e">
        <f t="shared" si="34"/>
        <v>#N/A</v>
      </c>
      <c r="AB132" s="95" t="e">
        <f>VLOOKUP(U132,'BASE '!$A$4:$H$144,6,0)*Y132/100</f>
        <v>#N/A</v>
      </c>
      <c r="AC132" s="95" t="e">
        <f>VLOOKUP(U132,'BASE '!$A$4:$H$144,7,0)*Y132/100</f>
        <v>#N/A</v>
      </c>
      <c r="AD132" s="95" t="e">
        <f>VLOOKUP(U132,'BASE '!$A$4:$H$144,8,0)*Y132/100</f>
        <v>#N/A</v>
      </c>
      <c r="AE132" s="96" t="e">
        <f t="shared" si="36"/>
        <v>#N/A</v>
      </c>
      <c r="DN132" s="116" t="e">
        <f>(($I$5*#REF!)/100)+((#REF!*$J$5)/100)+(($K$5*#REF!)/100)+($L$5*#REF!)+($M$5*#REF!)</f>
        <v>#REF!</v>
      </c>
    </row>
    <row r="133" spans="2:118" x14ac:dyDescent="0.3">
      <c r="B133" s="64"/>
      <c r="C133" s="148"/>
      <c r="D133" s="109"/>
      <c r="E133" s="63"/>
      <c r="F133" s="127"/>
      <c r="G133" s="50"/>
      <c r="H133" s="10"/>
      <c r="I133" s="10"/>
      <c r="J133" s="10"/>
      <c r="K133" s="10"/>
      <c r="L133" s="10"/>
      <c r="M133" s="39"/>
      <c r="N133" s="33">
        <f t="shared" si="31"/>
        <v>0</v>
      </c>
      <c r="O133" s="52" t="b">
        <f>IF(AND(E133="CLIENT S+L",F133="HUILE"),(S133*3333.33+(VLOOKUP(H133,'BASE '!$I$112:$J$142,2,0)))-((S133*3333.33)*G133),IF(AND(E133="CLIENT S+L",F133="LAIT"),((S133*952.4)-(S133*952.4)*G133),IF(E133="CLIENT O","OFFERT",IF(AND(F133="HUILE",E133="CLIENT L"),(((VLOOKUP(H133,'BASE '!$I$112:$J$142,2,0))+(VLOOKUP(S133,'BASE '!#REF!,2,0)))),IF(AND(F133="LAIT",E133="CLIENT L"),(S133*952.4),IF(AND(F133="HUILE",E133="CLIENT D"),(S133*3809.53+(VLOOKUP(H133,'BASE '!$I$112:$J$142,2,0))),IF(AND(F133="LAIT",E133="CLIENT D"),(S133*952.4),IF(AND(F133="HUILE",E133="CLIENT S+D"),((S133*3809.53+(VLOOKUP(H133,'BASE '!$I$112:$J$142,2,0)))-((S133*3809.53)*G133)),IF(AND(F133="LAIT",E133="CLIENT S+D"),((S133*952.4)-((S133*952.4)*G133)),IF(AND(E133="CLIENT S",F133="LAIT"),((S133*952.4)-((S133*952.4)*G133)),IF(AND(F133="HUILE",E133="CLIENT S"),(VLOOKUP(H133,'BASE '!$I$112:$J$142,2,0)+(VLOOKUP(S133,'BASE '!#REF!,2,0)))-(G133*((VLOOKUP(S133,'BASE '!#REF!,2,0)+(VLOOKUP(H133,'BASE '!$I$112:$J$142,2,0))))))))))))))))</f>
        <v>0</v>
      </c>
      <c r="P133" s="52" t="b">
        <f t="shared" si="32"/>
        <v>0</v>
      </c>
      <c r="Q133" s="53" t="b">
        <f t="shared" si="33"/>
        <v>0</v>
      </c>
      <c r="R133" s="152" t="s">
        <v>175</v>
      </c>
      <c r="S133" s="184">
        <f t="shared" si="35"/>
        <v>0</v>
      </c>
      <c r="T133" s="124"/>
      <c r="U133" s="41" t="s">
        <v>175</v>
      </c>
      <c r="V133" s="70" t="e">
        <f>VLOOKUP(U133,'BASE '!$A$4:$H$144,2,0)</f>
        <v>#N/A</v>
      </c>
      <c r="W133" s="159"/>
      <c r="X133" s="159"/>
      <c r="Y133" s="160"/>
      <c r="Z133" s="158" t="e">
        <f>VLOOKUP(U133,'BASE '!$A$4:$H$144,3,0)</f>
        <v>#N/A</v>
      </c>
      <c r="AA133" s="94" t="e">
        <f t="shared" si="34"/>
        <v>#N/A</v>
      </c>
      <c r="AB133" s="95" t="e">
        <f>VLOOKUP(U133,'BASE '!$A$4:$H$144,6,0)*Y133/100</f>
        <v>#N/A</v>
      </c>
      <c r="AC133" s="95" t="e">
        <f>VLOOKUP(U133,'BASE '!$A$4:$H$144,7,0)*Y133/100</f>
        <v>#N/A</v>
      </c>
      <c r="AD133" s="95" t="e">
        <f>VLOOKUP(U133,'BASE '!$A$4:$H$144,8,0)*Y133/100</f>
        <v>#N/A</v>
      </c>
      <c r="AE133" s="96" t="e">
        <f t="shared" si="36"/>
        <v>#N/A</v>
      </c>
      <c r="DN133" s="116" t="e">
        <f>(($I$5*#REF!)/100)+((#REF!*$J$5)/100)+(($K$5*#REF!)/100)+($L$5*#REF!)+($M$5*#REF!)</f>
        <v>#REF!</v>
      </c>
    </row>
    <row r="134" spans="2:118" x14ac:dyDescent="0.3">
      <c r="B134" s="64"/>
      <c r="C134" s="148"/>
      <c r="D134" s="109"/>
      <c r="E134" s="63"/>
      <c r="F134" s="127"/>
      <c r="G134" s="50"/>
      <c r="H134" s="10"/>
      <c r="I134" s="10"/>
      <c r="J134" s="10"/>
      <c r="K134" s="10"/>
      <c r="L134" s="10"/>
      <c r="M134" s="39"/>
      <c r="N134" s="33">
        <f t="shared" ref="N134:N165" si="37">((($H$5*H134)/100)+($I$5*I134)/100)+((J134*$J$5)/100)+(($K$5*K134)/100)+($L$5*L134)+($M$5*M134)</f>
        <v>0</v>
      </c>
      <c r="O134" s="52" t="b">
        <f>IF(AND(E134="CLIENT S+L",F134="HUILE"),(S134*3333.33+(VLOOKUP(H134,'BASE '!$I$112:$J$142,2,0)))-((S134*3333.33)*G134),IF(AND(E134="CLIENT S+L",F134="LAIT"),((S134*952.4)-(S134*952.4)*G134),IF(E134="CLIENT O","OFFERT",IF(AND(F134="HUILE",E134="CLIENT L"),(((VLOOKUP(H134,'BASE '!$I$112:$J$142,2,0))+(VLOOKUP(S134,'BASE '!#REF!,2,0)))),IF(AND(F134="LAIT",E134="CLIENT L"),(S134*952.4),IF(AND(F134="HUILE",E134="CLIENT D"),(S134*3809.53+(VLOOKUP(H134,'BASE '!$I$112:$J$142,2,0))),IF(AND(F134="LAIT",E134="CLIENT D"),(S134*952.4),IF(AND(F134="HUILE",E134="CLIENT S+D"),((S134*3809.53+(VLOOKUP(H134,'BASE '!$I$112:$J$142,2,0)))-((S134*3809.53)*G134)),IF(AND(F134="LAIT",E134="CLIENT S+D"),((S134*952.4)-((S134*952.4)*G134)),IF(AND(E134="CLIENT S",F134="LAIT"),((S134*952.4)-((S134*952.4)*G134)),IF(AND(F134="HUILE",E134="CLIENT S"),(VLOOKUP(H134,'BASE '!$I$112:$J$142,2,0)+(VLOOKUP(S134,'BASE '!#REF!,2,0)))-(G134*((VLOOKUP(S134,'BASE '!#REF!,2,0)+(VLOOKUP(H134,'BASE '!$I$112:$J$142,2,0))))))))))))))))</f>
        <v>0</v>
      </c>
      <c r="P134" s="52" t="b">
        <f t="shared" ref="P134:P165" si="38">IF(E134="CLIENT S+L",(O134*0.05),IF(E134="CLIENT S",(O134*0.05),IF(E134="CLIENT D",(O134*5/100),IF(E134="CLIENT L",(O134*5)/100,IF(E134="CLIENT S+D",(O134*0.05),IF(E134="CLIENT O",O134))))))</f>
        <v>0</v>
      </c>
      <c r="Q134" s="53" t="b">
        <f t="shared" ref="Q134:Q165" si="39">IF(E134="CLIENT S+L",(O134+P134),IF(E134="CLIENT D",O134+P134,IF(E134="CLIENT S",(O134+P134),IF(E134="CLIENT L",O134+P134,IF(E134="CLIENT S+D",(O134+P134),IF(E134="CLIENT O",P134))))))</f>
        <v>0</v>
      </c>
      <c r="R134" s="152" t="s">
        <v>175</v>
      </c>
      <c r="S134" s="184">
        <f t="shared" si="35"/>
        <v>0</v>
      </c>
      <c r="T134" s="124"/>
      <c r="U134" s="41" t="s">
        <v>175</v>
      </c>
      <c r="V134" s="70" t="e">
        <f>VLOOKUP(U134,'BASE '!$A$4:$H$144,2,0)</f>
        <v>#N/A</v>
      </c>
      <c r="W134" s="159"/>
      <c r="X134" s="159"/>
      <c r="Y134" s="160"/>
      <c r="Z134" s="158" t="e">
        <f>VLOOKUP(U134,'BASE '!$A$4:$H$144,3,0)</f>
        <v>#N/A</v>
      </c>
      <c r="AA134" s="94" t="e">
        <f t="shared" ref="AA134:AA144" si="40">(Y134*Z134)/100</f>
        <v>#N/A</v>
      </c>
      <c r="AB134" s="95" t="e">
        <f>VLOOKUP(U134,'BASE '!$A$4:$H$144,6,0)*Y134/100</f>
        <v>#N/A</v>
      </c>
      <c r="AC134" s="95" t="e">
        <f>VLOOKUP(U134,'BASE '!$A$4:$H$144,7,0)*Y134/100</f>
        <v>#N/A</v>
      </c>
      <c r="AD134" s="95" t="e">
        <f>VLOOKUP(U134,'BASE '!$A$4:$H$144,8,0)*Y134/100</f>
        <v>#N/A</v>
      </c>
      <c r="AE134" s="96" t="e">
        <f t="shared" si="36"/>
        <v>#N/A</v>
      </c>
      <c r="DN134" s="116"/>
    </row>
    <row r="135" spans="2:118" x14ac:dyDescent="0.3">
      <c r="B135" s="64"/>
      <c r="C135" s="148"/>
      <c r="D135" s="109"/>
      <c r="E135" s="63"/>
      <c r="F135" s="127"/>
      <c r="G135" s="50"/>
      <c r="H135" s="10"/>
      <c r="I135" s="10"/>
      <c r="J135" s="10"/>
      <c r="K135" s="10"/>
      <c r="L135" s="10"/>
      <c r="M135" s="39"/>
      <c r="N135" s="33">
        <f t="shared" si="37"/>
        <v>0</v>
      </c>
      <c r="O135" s="52" t="b">
        <f>IF(AND(E135="CLIENT S+L",F135="HUILE"),(S135*3333.33+(VLOOKUP(H135,'BASE '!$I$112:$J$142,2,0)))-((S135*3333.33)*G135),IF(AND(E135="CLIENT S+L",F135="LAIT"),((S135*952.4)-(S135*952.4)*G135),IF(E135="CLIENT O","OFFERT",IF(AND(F135="HUILE",E135="CLIENT L"),(((VLOOKUP(H135,'BASE '!$I$112:$J$142,2,0))+(VLOOKUP(S135,'BASE '!#REF!,2,0)))),IF(AND(F135="LAIT",E135="CLIENT L"),(S135*952.4),IF(AND(F135="HUILE",E135="CLIENT D"),(S135*3809.53+(VLOOKUP(H135,'BASE '!$I$112:$J$142,2,0))),IF(AND(F135="LAIT",E135="CLIENT D"),(S135*952.4),IF(AND(F135="HUILE",E135="CLIENT S+D"),((S135*3809.53+(VLOOKUP(H135,'BASE '!$I$112:$J$142,2,0)))-((S135*3809.53)*G135)),IF(AND(F135="LAIT",E135="CLIENT S+D"),((S135*952.4)-((S135*952.4)*G135)),IF(AND(E135="CLIENT S",F135="LAIT"),((S135*952.4)-((S135*952.4)*G135)),IF(AND(F135="HUILE",E135="CLIENT S"),(VLOOKUP(H135,'BASE '!$I$112:$J$142,2,0)+(VLOOKUP(S135,'BASE '!#REF!,2,0)))-(G135*((VLOOKUP(S135,'BASE '!#REF!,2,0)+(VLOOKUP(H135,'BASE '!$I$112:$J$142,2,0))))))))))))))))</f>
        <v>0</v>
      </c>
      <c r="P135" s="52" t="b">
        <f t="shared" si="38"/>
        <v>0</v>
      </c>
      <c r="Q135" s="53" t="b">
        <f t="shared" si="39"/>
        <v>0</v>
      </c>
      <c r="R135" s="152" t="s">
        <v>175</v>
      </c>
      <c r="S135" s="184">
        <f t="shared" ref="S135:S165" si="41">(($I$5*I135)/100)+((J135*$J$5)/100)+(($K$5*K135)/100)+($L$5*L135)+($M$5*M135)</f>
        <v>0</v>
      </c>
      <c r="T135" s="124"/>
      <c r="U135" s="41" t="s">
        <v>175</v>
      </c>
      <c r="V135" s="70" t="e">
        <f>VLOOKUP(U135,'BASE '!$A$4:$H$144,2,0)</f>
        <v>#N/A</v>
      </c>
      <c r="W135" s="159"/>
      <c r="X135" s="159"/>
      <c r="Y135" s="160"/>
      <c r="Z135" s="158" t="e">
        <f>VLOOKUP(U135,'BASE '!$A$4:$H$144,3,0)</f>
        <v>#N/A</v>
      </c>
      <c r="AA135" s="94" t="e">
        <f t="shared" si="40"/>
        <v>#N/A</v>
      </c>
      <c r="AB135" s="95" t="e">
        <f>VLOOKUP(U135,'BASE '!$A$4:$H$144,6,0)*Y135/100</f>
        <v>#N/A</v>
      </c>
      <c r="AC135" s="95" t="e">
        <f>VLOOKUP(U135,'BASE '!$A$4:$H$144,7,0)*Y135/100</f>
        <v>#N/A</v>
      </c>
      <c r="AD135" s="95" t="e">
        <f>VLOOKUP(U135,'BASE '!$A$4:$H$144,8,0)*Y135/100</f>
        <v>#N/A</v>
      </c>
      <c r="AE135" s="96" t="e">
        <f t="shared" ref="AE135:AE144" si="42">AA135+AB135+AC135+AD135</f>
        <v>#N/A</v>
      </c>
      <c r="DN135" s="116"/>
    </row>
    <row r="136" spans="2:118" x14ac:dyDescent="0.3">
      <c r="B136" s="64"/>
      <c r="C136" s="148"/>
      <c r="D136" s="109"/>
      <c r="E136" s="63"/>
      <c r="F136" s="127"/>
      <c r="G136" s="50"/>
      <c r="H136" s="10"/>
      <c r="I136" s="10"/>
      <c r="J136" s="10"/>
      <c r="K136" s="10"/>
      <c r="L136" s="10"/>
      <c r="M136" s="39"/>
      <c r="N136" s="33">
        <f t="shared" si="37"/>
        <v>0</v>
      </c>
      <c r="O136" s="52" t="b">
        <f>IF(AND(E136="CLIENT S+L",F136="HUILE"),(S136*3333.33+(VLOOKUP(H136,'BASE '!$I$112:$J$142,2,0)))-((S136*3333.33)*G136),IF(AND(E136="CLIENT S+L",F136="LAIT"),((S136*952.4)-(S136*952.4)*G136),IF(E136="CLIENT O","OFFERT",IF(AND(F136="HUILE",E136="CLIENT L"),(((VLOOKUP(H136,'BASE '!$I$112:$J$142,2,0))+(VLOOKUP(S136,'BASE '!#REF!,2,0)))),IF(AND(F136="LAIT",E136="CLIENT L"),(S136*952.4),IF(AND(F136="HUILE",E136="CLIENT D"),(S136*3809.53+(VLOOKUP(H136,'BASE '!$I$112:$J$142,2,0))),IF(AND(F136="LAIT",E136="CLIENT D"),(S136*952.4),IF(AND(F136="HUILE",E136="CLIENT S+D"),((S136*3809.53+(VLOOKUP(H136,'BASE '!$I$112:$J$142,2,0)))-((S136*3809.53)*G136)),IF(AND(F136="LAIT",E136="CLIENT S+D"),((S136*952.4)-((S136*952.4)*G136)),IF(AND(E136="CLIENT S",F136="LAIT"),((S136*952.4)-((S136*952.4)*G136)),IF(AND(F136="HUILE",E136="CLIENT S"),(VLOOKUP(H136,'BASE '!$I$112:$J$142,2,0)+(VLOOKUP(S136,'BASE '!#REF!,2,0)))-(G136*((VLOOKUP(S136,'BASE '!#REF!,2,0)+(VLOOKUP(H136,'BASE '!$I$112:$J$142,2,0))))))))))))))))</f>
        <v>0</v>
      </c>
      <c r="P136" s="52" t="b">
        <f t="shared" si="38"/>
        <v>0</v>
      </c>
      <c r="Q136" s="53" t="b">
        <f t="shared" si="39"/>
        <v>0</v>
      </c>
      <c r="R136" s="152" t="s">
        <v>175</v>
      </c>
      <c r="S136" s="184">
        <f t="shared" si="41"/>
        <v>0</v>
      </c>
      <c r="T136" s="124"/>
      <c r="U136" s="41" t="s">
        <v>175</v>
      </c>
      <c r="V136" s="70" t="e">
        <f>VLOOKUP(U136,'BASE '!$A$4:$H$144,2,0)</f>
        <v>#N/A</v>
      </c>
      <c r="W136" s="159"/>
      <c r="X136" s="159"/>
      <c r="Y136" s="160"/>
      <c r="Z136" s="158" t="e">
        <f>VLOOKUP(U136,'BASE '!$A$4:$H$144,3,0)</f>
        <v>#N/A</v>
      </c>
      <c r="AA136" s="94" t="e">
        <f t="shared" si="40"/>
        <v>#N/A</v>
      </c>
      <c r="AB136" s="95" t="e">
        <f>VLOOKUP(U136,'BASE '!$A$4:$H$144,6,0)*Y136/100</f>
        <v>#N/A</v>
      </c>
      <c r="AC136" s="95" t="e">
        <f>VLOOKUP(U136,'BASE '!$A$4:$H$144,7,0)*Y136/100</f>
        <v>#N/A</v>
      </c>
      <c r="AD136" s="95" t="e">
        <f>VLOOKUP(U136,'BASE '!$A$4:$H$144,8,0)*Y136/100</f>
        <v>#N/A</v>
      </c>
      <c r="AE136" s="96" t="e">
        <f t="shared" si="42"/>
        <v>#N/A</v>
      </c>
      <c r="DN136" s="116"/>
    </row>
    <row r="137" spans="2:118" x14ac:dyDescent="0.3">
      <c r="B137" s="64"/>
      <c r="C137" s="148"/>
      <c r="D137" s="109"/>
      <c r="E137" s="63"/>
      <c r="F137" s="127"/>
      <c r="G137" s="50"/>
      <c r="H137" s="10"/>
      <c r="I137" s="10"/>
      <c r="J137" s="10"/>
      <c r="K137" s="10"/>
      <c r="L137" s="10"/>
      <c r="M137" s="39"/>
      <c r="N137" s="33">
        <f t="shared" si="37"/>
        <v>0</v>
      </c>
      <c r="O137" s="52" t="b">
        <f>IF(AND(E137="CLIENT S+L",F137="HUILE"),(S137*3333.33+(VLOOKUP(H137,'BASE '!$I$112:$J$142,2,0)))-((S137*3333.33)*G137),IF(AND(E137="CLIENT S+L",F137="LAIT"),((S137*952.4)-(S137*952.4)*G137),IF(E137="CLIENT O","OFFERT",IF(AND(F137="HUILE",E137="CLIENT L"),(((VLOOKUP(H137,'BASE '!$I$112:$J$142,2,0))+(VLOOKUP(S137,'BASE '!#REF!,2,0)))),IF(AND(F137="LAIT",E137="CLIENT L"),(S137*952.4),IF(AND(F137="HUILE",E137="CLIENT D"),(S137*3809.53+(VLOOKUP(H137,'BASE '!$I$112:$J$142,2,0))),IF(AND(F137="LAIT",E137="CLIENT D"),(S137*952.4),IF(AND(F137="HUILE",E137="CLIENT S+D"),((S137*3809.53+(VLOOKUP(H137,'BASE '!$I$112:$J$142,2,0)))-((S137*3809.53)*G137)),IF(AND(F137="LAIT",E137="CLIENT S+D"),((S137*952.4)-((S137*952.4)*G137)),IF(AND(E137="CLIENT S",F137="LAIT"),((S137*952.4)-((S137*952.4)*G137)),IF(AND(F137="HUILE",E137="CLIENT S"),(VLOOKUP(H137,'BASE '!$I$112:$J$142,2,0)+(VLOOKUP(S137,'BASE '!#REF!,2,0)))-(G137*((VLOOKUP(S137,'BASE '!#REF!,2,0)+(VLOOKUP(H137,'BASE '!$I$112:$J$142,2,0))))))))))))))))</f>
        <v>0</v>
      </c>
      <c r="P137" s="52" t="b">
        <f t="shared" si="38"/>
        <v>0</v>
      </c>
      <c r="Q137" s="53" t="b">
        <f t="shared" si="39"/>
        <v>0</v>
      </c>
      <c r="R137" s="152" t="s">
        <v>175</v>
      </c>
      <c r="S137" s="184">
        <f t="shared" si="41"/>
        <v>0</v>
      </c>
      <c r="T137" s="124"/>
      <c r="U137" s="41" t="s">
        <v>175</v>
      </c>
      <c r="V137" s="70" t="e">
        <f>VLOOKUP(U137,'BASE '!$A$4:$H$144,2,0)</f>
        <v>#N/A</v>
      </c>
      <c r="W137" s="159"/>
      <c r="X137" s="159"/>
      <c r="Y137" s="160"/>
      <c r="Z137" s="158" t="e">
        <f>VLOOKUP(U137,'BASE '!$A$4:$H$144,3,0)</f>
        <v>#N/A</v>
      </c>
      <c r="AA137" s="94" t="e">
        <f t="shared" si="40"/>
        <v>#N/A</v>
      </c>
      <c r="AB137" s="95" t="e">
        <f>VLOOKUP(U137,'BASE '!$A$4:$H$144,6,0)*Y137/100</f>
        <v>#N/A</v>
      </c>
      <c r="AC137" s="95" t="e">
        <f>VLOOKUP(U137,'BASE '!$A$4:$H$144,7,0)*Y137/100</f>
        <v>#N/A</v>
      </c>
      <c r="AD137" s="95" t="e">
        <f>VLOOKUP(U137,'BASE '!$A$4:$H$144,8,0)*Y137/100</f>
        <v>#N/A</v>
      </c>
      <c r="AE137" s="96" t="e">
        <f t="shared" si="42"/>
        <v>#N/A</v>
      </c>
      <c r="DN137" s="116"/>
    </row>
    <row r="138" spans="2:118" x14ac:dyDescent="0.3">
      <c r="B138" s="64"/>
      <c r="C138" s="148"/>
      <c r="D138" s="109"/>
      <c r="E138" s="63"/>
      <c r="F138" s="127"/>
      <c r="G138" s="50"/>
      <c r="H138" s="10"/>
      <c r="I138" s="10"/>
      <c r="J138" s="10"/>
      <c r="K138" s="10"/>
      <c r="L138" s="10"/>
      <c r="M138" s="39"/>
      <c r="N138" s="33">
        <f t="shared" si="37"/>
        <v>0</v>
      </c>
      <c r="O138" s="52" t="b">
        <f>IF(AND(E138="CLIENT S+L",F138="HUILE"),(S138*3333.33+(VLOOKUP(H138,'BASE '!$I$112:$J$142,2,0)))-((S138*3333.33)*G138),IF(AND(E138="CLIENT S+L",F138="LAIT"),((S138*952.4)-(S138*952.4)*G138),IF(E138="CLIENT O","OFFERT",IF(AND(F138="HUILE",E138="CLIENT L"),(((VLOOKUP(H138,'BASE '!$I$112:$J$142,2,0))+(VLOOKUP(S138,'BASE '!#REF!,2,0)))),IF(AND(F138="LAIT",E138="CLIENT L"),(S138*952.4),IF(AND(F138="HUILE",E138="CLIENT D"),(S138*3809.53+(VLOOKUP(H138,'BASE '!$I$112:$J$142,2,0))),IF(AND(F138="LAIT",E138="CLIENT D"),(S138*952.4),IF(AND(F138="HUILE",E138="CLIENT S+D"),((S138*3809.53+(VLOOKUP(H138,'BASE '!$I$112:$J$142,2,0)))-((S138*3809.53)*G138)),IF(AND(F138="LAIT",E138="CLIENT S+D"),((S138*952.4)-((S138*952.4)*G138)),IF(AND(E138="CLIENT S",F138="LAIT"),((S138*952.4)-((S138*952.4)*G138)),IF(AND(F138="HUILE",E138="CLIENT S"),(VLOOKUP(H138,'BASE '!$I$112:$J$142,2,0)+(VLOOKUP(S138,'BASE '!#REF!,2,0)))-(G138*((VLOOKUP(S138,'BASE '!#REF!,2,0)+(VLOOKUP(H138,'BASE '!$I$112:$J$142,2,0))))))))))))))))</f>
        <v>0</v>
      </c>
      <c r="P138" s="52" t="b">
        <f t="shared" si="38"/>
        <v>0</v>
      </c>
      <c r="Q138" s="53" t="b">
        <f t="shared" si="39"/>
        <v>0</v>
      </c>
      <c r="R138" s="152" t="s">
        <v>175</v>
      </c>
      <c r="S138" s="184">
        <f t="shared" si="41"/>
        <v>0</v>
      </c>
      <c r="T138" s="124"/>
      <c r="U138" s="41" t="s">
        <v>175</v>
      </c>
      <c r="V138" s="70" t="e">
        <f>VLOOKUP(U138,'BASE '!$A$4:$H$144,2,0)</f>
        <v>#N/A</v>
      </c>
      <c r="W138" s="159"/>
      <c r="X138" s="159"/>
      <c r="Y138" s="160"/>
      <c r="Z138" s="158" t="e">
        <f>VLOOKUP(U138,'BASE '!$A$4:$H$144,3,0)</f>
        <v>#N/A</v>
      </c>
      <c r="AA138" s="94" t="e">
        <f t="shared" si="40"/>
        <v>#N/A</v>
      </c>
      <c r="AB138" s="95" t="e">
        <f>VLOOKUP(U138,'BASE '!$A$4:$H$144,6,0)*Y138/100</f>
        <v>#N/A</v>
      </c>
      <c r="AC138" s="95" t="e">
        <f>VLOOKUP(U138,'BASE '!$A$4:$H$144,7,0)*Y138/100</f>
        <v>#N/A</v>
      </c>
      <c r="AD138" s="95" t="e">
        <f>VLOOKUP(U138,'BASE '!$A$4:$H$144,8,0)*Y138/100</f>
        <v>#N/A</v>
      </c>
      <c r="AE138" s="96" t="e">
        <f t="shared" si="42"/>
        <v>#N/A</v>
      </c>
      <c r="DN138" s="116" t="e">
        <f>(($I$5*#REF!)/100)+((#REF!*$J$5)/100)+(($K$5*#REF!)/100)+($L$5*#REF!)+($M$5*#REF!)</f>
        <v>#REF!</v>
      </c>
    </row>
    <row r="139" spans="2:118" x14ac:dyDescent="0.3">
      <c r="B139" s="64"/>
      <c r="C139" s="148"/>
      <c r="D139" s="109"/>
      <c r="E139" s="63"/>
      <c r="F139" s="127"/>
      <c r="G139" s="50"/>
      <c r="H139" s="10"/>
      <c r="I139" s="10"/>
      <c r="J139" s="10"/>
      <c r="K139" s="10"/>
      <c r="L139" s="10"/>
      <c r="M139" s="39"/>
      <c r="N139" s="33">
        <f t="shared" si="37"/>
        <v>0</v>
      </c>
      <c r="O139" s="52" t="b">
        <f>IF(AND(E139="CLIENT S+L",F139="HUILE"),(S139*3333.33+(VLOOKUP(H139,'BASE '!$I$112:$J$142,2,0)))-((S139*3333.33)*G139),IF(AND(E139="CLIENT S+L",F139="LAIT"),((S139*952.4)-(S139*952.4)*G139),IF(E139="CLIENT O","OFFERT",IF(AND(F139="HUILE",E139="CLIENT L"),(((VLOOKUP(H139,'BASE '!$I$112:$J$142,2,0))+(VLOOKUP(S139,'BASE '!#REF!,2,0)))),IF(AND(F139="LAIT",E139="CLIENT L"),(S139*952.4),IF(AND(F139="HUILE",E139="CLIENT D"),(S139*3809.53+(VLOOKUP(H139,'BASE '!$I$112:$J$142,2,0))),IF(AND(F139="LAIT",E139="CLIENT D"),(S139*952.4),IF(AND(F139="HUILE",E139="CLIENT S+D"),((S139*3809.53+(VLOOKUP(H139,'BASE '!$I$112:$J$142,2,0)))-((S139*3809.53)*G139)),IF(AND(F139="LAIT",E139="CLIENT S+D"),((S139*952.4)-((S139*952.4)*G139)),IF(AND(E139="CLIENT S",F139="LAIT"),((S139*952.4)-((S139*952.4)*G139)),IF(AND(F139="HUILE",E139="CLIENT S"),(VLOOKUP(H139,'BASE '!$I$112:$J$142,2,0)+(VLOOKUP(S139,'BASE '!#REF!,2,0)))-(G139*((VLOOKUP(S139,'BASE '!#REF!,2,0)+(VLOOKUP(H139,'BASE '!$I$112:$J$142,2,0))))))))))))))))</f>
        <v>0</v>
      </c>
      <c r="P139" s="52" t="b">
        <f t="shared" si="38"/>
        <v>0</v>
      </c>
      <c r="Q139" s="53" t="b">
        <f t="shared" si="39"/>
        <v>0</v>
      </c>
      <c r="R139" s="152" t="s">
        <v>175</v>
      </c>
      <c r="S139" s="184">
        <f t="shared" si="41"/>
        <v>0</v>
      </c>
      <c r="T139" s="124"/>
      <c r="U139" s="41" t="s">
        <v>175</v>
      </c>
      <c r="V139" s="70" t="e">
        <f>VLOOKUP(U139,'BASE '!$A$4:$H$144,2,0)</f>
        <v>#N/A</v>
      </c>
      <c r="W139" s="159"/>
      <c r="X139" s="159"/>
      <c r="Y139" s="160"/>
      <c r="Z139" s="158" t="e">
        <f>VLOOKUP(U139,'BASE '!$A$4:$H$144,3,0)</f>
        <v>#N/A</v>
      </c>
      <c r="AA139" s="94" t="e">
        <f t="shared" si="40"/>
        <v>#N/A</v>
      </c>
      <c r="AB139" s="95" t="e">
        <f>VLOOKUP(U139,'BASE '!$A$4:$H$144,6,0)*Y139/100</f>
        <v>#N/A</v>
      </c>
      <c r="AC139" s="95" t="e">
        <f>VLOOKUP(U139,'BASE '!$A$4:$H$144,7,0)*Y139/100</f>
        <v>#N/A</v>
      </c>
      <c r="AD139" s="95" t="e">
        <f>VLOOKUP(U139,'BASE '!$A$4:$H$144,8,0)*Y139/100</f>
        <v>#N/A</v>
      </c>
      <c r="AE139" s="96" t="e">
        <f t="shared" si="42"/>
        <v>#N/A</v>
      </c>
      <c r="DN139" s="116" t="e">
        <f>(($I$5*#REF!)/100)+((#REF!*$J$5)/100)+(($K$5*#REF!)/100)+($L$5*#REF!)+($M$5*#REF!)</f>
        <v>#REF!</v>
      </c>
    </row>
    <row r="140" spans="2:118" x14ac:dyDescent="0.3">
      <c r="B140" s="64"/>
      <c r="C140" s="148"/>
      <c r="D140" s="109"/>
      <c r="E140" s="63"/>
      <c r="F140" s="127"/>
      <c r="G140" s="50"/>
      <c r="H140" s="10"/>
      <c r="I140" s="10"/>
      <c r="J140" s="10"/>
      <c r="K140" s="10"/>
      <c r="L140" s="10"/>
      <c r="M140" s="39"/>
      <c r="N140" s="33">
        <f t="shared" si="37"/>
        <v>0</v>
      </c>
      <c r="O140" s="52" t="b">
        <f>IF(AND(E140="CLIENT S+L",F140="HUILE"),(S140*3333.33+(VLOOKUP(H140,'BASE '!$I$112:$J$142,2,0)))-((S140*3333.33)*G140),IF(AND(E140="CLIENT S+L",F140="LAIT"),((S140*952.4)-(S140*952.4)*G140),IF(E140="CLIENT O","OFFERT",IF(AND(F140="HUILE",E140="CLIENT L"),(((VLOOKUP(H140,'BASE '!$I$112:$J$142,2,0))+(VLOOKUP(S140,'BASE '!#REF!,2,0)))),IF(AND(F140="LAIT",E140="CLIENT L"),(S140*952.4),IF(AND(F140="HUILE",E140="CLIENT D"),(S140*3809.53+(VLOOKUP(H140,'BASE '!$I$112:$J$142,2,0))),IF(AND(F140="LAIT",E140="CLIENT D"),(S140*952.4),IF(AND(F140="HUILE",E140="CLIENT S+D"),((S140*3809.53+(VLOOKUP(H140,'BASE '!$I$112:$J$142,2,0)))-((S140*3809.53)*G140)),IF(AND(F140="LAIT",E140="CLIENT S+D"),((S140*952.4)-((S140*952.4)*G140)),IF(AND(E140="CLIENT S",F140="LAIT"),((S140*952.4)-((S140*952.4)*G140)),IF(AND(F140="HUILE",E140="CLIENT S"),(VLOOKUP(H140,'BASE '!$I$112:$J$142,2,0)+(VLOOKUP(S140,'BASE '!#REF!,2,0)))-(G140*((VLOOKUP(S140,'BASE '!#REF!,2,0)+(VLOOKUP(H140,'BASE '!$I$112:$J$142,2,0))))))))))))))))</f>
        <v>0</v>
      </c>
      <c r="P140" s="52" t="b">
        <f t="shared" si="38"/>
        <v>0</v>
      </c>
      <c r="Q140" s="53" t="b">
        <f t="shared" si="39"/>
        <v>0</v>
      </c>
      <c r="R140" s="152" t="s">
        <v>175</v>
      </c>
      <c r="S140" s="184">
        <f t="shared" si="41"/>
        <v>0</v>
      </c>
      <c r="T140" s="124"/>
      <c r="U140" s="41" t="s">
        <v>175</v>
      </c>
      <c r="V140" s="70" t="e">
        <f>VLOOKUP(U140,'BASE '!$A$4:$H$144,2,0)</f>
        <v>#N/A</v>
      </c>
      <c r="W140" s="159"/>
      <c r="X140" s="159"/>
      <c r="Y140" s="160"/>
      <c r="Z140" s="158" t="e">
        <f>VLOOKUP(U140,'BASE '!$A$4:$H$144,3,0)</f>
        <v>#N/A</v>
      </c>
      <c r="AA140" s="94" t="e">
        <f t="shared" si="40"/>
        <v>#N/A</v>
      </c>
      <c r="AB140" s="95" t="e">
        <f>VLOOKUP(U140,'BASE '!$A$4:$H$144,6,0)*Y140/100</f>
        <v>#N/A</v>
      </c>
      <c r="AC140" s="95" t="e">
        <f>VLOOKUP(U140,'BASE '!$A$4:$H$144,7,0)*Y140/100</f>
        <v>#N/A</v>
      </c>
      <c r="AD140" s="95" t="e">
        <f>VLOOKUP(U140,'BASE '!$A$4:$H$144,8,0)*Y140/100</f>
        <v>#N/A</v>
      </c>
      <c r="AE140" s="96" t="e">
        <f t="shared" si="42"/>
        <v>#N/A</v>
      </c>
      <c r="DN140" s="116" t="e">
        <f>(($I$5*#REF!)/100)+((#REF!*$J$5)/100)+(($K$5*#REF!)/100)+($L$5*#REF!)+($M$5*#REF!)</f>
        <v>#REF!</v>
      </c>
    </row>
    <row r="141" spans="2:118" x14ac:dyDescent="0.3">
      <c r="B141" s="64"/>
      <c r="C141" s="148"/>
      <c r="D141" s="109"/>
      <c r="E141" s="63"/>
      <c r="F141" s="127"/>
      <c r="G141" s="50"/>
      <c r="H141" s="10"/>
      <c r="I141" s="10"/>
      <c r="J141" s="10"/>
      <c r="K141" s="10"/>
      <c r="L141" s="10"/>
      <c r="M141" s="39"/>
      <c r="N141" s="33">
        <f t="shared" si="37"/>
        <v>0</v>
      </c>
      <c r="O141" s="52" t="b">
        <f>IF(AND(E141="CLIENT S+L",F141="HUILE"),(S141*3333.33+(VLOOKUP(H141,'BASE '!$I$112:$J$142,2,0)))-((S141*3333.33)*G141),IF(AND(E141="CLIENT S+L",F141="LAIT"),((S141*952.4)-(S141*952.4)*G141),IF(E141="CLIENT O","OFFERT",IF(AND(F141="HUILE",E141="CLIENT L"),(((VLOOKUP(H141,'BASE '!$I$112:$J$142,2,0))+(VLOOKUP(S141,'BASE '!#REF!,2,0)))),IF(AND(F141="LAIT",E141="CLIENT L"),(S141*952.4),IF(AND(F141="HUILE",E141="CLIENT D"),(S141*3809.53+(VLOOKUP(H141,'BASE '!$I$112:$J$142,2,0))),IF(AND(F141="LAIT",E141="CLIENT D"),(S141*952.4),IF(AND(F141="HUILE",E141="CLIENT S+D"),((S141*3809.53+(VLOOKUP(H141,'BASE '!$I$112:$J$142,2,0)))-((S141*3809.53)*G141)),IF(AND(F141="LAIT",E141="CLIENT S+D"),((S141*952.4)-((S141*952.4)*G141)),IF(AND(E141="CLIENT S",F141="LAIT"),((S141*952.4)-((S141*952.4)*G141)),IF(AND(F141="HUILE",E141="CLIENT S"),(VLOOKUP(H141,'BASE '!$I$112:$J$142,2,0)+(VLOOKUP(S141,'BASE '!#REF!,2,0)))-(G141*((VLOOKUP(S141,'BASE '!#REF!,2,0)+(VLOOKUP(H141,'BASE '!$I$112:$J$142,2,0))))))))))))))))</f>
        <v>0</v>
      </c>
      <c r="P141" s="52" t="b">
        <f t="shared" si="38"/>
        <v>0</v>
      </c>
      <c r="Q141" s="53" t="b">
        <f t="shared" si="39"/>
        <v>0</v>
      </c>
      <c r="R141" s="152" t="s">
        <v>175</v>
      </c>
      <c r="S141" s="184">
        <f t="shared" si="41"/>
        <v>0</v>
      </c>
      <c r="T141" s="124"/>
      <c r="U141" s="41" t="s">
        <v>175</v>
      </c>
      <c r="V141" s="70" t="e">
        <f>VLOOKUP(U141,'BASE '!$A$4:$H$144,2,0)</f>
        <v>#N/A</v>
      </c>
      <c r="W141" s="159"/>
      <c r="X141" s="159"/>
      <c r="Y141" s="160"/>
      <c r="Z141" s="158" t="e">
        <f>VLOOKUP(U141,'BASE '!$A$4:$H$144,3,0)</f>
        <v>#N/A</v>
      </c>
      <c r="AA141" s="94" t="e">
        <f t="shared" si="40"/>
        <v>#N/A</v>
      </c>
      <c r="AB141" s="95" t="e">
        <f>VLOOKUP(U141,'BASE '!$A$4:$H$144,6,0)*Y141/100</f>
        <v>#N/A</v>
      </c>
      <c r="AC141" s="95" t="e">
        <f>VLOOKUP(U141,'BASE '!$A$4:$H$144,7,0)*Y141/100</f>
        <v>#N/A</v>
      </c>
      <c r="AD141" s="95" t="e">
        <f>VLOOKUP(U141,'BASE '!$A$4:$H$144,8,0)*Y141/100</f>
        <v>#N/A</v>
      </c>
      <c r="AE141" s="96" t="e">
        <f t="shared" si="42"/>
        <v>#N/A</v>
      </c>
      <c r="DN141" s="116" t="e">
        <f>(($I$5*#REF!)/100)+((#REF!*$J$5)/100)+(($K$5*#REF!)/100)+($L$5*#REF!)+($M$5*#REF!)</f>
        <v>#REF!</v>
      </c>
    </row>
    <row r="142" spans="2:118" x14ac:dyDescent="0.3">
      <c r="B142" s="64"/>
      <c r="C142" s="148"/>
      <c r="D142" s="109"/>
      <c r="E142" s="63"/>
      <c r="F142" s="127"/>
      <c r="G142" s="50"/>
      <c r="H142" s="10"/>
      <c r="I142" s="10"/>
      <c r="J142" s="10"/>
      <c r="K142" s="10"/>
      <c r="L142" s="10"/>
      <c r="M142" s="39"/>
      <c r="N142" s="33">
        <f t="shared" si="37"/>
        <v>0</v>
      </c>
      <c r="O142" s="52" t="b">
        <f>IF(AND(E142="CLIENT S+L",F142="HUILE"),(S142*3333.33+(VLOOKUP(H142,'BASE '!$I$112:$J$142,2,0)))-((S142*3333.33)*G142),IF(AND(E142="CLIENT S+L",F142="LAIT"),((S142*952.4)-(S142*952.4)*G142),IF(E142="CLIENT O","OFFERT",IF(AND(F142="HUILE",E142="CLIENT L"),(((VLOOKUP(H142,'BASE '!$I$112:$J$142,2,0))+(VLOOKUP(S142,'BASE '!#REF!,2,0)))),IF(AND(F142="LAIT",E142="CLIENT L"),(S142*952.4),IF(AND(F142="HUILE",E142="CLIENT D"),(S142*3809.53+(VLOOKUP(H142,'BASE '!$I$112:$J$142,2,0))),IF(AND(F142="LAIT",E142="CLIENT D"),(S142*952.4),IF(AND(F142="HUILE",E142="CLIENT S+D"),((S142*3809.53+(VLOOKUP(H142,'BASE '!$I$112:$J$142,2,0)))-((S142*3809.53)*G142)),IF(AND(F142="LAIT",E142="CLIENT S+D"),((S142*952.4)-((S142*952.4)*G142)),IF(AND(E142="CLIENT S",F142="LAIT"),((S142*952.4)-((S142*952.4)*G142)),IF(AND(F142="HUILE",E142="CLIENT S"),(VLOOKUP(H142,'BASE '!$I$112:$J$142,2,0)+(VLOOKUP(S142,'BASE '!#REF!,2,0)))-(G142*((VLOOKUP(S142,'BASE '!#REF!,2,0)+(VLOOKUP(H142,'BASE '!$I$112:$J$142,2,0))))))))))))))))</f>
        <v>0</v>
      </c>
      <c r="P142" s="52" t="b">
        <f t="shared" si="38"/>
        <v>0</v>
      </c>
      <c r="Q142" s="53" t="b">
        <f t="shared" si="39"/>
        <v>0</v>
      </c>
      <c r="R142" s="152" t="s">
        <v>175</v>
      </c>
      <c r="S142" s="184">
        <f t="shared" si="41"/>
        <v>0</v>
      </c>
      <c r="T142" s="124"/>
      <c r="U142" s="41" t="s">
        <v>175</v>
      </c>
      <c r="V142" s="70" t="e">
        <f>VLOOKUP(U142,'BASE '!$A$4:$H$144,2,0)</f>
        <v>#N/A</v>
      </c>
      <c r="W142" s="159"/>
      <c r="X142" s="159"/>
      <c r="Y142" s="160"/>
      <c r="Z142" s="158" t="e">
        <f>VLOOKUP(U142,'BASE '!$A$4:$H$144,3,0)</f>
        <v>#N/A</v>
      </c>
      <c r="AA142" s="94" t="e">
        <f t="shared" si="40"/>
        <v>#N/A</v>
      </c>
      <c r="AB142" s="95" t="e">
        <f>VLOOKUP(U142,'BASE '!$A$4:$H$144,6,0)*Y142/100</f>
        <v>#N/A</v>
      </c>
      <c r="AC142" s="95" t="e">
        <f>VLOOKUP(U142,'BASE '!$A$4:$H$144,7,0)*Y142/100</f>
        <v>#N/A</v>
      </c>
      <c r="AD142" s="95" t="e">
        <f>VLOOKUP(U142,'BASE '!$A$4:$H$144,8,0)*Y142/100</f>
        <v>#N/A</v>
      </c>
      <c r="AE142" s="96" t="e">
        <f t="shared" si="42"/>
        <v>#N/A</v>
      </c>
      <c r="DN142" s="116" t="e">
        <f>(($I$5*#REF!)/100)+((#REF!*$J$5)/100)+(($K$5*#REF!)/100)+($L$5*#REF!)+($M$5*#REF!)</f>
        <v>#REF!</v>
      </c>
    </row>
    <row r="143" spans="2:118" x14ac:dyDescent="0.3">
      <c r="B143" s="64"/>
      <c r="C143" s="148"/>
      <c r="D143" s="109"/>
      <c r="E143" s="63"/>
      <c r="F143" s="127"/>
      <c r="G143" s="50"/>
      <c r="H143" s="10"/>
      <c r="I143" s="10"/>
      <c r="J143" s="10"/>
      <c r="K143" s="10"/>
      <c r="L143" s="10"/>
      <c r="M143" s="39"/>
      <c r="N143" s="33">
        <f t="shared" si="37"/>
        <v>0</v>
      </c>
      <c r="O143" s="52" t="b">
        <f>IF(AND(E143="CLIENT S+L",F143="HUILE"),(S143*3333.33+(VLOOKUP(H143,'BASE '!$I$112:$J$142,2,0)))-((S143*3333.33)*G143),IF(AND(E143="CLIENT S+L",F143="LAIT"),((S143*952.4)-(S143*952.4)*G143),IF(E143="CLIENT O","OFFERT",IF(AND(F143="HUILE",E143="CLIENT L"),(((VLOOKUP(H143,'BASE '!$I$112:$J$142,2,0))+(VLOOKUP(S143,'BASE '!#REF!,2,0)))),IF(AND(F143="LAIT",E143="CLIENT L"),(S143*952.4),IF(AND(F143="HUILE",E143="CLIENT D"),(S143*3809.53+(VLOOKUP(H143,'BASE '!$I$112:$J$142,2,0))),IF(AND(F143="LAIT",E143="CLIENT D"),(S143*952.4),IF(AND(F143="HUILE",E143="CLIENT S+D"),((S143*3809.53+(VLOOKUP(H143,'BASE '!$I$112:$J$142,2,0)))-((S143*3809.53)*G143)),IF(AND(F143="LAIT",E143="CLIENT S+D"),((S143*952.4)-((S143*952.4)*G143)),IF(AND(E143="CLIENT S",F143="LAIT"),((S143*952.4)-((S143*952.4)*G143)),IF(AND(F143="HUILE",E143="CLIENT S"),(VLOOKUP(H143,'BASE '!$I$112:$J$142,2,0)+(VLOOKUP(S143,'BASE '!#REF!,2,0)))-(G143*((VLOOKUP(S143,'BASE '!#REF!,2,0)+(VLOOKUP(H143,'BASE '!$I$112:$J$142,2,0))))))))))))))))</f>
        <v>0</v>
      </c>
      <c r="P143" s="52" t="b">
        <f t="shared" si="38"/>
        <v>0</v>
      </c>
      <c r="Q143" s="53" t="b">
        <f t="shared" si="39"/>
        <v>0</v>
      </c>
      <c r="R143" s="152" t="s">
        <v>175</v>
      </c>
      <c r="S143" s="184">
        <f t="shared" si="41"/>
        <v>0</v>
      </c>
      <c r="T143" s="124"/>
      <c r="U143" s="41" t="s">
        <v>175</v>
      </c>
      <c r="V143" s="70" t="e">
        <f>VLOOKUP(U143,'BASE '!$A$4:$H$144,2,0)</f>
        <v>#N/A</v>
      </c>
      <c r="W143" s="159"/>
      <c r="X143" s="159"/>
      <c r="Y143" s="160"/>
      <c r="Z143" s="158" t="e">
        <f>VLOOKUP(U143,'BASE '!$A$4:$H$144,3,0)</f>
        <v>#N/A</v>
      </c>
      <c r="AA143" s="94" t="e">
        <f t="shared" si="40"/>
        <v>#N/A</v>
      </c>
      <c r="AB143" s="95" t="e">
        <f>VLOOKUP(U143,'BASE '!$A$4:$H$144,6,0)*Y143/100</f>
        <v>#N/A</v>
      </c>
      <c r="AC143" s="95" t="e">
        <f>VLOOKUP(U143,'BASE '!$A$4:$H$144,7,0)*Y143/100</f>
        <v>#N/A</v>
      </c>
      <c r="AD143" s="95" t="e">
        <f>VLOOKUP(U143,'BASE '!$A$4:$H$144,8,0)*Y143/100</f>
        <v>#N/A</v>
      </c>
      <c r="AE143" s="96" t="e">
        <f t="shared" si="42"/>
        <v>#N/A</v>
      </c>
      <c r="DN143" s="116" t="e">
        <f>(($I$5*#REF!)/100)+((#REF!*$J$5)/100)+(($K$5*#REF!)/100)+($L$5*#REF!)+($M$5*#REF!)</f>
        <v>#REF!</v>
      </c>
    </row>
    <row r="144" spans="2:118" ht="15" thickBot="1" x14ac:dyDescent="0.35">
      <c r="B144" s="64"/>
      <c r="C144" s="148"/>
      <c r="D144" s="109"/>
      <c r="E144" s="63"/>
      <c r="F144" s="127"/>
      <c r="G144" s="50"/>
      <c r="H144" s="10"/>
      <c r="I144" s="10"/>
      <c r="J144" s="10"/>
      <c r="K144" s="10"/>
      <c r="L144" s="10"/>
      <c r="M144" s="39"/>
      <c r="N144" s="33">
        <f t="shared" si="37"/>
        <v>0</v>
      </c>
      <c r="O144" s="52" t="b">
        <f>IF(AND(E144="CLIENT S+L",F144="HUILE"),(S144*3333.33+(VLOOKUP(H144,'BASE '!$I$112:$J$142,2,0)))-((S144*3333.33)*G144),IF(AND(E144="CLIENT S+L",F144="LAIT"),((S144*952.4)-(S144*952.4)*G144),IF(E144="CLIENT O","OFFERT",IF(AND(F144="HUILE",E144="CLIENT L"),(((VLOOKUP(H144,'BASE '!$I$112:$J$142,2,0))+(VLOOKUP(S144,'BASE '!#REF!,2,0)))),IF(AND(F144="LAIT",E144="CLIENT L"),(S144*952.4),IF(AND(F144="HUILE",E144="CLIENT D"),(S144*3809.53+(VLOOKUP(H144,'BASE '!$I$112:$J$142,2,0))),IF(AND(F144="LAIT",E144="CLIENT D"),(S144*952.4),IF(AND(F144="HUILE",E144="CLIENT S+D"),((S144*3809.53+(VLOOKUP(H144,'BASE '!$I$112:$J$142,2,0)))-((S144*3809.53)*G144)),IF(AND(F144="LAIT",E144="CLIENT S+D"),((S144*952.4)-((S144*952.4)*G144)),IF(AND(E144="CLIENT S",F144="LAIT"),((S144*952.4)-((S144*952.4)*G144)),IF(AND(F144="HUILE",E144="CLIENT S"),(VLOOKUP(H144,'BASE '!$I$112:$J$142,2,0)+(VLOOKUP(S144,'BASE '!#REF!,2,0)))-(G144*((VLOOKUP(S144,'BASE '!#REF!,2,0)+(VLOOKUP(H144,'BASE '!$I$112:$J$142,2,0))))))))))))))))</f>
        <v>0</v>
      </c>
      <c r="P144" s="52" t="b">
        <f t="shared" si="38"/>
        <v>0</v>
      </c>
      <c r="Q144" s="53" t="b">
        <f t="shared" si="39"/>
        <v>0</v>
      </c>
      <c r="R144" s="152" t="s">
        <v>175</v>
      </c>
      <c r="S144" s="184">
        <f t="shared" si="41"/>
        <v>0</v>
      </c>
      <c r="T144" s="125"/>
      <c r="U144" s="185" t="s">
        <v>175</v>
      </c>
      <c r="V144" s="97" t="e">
        <f>VLOOKUP(U144,'BASE '!$A$4:$H$144,2,0)</f>
        <v>#N/A</v>
      </c>
      <c r="W144" s="163"/>
      <c r="X144" s="163"/>
      <c r="Y144" s="164"/>
      <c r="Z144" s="98" t="e">
        <f>VLOOKUP(U144,'BASE '!$A$4:$H$144,3,0)</f>
        <v>#N/A</v>
      </c>
      <c r="AA144" s="99" t="e">
        <f t="shared" si="40"/>
        <v>#N/A</v>
      </c>
      <c r="AB144" s="100" t="e">
        <f>VLOOKUP(U144,'BASE '!$A$4:$H$144,6,0)*Y144/100</f>
        <v>#N/A</v>
      </c>
      <c r="AC144" s="100" t="e">
        <f>VLOOKUP(U144,'BASE '!$A$4:$H$144,7,0)*Y144/100</f>
        <v>#N/A</v>
      </c>
      <c r="AD144" s="100" t="e">
        <f>VLOOKUP(U144,'BASE '!$A$4:$H$144,8,0)*Y144/100</f>
        <v>#N/A</v>
      </c>
      <c r="AE144" s="101" t="e">
        <f t="shared" si="42"/>
        <v>#N/A</v>
      </c>
      <c r="DN144" s="116" t="e">
        <f>(($I$5*#REF!)/100)+((#REF!*$J$5)/100)+(($K$5*#REF!)/100)+($L$5*#REF!)+($M$5*#REF!)</f>
        <v>#REF!</v>
      </c>
    </row>
    <row r="145" spans="2:118" ht="15.6" thickTop="1" thickBot="1" x14ac:dyDescent="0.35">
      <c r="B145" s="64"/>
      <c r="C145" s="148"/>
      <c r="D145" s="109"/>
      <c r="E145" s="63"/>
      <c r="F145" s="127"/>
      <c r="G145" s="50"/>
      <c r="H145" s="10"/>
      <c r="I145" s="10"/>
      <c r="J145" s="10"/>
      <c r="K145" s="10"/>
      <c r="L145" s="10"/>
      <c r="M145" s="39"/>
      <c r="N145" s="33">
        <f t="shared" si="37"/>
        <v>0</v>
      </c>
      <c r="O145" s="52" t="b">
        <f>IF(AND(E145="CLIENT S+L",F145="HUILE"),(S145*3333.33+(VLOOKUP(H145,'BASE '!$I$112:$J$142,2,0)))-((S145*3333.33)*G145),IF(AND(E145="CLIENT S+L",F145="LAIT"),((S145*952.4)-(S145*952.4)*G145),IF(E145="CLIENT O","OFFERT",IF(AND(F145="HUILE",E145="CLIENT L"),(((VLOOKUP(H145,'BASE '!$I$112:$J$142,2,0))+(VLOOKUP(S145,'BASE '!#REF!,2,0)))),IF(AND(F145="LAIT",E145="CLIENT L"),(S145*952.4),IF(AND(F145="HUILE",E145="CLIENT D"),(S145*3809.53+(VLOOKUP(H145,'BASE '!$I$112:$J$142,2,0))),IF(AND(F145="LAIT",E145="CLIENT D"),(S145*952.4),IF(AND(F145="HUILE",E145="CLIENT S+D"),((S145*3809.53+(VLOOKUP(H145,'BASE '!$I$112:$J$142,2,0)))-((S145*3809.53)*G145)),IF(AND(F145="LAIT",E145="CLIENT S+D"),((S145*952.4)-((S145*952.4)*G145)),IF(AND(E145="CLIENT S",F145="LAIT"),((S145*952.4)-((S145*952.4)*G145)),IF(AND(F145="HUILE",E145="CLIENT S"),(VLOOKUP(H145,'BASE '!$I$112:$J$142,2,0)+(VLOOKUP(S145,'BASE '!#REF!,2,0)))-(G145*((VLOOKUP(S145,'BASE '!#REF!,2,0)+(VLOOKUP(H145,'BASE '!$I$112:$J$142,2,0))))))))))))))))</f>
        <v>0</v>
      </c>
      <c r="P145" s="52" t="b">
        <f t="shared" si="38"/>
        <v>0</v>
      </c>
      <c r="Q145" s="53" t="b">
        <f t="shared" si="39"/>
        <v>0</v>
      </c>
      <c r="R145" s="152" t="s">
        <v>175</v>
      </c>
      <c r="S145" s="184">
        <f t="shared" si="41"/>
        <v>0</v>
      </c>
      <c r="T145" s="412" t="s">
        <v>48</v>
      </c>
      <c r="U145" s="413"/>
      <c r="V145" s="413"/>
      <c r="W145" s="413"/>
      <c r="X145" s="413"/>
      <c r="Y145" s="414">
        <f>SUMIF(Y6:Y144,"&lt;&gt;#N/A")</f>
        <v>0</v>
      </c>
      <c r="Z145" s="414"/>
      <c r="AA145" s="414"/>
      <c r="AB145" s="414"/>
      <c r="AC145" s="414"/>
      <c r="AD145" s="414"/>
      <c r="AE145" s="414"/>
      <c r="DN145" s="116" t="e">
        <f>(($I$5*#REF!)/100)+((#REF!*$J$5)/100)+(($K$5*#REF!)/100)+($L$5*#REF!)+($M$5*#REF!)</f>
        <v>#REF!</v>
      </c>
    </row>
    <row r="146" spans="2:118" ht="15" thickBot="1" x14ac:dyDescent="0.35">
      <c r="B146" s="64"/>
      <c r="C146" s="148"/>
      <c r="D146" s="109"/>
      <c r="E146" s="63"/>
      <c r="F146" s="127"/>
      <c r="G146" s="50"/>
      <c r="H146" s="10"/>
      <c r="I146" s="10"/>
      <c r="J146" s="10"/>
      <c r="K146" s="10"/>
      <c r="L146" s="10"/>
      <c r="M146" s="39"/>
      <c r="N146" s="33">
        <f t="shared" si="37"/>
        <v>0</v>
      </c>
      <c r="O146" s="52" t="b">
        <f>IF(AND(E146="CLIENT S+L",F146="HUILE"),(S146*3333.33+(VLOOKUP(H146,'BASE '!$I$112:$J$142,2,0)))-((S146*3333.33)*G146),IF(AND(E146="CLIENT S+L",F146="LAIT"),((S146*952.4)-(S146*952.4)*G146),IF(E146="CLIENT O","OFFERT",IF(AND(F146="HUILE",E146="CLIENT L"),(((VLOOKUP(H146,'BASE '!$I$112:$J$142,2,0))+(VLOOKUP(S146,'BASE '!#REF!,2,0)))),IF(AND(F146="LAIT",E146="CLIENT L"),(S146*952.4),IF(AND(F146="HUILE",E146="CLIENT D"),(S146*3809.53+(VLOOKUP(H146,'BASE '!$I$112:$J$142,2,0))),IF(AND(F146="LAIT",E146="CLIENT D"),(S146*952.4),IF(AND(F146="HUILE",E146="CLIENT S+D"),((S146*3809.53+(VLOOKUP(H146,'BASE '!$I$112:$J$142,2,0)))-((S146*3809.53)*G146)),IF(AND(F146="LAIT",E146="CLIENT S+D"),((S146*952.4)-((S146*952.4)*G146)),IF(AND(E146="CLIENT S",F146="LAIT"),((S146*952.4)-((S146*952.4)*G146)),IF(AND(F146="HUILE",E146="CLIENT S"),(VLOOKUP(H146,'BASE '!$I$112:$J$142,2,0)+(VLOOKUP(S146,'BASE '!#REF!,2,0)))-(G146*((VLOOKUP(S146,'BASE '!#REF!,2,0)+(VLOOKUP(H146,'BASE '!$I$112:$J$142,2,0))))))))))))))))</f>
        <v>0</v>
      </c>
      <c r="P146" s="52" t="b">
        <f t="shared" si="38"/>
        <v>0</v>
      </c>
      <c r="Q146" s="53" t="b">
        <f t="shared" si="39"/>
        <v>0</v>
      </c>
      <c r="R146" s="152" t="s">
        <v>175</v>
      </c>
      <c r="S146" s="184">
        <f t="shared" si="41"/>
        <v>0</v>
      </c>
      <c r="T146" s="406" t="s">
        <v>43</v>
      </c>
      <c r="U146" s="407"/>
      <c r="V146" s="407"/>
      <c r="W146" s="407"/>
      <c r="X146" s="407"/>
      <c r="Y146" s="407"/>
      <c r="Z146" s="407"/>
      <c r="AA146" s="416">
        <f>SUMIF(AA6:AA144,"&lt;&gt;#N/A")</f>
        <v>0</v>
      </c>
      <c r="AB146" s="416"/>
      <c r="AC146" s="416"/>
      <c r="AD146" s="416"/>
      <c r="AE146" s="416"/>
      <c r="DN146" s="116" t="e">
        <f>(($I$5*#REF!)/100)+((#REF!*$J$5)/100)+(($K$5*#REF!)/100)+($L$5*#REF!)+($M$5*#REF!)</f>
        <v>#REF!</v>
      </c>
    </row>
    <row r="147" spans="2:118" ht="15" thickBot="1" x14ac:dyDescent="0.35">
      <c r="B147" s="64"/>
      <c r="C147" s="148"/>
      <c r="D147" s="109"/>
      <c r="E147" s="63"/>
      <c r="F147" s="127"/>
      <c r="G147" s="50"/>
      <c r="H147" s="10"/>
      <c r="I147" s="10"/>
      <c r="J147" s="10"/>
      <c r="K147" s="10"/>
      <c r="L147" s="10"/>
      <c r="M147" s="39"/>
      <c r="N147" s="33">
        <f t="shared" si="37"/>
        <v>0</v>
      </c>
      <c r="O147" s="52" t="b">
        <f>IF(AND(E147="CLIENT S+L",F147="HUILE"),(S147*3333.33+(VLOOKUP(H147,'BASE '!$I$112:$J$142,2,0)))-((S147*3333.33)*G147),IF(AND(E147="CLIENT S+L",F147="LAIT"),((S147*952.4)-(S147*952.4)*G147),IF(E147="CLIENT O","OFFERT",IF(AND(F147="HUILE",E147="CLIENT L"),(((VLOOKUP(H147,'BASE '!$I$112:$J$142,2,0))+(VLOOKUP(S147,'BASE '!#REF!,2,0)))),IF(AND(F147="LAIT",E147="CLIENT L"),(S147*952.4),IF(AND(F147="HUILE",E147="CLIENT D"),(S147*3809.53+(VLOOKUP(H147,'BASE '!$I$112:$J$142,2,0))),IF(AND(F147="LAIT",E147="CLIENT D"),(S147*952.4),IF(AND(F147="HUILE",E147="CLIENT S+D"),((S147*3809.53+(VLOOKUP(H147,'BASE '!$I$112:$J$142,2,0)))-((S147*3809.53)*G147)),IF(AND(F147="LAIT",E147="CLIENT S+D"),((S147*952.4)-((S147*952.4)*G147)),IF(AND(E147="CLIENT S",F147="LAIT"),((S147*952.4)-((S147*952.4)*G147)),IF(AND(F147="HUILE",E147="CLIENT S"),(VLOOKUP(H147,'BASE '!$I$112:$J$142,2,0)+(VLOOKUP(S147,'BASE '!#REF!,2,0)))-(G147*((VLOOKUP(S147,'BASE '!#REF!,2,0)+(VLOOKUP(H147,'BASE '!$I$112:$J$142,2,0))))))))))))))))</f>
        <v>0</v>
      </c>
      <c r="P147" s="52" t="b">
        <f t="shared" si="38"/>
        <v>0</v>
      </c>
      <c r="Q147" s="53" t="b">
        <f t="shared" si="39"/>
        <v>0</v>
      </c>
      <c r="R147" s="152" t="s">
        <v>175</v>
      </c>
      <c r="S147" s="184">
        <f t="shared" si="41"/>
        <v>0</v>
      </c>
      <c r="T147" s="406" t="s">
        <v>47</v>
      </c>
      <c r="U147" s="407"/>
      <c r="V147" s="407"/>
      <c r="W147" s="407"/>
      <c r="X147" s="407"/>
      <c r="Y147" s="407"/>
      <c r="Z147" s="407"/>
      <c r="AA147" s="408">
        <f>SUMIF(AB6:AB144,"&lt;&gt;#N/A")</f>
        <v>0</v>
      </c>
      <c r="AB147" s="408"/>
      <c r="AC147" s="408"/>
      <c r="AD147" s="408"/>
      <c r="AE147" s="408"/>
      <c r="DN147" s="68"/>
    </row>
    <row r="148" spans="2:118" ht="15" thickBot="1" x14ac:dyDescent="0.35">
      <c r="B148" s="64"/>
      <c r="C148" s="148"/>
      <c r="D148" s="109"/>
      <c r="E148" s="63"/>
      <c r="F148" s="127"/>
      <c r="G148" s="50"/>
      <c r="H148" s="10"/>
      <c r="I148" s="10"/>
      <c r="J148" s="10"/>
      <c r="K148" s="10"/>
      <c r="L148" s="10"/>
      <c r="M148" s="39"/>
      <c r="N148" s="33">
        <f t="shared" si="37"/>
        <v>0</v>
      </c>
      <c r="O148" s="52" t="b">
        <f>IF(AND(E148="CLIENT S+L",F148="HUILE"),(S148*3333.33+(VLOOKUP(H148,'BASE '!$I$112:$J$142,2,0)))-((S148*3333.33)*G148),IF(AND(E148="CLIENT S+L",F148="LAIT"),((S148*952.4)-(S148*952.4)*G148),IF(E148="CLIENT O","OFFERT",IF(AND(F148="HUILE",E148="CLIENT L"),(((VLOOKUP(H148,'BASE '!$I$112:$J$142,2,0))+(VLOOKUP(S148,'BASE '!#REF!,2,0)))),IF(AND(F148="LAIT",E148="CLIENT L"),(S148*952.4),IF(AND(F148="HUILE",E148="CLIENT D"),(S148*3809.53+(VLOOKUP(H148,'BASE '!$I$112:$J$142,2,0))),IF(AND(F148="LAIT",E148="CLIENT D"),(S148*952.4),IF(AND(F148="HUILE",E148="CLIENT S+D"),((S148*3809.53+(VLOOKUP(H148,'BASE '!$I$112:$J$142,2,0)))-((S148*3809.53)*G148)),IF(AND(F148="LAIT",E148="CLIENT S+D"),((S148*952.4)-((S148*952.4)*G148)),IF(AND(E148="CLIENT S",F148="LAIT"),((S148*952.4)-((S148*952.4)*G148)),IF(AND(F148="HUILE",E148="CLIENT S"),(VLOOKUP(H148,'BASE '!$I$112:$J$142,2,0)+(VLOOKUP(S148,'BASE '!#REF!,2,0)))-(G148*((VLOOKUP(S148,'BASE '!#REF!,2,0)+(VLOOKUP(H148,'BASE '!$I$112:$J$142,2,0))))))))))))))))</f>
        <v>0</v>
      </c>
      <c r="P148" s="52" t="b">
        <f t="shared" si="38"/>
        <v>0</v>
      </c>
      <c r="Q148" s="53" t="b">
        <f t="shared" si="39"/>
        <v>0</v>
      </c>
      <c r="R148" s="152" t="s">
        <v>175</v>
      </c>
      <c r="S148" s="184">
        <f t="shared" si="41"/>
        <v>0</v>
      </c>
      <c r="T148" s="406" t="s">
        <v>46</v>
      </c>
      <c r="U148" s="407"/>
      <c r="V148" s="407"/>
      <c r="W148" s="407"/>
      <c r="X148" s="407"/>
      <c r="Y148" s="407"/>
      <c r="Z148" s="407"/>
      <c r="AA148" s="407"/>
      <c r="AB148" s="415">
        <f>SUMIF(AC6:AC144,"&lt;&gt;#N/A")</f>
        <v>0</v>
      </c>
      <c r="AC148" s="415"/>
      <c r="AD148" s="415"/>
      <c r="AE148" s="415"/>
      <c r="DN148" s="68"/>
    </row>
    <row r="149" spans="2:118" ht="15" thickBot="1" x14ac:dyDescent="0.35">
      <c r="B149" s="64"/>
      <c r="C149" s="148"/>
      <c r="D149" s="109"/>
      <c r="E149" s="63"/>
      <c r="F149" s="127"/>
      <c r="G149" s="50"/>
      <c r="H149" s="10"/>
      <c r="I149" s="10"/>
      <c r="J149" s="10"/>
      <c r="K149" s="10"/>
      <c r="L149" s="10"/>
      <c r="M149" s="39"/>
      <c r="N149" s="33">
        <f t="shared" si="37"/>
        <v>0</v>
      </c>
      <c r="O149" s="52" t="b">
        <f>IF(AND(E149="CLIENT S+L",F149="HUILE"),(S149*3333.33+(VLOOKUP(H149,'BASE '!$I$112:$J$142,2,0)))-((S149*3333.33)*G149),IF(AND(E149="CLIENT S+L",F149="LAIT"),((S149*952.4)-(S149*952.4)*G149),IF(E149="CLIENT O","OFFERT",IF(AND(F149="HUILE",E149="CLIENT L"),(((VLOOKUP(H149,'BASE '!$I$112:$J$142,2,0))+(VLOOKUP(S149,'BASE '!#REF!,2,0)))),IF(AND(F149="LAIT",E149="CLIENT L"),(S149*952.4),IF(AND(F149="HUILE",E149="CLIENT D"),(S149*3809.53+(VLOOKUP(H149,'BASE '!$I$112:$J$142,2,0))),IF(AND(F149="LAIT",E149="CLIENT D"),(S149*952.4),IF(AND(F149="HUILE",E149="CLIENT S+D"),((S149*3809.53+(VLOOKUP(H149,'BASE '!$I$112:$J$142,2,0)))-((S149*3809.53)*G149)),IF(AND(F149="LAIT",E149="CLIENT S+D"),((S149*952.4)-((S149*952.4)*G149)),IF(AND(E149="CLIENT S",F149="LAIT"),((S149*952.4)-((S149*952.4)*G149)),IF(AND(F149="HUILE",E149="CLIENT S"),(VLOOKUP(H149,'BASE '!$I$112:$J$142,2,0)+(VLOOKUP(S149,'BASE '!#REF!,2,0)))-(G149*((VLOOKUP(S149,'BASE '!#REF!,2,0)+(VLOOKUP(H149,'BASE '!$I$112:$J$142,2,0))))))))))))))))</f>
        <v>0</v>
      </c>
      <c r="P149" s="52" t="b">
        <f t="shared" si="38"/>
        <v>0</v>
      </c>
      <c r="Q149" s="53" t="b">
        <f t="shared" si="39"/>
        <v>0</v>
      </c>
      <c r="R149" s="152" t="s">
        <v>175</v>
      </c>
      <c r="S149" s="184">
        <f t="shared" si="41"/>
        <v>0</v>
      </c>
      <c r="T149" s="406" t="s">
        <v>45</v>
      </c>
      <c r="U149" s="407"/>
      <c r="V149" s="407"/>
      <c r="W149" s="407"/>
      <c r="X149" s="407"/>
      <c r="Y149" s="407"/>
      <c r="Z149" s="407"/>
      <c r="AA149" s="407"/>
      <c r="AB149" s="407"/>
      <c r="AC149" s="415">
        <f>SUMIF(AD6:AD144,"&lt;&gt;#N/A")</f>
        <v>0</v>
      </c>
      <c r="AD149" s="415"/>
      <c r="AE149" s="415"/>
      <c r="DN149" s="66"/>
    </row>
    <row r="150" spans="2:118" ht="15" thickBot="1" x14ac:dyDescent="0.35">
      <c r="B150" s="64"/>
      <c r="C150" s="148"/>
      <c r="D150" s="109"/>
      <c r="E150" s="63"/>
      <c r="F150" s="127"/>
      <c r="G150" s="50"/>
      <c r="H150" s="10"/>
      <c r="I150" s="10"/>
      <c r="J150" s="10"/>
      <c r="K150" s="10"/>
      <c r="L150" s="10"/>
      <c r="M150" s="39"/>
      <c r="N150" s="33">
        <f t="shared" si="37"/>
        <v>0</v>
      </c>
      <c r="O150" s="52" t="b">
        <f>IF(AND(E150="CLIENT S+L",F150="HUILE"),(S150*3333.33+(VLOOKUP(H150,'BASE '!$I$112:$J$142,2,0)))-((S150*3333.33)*G150),IF(AND(E150="CLIENT S+L",F150="LAIT"),((S150*952.4)-(S150*952.4)*G150),IF(E150="CLIENT O","OFFERT",IF(AND(F150="HUILE",E150="CLIENT L"),(((VLOOKUP(H150,'BASE '!$I$112:$J$142,2,0))+(VLOOKUP(S150,'BASE '!#REF!,2,0)))),IF(AND(F150="LAIT",E150="CLIENT L"),(S150*952.4),IF(AND(F150="HUILE",E150="CLIENT D"),(S150*3809.53+(VLOOKUP(H150,'BASE '!$I$112:$J$142,2,0))),IF(AND(F150="LAIT",E150="CLIENT D"),(S150*952.4),IF(AND(F150="HUILE",E150="CLIENT S+D"),((S150*3809.53+(VLOOKUP(H150,'BASE '!$I$112:$J$142,2,0)))-((S150*3809.53)*G150)),IF(AND(F150="LAIT",E150="CLIENT S+D"),((S150*952.4)-((S150*952.4)*G150)),IF(AND(E150="CLIENT S",F150="LAIT"),((S150*952.4)-((S150*952.4)*G150)),IF(AND(F150="HUILE",E150="CLIENT S"),(VLOOKUP(H150,'BASE '!$I$112:$J$142,2,0)+(VLOOKUP(S150,'BASE '!#REF!,2,0)))-(G150*((VLOOKUP(S150,'BASE '!#REF!,2,0)+(VLOOKUP(H150,'BASE '!$I$112:$J$142,2,0))))))))))))))))</f>
        <v>0</v>
      </c>
      <c r="P150" s="52" t="b">
        <f t="shared" si="38"/>
        <v>0</v>
      </c>
      <c r="Q150" s="53" t="b">
        <f t="shared" si="39"/>
        <v>0</v>
      </c>
      <c r="R150" s="152" t="s">
        <v>175</v>
      </c>
      <c r="S150" s="184">
        <f t="shared" si="41"/>
        <v>0</v>
      </c>
      <c r="T150" s="406" t="s">
        <v>44</v>
      </c>
      <c r="U150" s="407"/>
      <c r="V150" s="407"/>
      <c r="W150" s="407"/>
      <c r="X150" s="407"/>
      <c r="Y150" s="407"/>
      <c r="Z150" s="407"/>
      <c r="AA150" s="407"/>
      <c r="AB150" s="407"/>
      <c r="AC150" s="407"/>
      <c r="AD150" s="408">
        <f>SUMIF(AE6:AE144,"&lt;&gt;#N/A")</f>
        <v>0</v>
      </c>
      <c r="AE150" s="408"/>
      <c r="DN150" s="66"/>
    </row>
    <row r="151" spans="2:118" x14ac:dyDescent="0.3">
      <c r="B151" s="64"/>
      <c r="C151" s="148"/>
      <c r="D151" s="109"/>
      <c r="E151" s="63"/>
      <c r="F151" s="127"/>
      <c r="G151" s="50"/>
      <c r="H151" s="10"/>
      <c r="I151" s="10"/>
      <c r="J151" s="10"/>
      <c r="K151" s="10"/>
      <c r="L151" s="10"/>
      <c r="M151" s="39"/>
      <c r="N151" s="33">
        <f t="shared" si="37"/>
        <v>0</v>
      </c>
      <c r="O151" s="52" t="b">
        <f>IF(AND(E151="CLIENT S+L",F151="HUILE"),(S151*3333.33+(VLOOKUP(H151,'BASE '!$I$112:$J$142,2,0)))-((S151*3333.33)*G151),IF(AND(E151="CLIENT S+L",F151="LAIT"),((S151*952.4)-(S151*952.4)*G151),IF(E151="CLIENT O","OFFERT",IF(AND(F151="HUILE",E151="CLIENT L"),(((VLOOKUP(H151,'BASE '!$I$112:$J$142,2,0))+(VLOOKUP(S151,'BASE '!#REF!,2,0)))),IF(AND(F151="LAIT",E151="CLIENT L"),(S151*952.4),IF(AND(F151="HUILE",E151="CLIENT D"),(S151*3809.53+(VLOOKUP(H151,'BASE '!$I$112:$J$142,2,0))),IF(AND(F151="LAIT",E151="CLIENT D"),(S151*952.4),IF(AND(F151="HUILE",E151="CLIENT S+D"),((S151*3809.53+(VLOOKUP(H151,'BASE '!$I$112:$J$142,2,0)))-((S151*3809.53)*G151)),IF(AND(F151="LAIT",E151="CLIENT S+D"),((S151*952.4)-((S151*952.4)*G151)),IF(AND(E151="CLIENT S",F151="LAIT"),((S151*952.4)-((S151*952.4)*G151)),IF(AND(F151="HUILE",E151="CLIENT S"),(VLOOKUP(H151,'BASE '!$I$112:$J$142,2,0)+(VLOOKUP(S151,'BASE '!#REF!,2,0)))-(G151*((VLOOKUP(S151,'BASE '!#REF!,2,0)+(VLOOKUP(H151,'BASE '!$I$112:$J$142,2,0))))))))))))))))</f>
        <v>0</v>
      </c>
      <c r="P151" s="52" t="b">
        <f t="shared" si="38"/>
        <v>0</v>
      </c>
      <c r="Q151" s="53" t="b">
        <f t="shared" si="39"/>
        <v>0</v>
      </c>
      <c r="R151" s="152" t="s">
        <v>175</v>
      </c>
      <c r="S151" s="184">
        <f t="shared" si="41"/>
        <v>0</v>
      </c>
      <c r="DN151" s="66"/>
    </row>
    <row r="152" spans="2:118" x14ac:dyDescent="0.3">
      <c r="B152" s="64"/>
      <c r="C152" s="148"/>
      <c r="D152" s="109"/>
      <c r="E152" s="63"/>
      <c r="F152" s="127"/>
      <c r="G152" s="50"/>
      <c r="H152" s="10"/>
      <c r="I152" s="10"/>
      <c r="J152" s="10"/>
      <c r="K152" s="10"/>
      <c r="L152" s="10"/>
      <c r="M152" s="39"/>
      <c r="N152" s="33">
        <f t="shared" si="37"/>
        <v>0</v>
      </c>
      <c r="O152" s="52" t="b">
        <f>IF(AND(E152="CLIENT S+L",F152="HUILE"),(S152*3333.33+(VLOOKUP(H152,'BASE '!$I$112:$J$142,2,0)))-((S152*3333.33)*G152),IF(AND(E152="CLIENT S+L",F152="LAIT"),((S152*952.4)-(S152*952.4)*G152),IF(E152="CLIENT O","OFFERT",IF(AND(F152="HUILE",E152="CLIENT L"),(((VLOOKUP(H152,'BASE '!$I$112:$J$142,2,0))+(VLOOKUP(S152,'BASE '!#REF!,2,0)))),IF(AND(F152="LAIT",E152="CLIENT L"),(S152*952.4),IF(AND(F152="HUILE",E152="CLIENT D"),(S152*3809.53+(VLOOKUP(H152,'BASE '!$I$112:$J$142,2,0))),IF(AND(F152="LAIT",E152="CLIENT D"),(S152*952.4),IF(AND(F152="HUILE",E152="CLIENT S+D"),((S152*3809.53+(VLOOKUP(H152,'BASE '!$I$112:$J$142,2,0)))-((S152*3809.53)*G152)),IF(AND(F152="LAIT",E152="CLIENT S+D"),((S152*952.4)-((S152*952.4)*G152)),IF(AND(E152="CLIENT S",F152="LAIT"),((S152*952.4)-((S152*952.4)*G152)),IF(AND(F152="HUILE",E152="CLIENT S"),(VLOOKUP(H152,'BASE '!$I$112:$J$142,2,0)+(VLOOKUP(S152,'BASE '!#REF!,2,0)))-(G152*((VLOOKUP(S152,'BASE '!#REF!,2,0)+(VLOOKUP(H152,'BASE '!$I$112:$J$142,2,0))))))))))))))))</f>
        <v>0</v>
      </c>
      <c r="P152" s="52" t="b">
        <f t="shared" si="38"/>
        <v>0</v>
      </c>
      <c r="Q152" s="53" t="b">
        <f t="shared" si="39"/>
        <v>0</v>
      </c>
      <c r="R152" s="152" t="s">
        <v>175</v>
      </c>
      <c r="S152" s="184">
        <f t="shared" si="41"/>
        <v>0</v>
      </c>
      <c r="DN152" s="66"/>
    </row>
    <row r="153" spans="2:118" x14ac:dyDescent="0.3">
      <c r="B153" s="64"/>
      <c r="C153" s="148"/>
      <c r="D153" s="109"/>
      <c r="E153" s="63"/>
      <c r="F153" s="127"/>
      <c r="G153" s="50"/>
      <c r="H153" s="10"/>
      <c r="I153" s="10"/>
      <c r="J153" s="10"/>
      <c r="K153" s="10"/>
      <c r="L153" s="10"/>
      <c r="M153" s="39"/>
      <c r="N153" s="33">
        <f t="shared" si="37"/>
        <v>0</v>
      </c>
      <c r="O153" s="52" t="b">
        <f>IF(AND(E153="CLIENT S+L",F153="HUILE"),(S153*3333.33+(VLOOKUP(H153,'BASE '!$I$112:$J$142,2,0)))-((S153*3333.33)*G153),IF(AND(E153="CLIENT S+L",F153="LAIT"),((S153*952.4)-(S153*952.4)*G153),IF(E153="CLIENT O","OFFERT",IF(AND(F153="HUILE",E153="CLIENT L"),(((VLOOKUP(H153,'BASE '!$I$112:$J$142,2,0))+(VLOOKUP(S153,'BASE '!#REF!,2,0)))),IF(AND(F153="LAIT",E153="CLIENT L"),(S153*952.4),IF(AND(F153="HUILE",E153="CLIENT D"),(S153*3809.53+(VLOOKUP(H153,'BASE '!$I$112:$J$142,2,0))),IF(AND(F153="LAIT",E153="CLIENT D"),(S153*952.4),IF(AND(F153="HUILE",E153="CLIENT S+D"),((S153*3809.53+(VLOOKUP(H153,'BASE '!$I$112:$J$142,2,0)))-((S153*3809.53)*G153)),IF(AND(F153="LAIT",E153="CLIENT S+D"),((S153*952.4)-((S153*952.4)*G153)),IF(AND(E153="CLIENT S",F153="LAIT"),((S153*952.4)-((S153*952.4)*G153)),IF(AND(F153="HUILE",E153="CLIENT S"),(VLOOKUP(H153,'BASE '!$I$112:$J$142,2,0)+(VLOOKUP(S153,'BASE '!#REF!,2,0)))-(G153*((VLOOKUP(S153,'BASE '!#REF!,2,0)+(VLOOKUP(H153,'BASE '!$I$112:$J$142,2,0))))))))))))))))</f>
        <v>0</v>
      </c>
      <c r="P153" s="52" t="b">
        <f t="shared" si="38"/>
        <v>0</v>
      </c>
      <c r="Q153" s="53" t="b">
        <f t="shared" si="39"/>
        <v>0</v>
      </c>
      <c r="R153" s="152" t="s">
        <v>175</v>
      </c>
      <c r="S153" s="184">
        <f t="shared" si="41"/>
        <v>0</v>
      </c>
      <c r="DN153" s="67"/>
    </row>
    <row r="154" spans="2:118" x14ac:dyDescent="0.3">
      <c r="B154" s="64"/>
      <c r="C154" s="148"/>
      <c r="D154" s="109"/>
      <c r="E154" s="63"/>
      <c r="F154" s="127"/>
      <c r="G154" s="50"/>
      <c r="H154" s="10"/>
      <c r="I154" s="10"/>
      <c r="J154" s="10"/>
      <c r="K154" s="10"/>
      <c r="L154" s="10"/>
      <c r="M154" s="39"/>
      <c r="N154" s="33">
        <f t="shared" si="37"/>
        <v>0</v>
      </c>
      <c r="O154" s="52" t="b">
        <f>IF(AND(E154="CLIENT S+L",F154="HUILE"),(S154*3333.33+(VLOOKUP(H154,'BASE '!$I$112:$J$142,2,0)))-((S154*3333.33)*G154),IF(AND(E154="CLIENT S+L",F154="LAIT"),((S154*952.4)-(S154*952.4)*G154),IF(E154="CLIENT O","OFFERT",IF(AND(F154="HUILE",E154="CLIENT L"),(((VLOOKUP(H154,'BASE '!$I$112:$J$142,2,0))+(VLOOKUP(S154,'BASE '!#REF!,2,0)))),IF(AND(F154="LAIT",E154="CLIENT L"),(S154*952.4),IF(AND(F154="HUILE",E154="CLIENT D"),(S154*3809.53+(VLOOKUP(H154,'BASE '!$I$112:$J$142,2,0))),IF(AND(F154="LAIT",E154="CLIENT D"),(S154*952.4),IF(AND(F154="HUILE",E154="CLIENT S+D"),((S154*3809.53+(VLOOKUP(H154,'BASE '!$I$112:$J$142,2,0)))-((S154*3809.53)*G154)),IF(AND(F154="LAIT",E154="CLIENT S+D"),((S154*952.4)-((S154*952.4)*G154)),IF(AND(E154="CLIENT S",F154="LAIT"),((S154*952.4)-((S154*952.4)*G154)),IF(AND(F154="HUILE",E154="CLIENT S"),(VLOOKUP(H154,'BASE '!$I$112:$J$142,2,0)+(VLOOKUP(S154,'BASE '!#REF!,2,0)))-(G154*((VLOOKUP(S154,'BASE '!#REF!,2,0)+(VLOOKUP(H154,'BASE '!$I$112:$J$142,2,0))))))))))))))))</f>
        <v>0</v>
      </c>
      <c r="P154" s="52" t="b">
        <f t="shared" si="38"/>
        <v>0</v>
      </c>
      <c r="Q154" s="53" t="b">
        <f t="shared" si="39"/>
        <v>0</v>
      </c>
      <c r="R154" s="152" t="s">
        <v>175</v>
      </c>
      <c r="S154" s="184">
        <f t="shared" si="41"/>
        <v>0</v>
      </c>
      <c r="DN154" s="67"/>
    </row>
    <row r="155" spans="2:118" x14ac:dyDescent="0.3">
      <c r="B155" s="64"/>
      <c r="C155" s="148"/>
      <c r="D155" s="109"/>
      <c r="E155" s="63"/>
      <c r="F155" s="127"/>
      <c r="G155" s="50"/>
      <c r="H155" s="10"/>
      <c r="I155" s="10"/>
      <c r="J155" s="10"/>
      <c r="K155" s="10"/>
      <c r="L155" s="10"/>
      <c r="M155" s="39"/>
      <c r="N155" s="33">
        <f t="shared" si="37"/>
        <v>0</v>
      </c>
      <c r="O155" s="52" t="b">
        <f>IF(AND(E155="CLIENT S+L",F155="HUILE"),(S155*3333.33+(VLOOKUP(H155,'BASE '!$I$112:$J$142,2,0)))-((S155*3333.33)*G155),IF(AND(E155="CLIENT S+L",F155="LAIT"),((S155*952.4)-(S155*952.4)*G155),IF(E155="CLIENT O","OFFERT",IF(AND(F155="HUILE",E155="CLIENT L"),(((VLOOKUP(H155,'BASE '!$I$112:$J$142,2,0))+(VLOOKUP(S155,'BASE '!#REF!,2,0)))),IF(AND(F155="LAIT",E155="CLIENT L"),(S155*952.4),IF(AND(F155="HUILE",E155="CLIENT D"),(S155*3809.53+(VLOOKUP(H155,'BASE '!$I$112:$J$142,2,0))),IF(AND(F155="LAIT",E155="CLIENT D"),(S155*952.4),IF(AND(F155="HUILE",E155="CLIENT S+D"),((S155*3809.53+(VLOOKUP(H155,'BASE '!$I$112:$J$142,2,0)))-((S155*3809.53)*G155)),IF(AND(F155="LAIT",E155="CLIENT S+D"),((S155*952.4)-((S155*952.4)*G155)),IF(AND(E155="CLIENT S",F155="LAIT"),((S155*952.4)-((S155*952.4)*G155)),IF(AND(F155="HUILE",E155="CLIENT S"),(VLOOKUP(H155,'BASE '!$I$112:$J$142,2,0)+(VLOOKUP(S155,'BASE '!#REF!,2,0)))-(G155*((VLOOKUP(S155,'BASE '!#REF!,2,0)+(VLOOKUP(H155,'BASE '!$I$112:$J$142,2,0))))))))))))))))</f>
        <v>0</v>
      </c>
      <c r="P155" s="52" t="b">
        <f t="shared" si="38"/>
        <v>0</v>
      </c>
      <c r="Q155" s="53" t="b">
        <f t="shared" si="39"/>
        <v>0</v>
      </c>
      <c r="R155" s="152" t="s">
        <v>175</v>
      </c>
      <c r="S155" s="184">
        <f t="shared" si="41"/>
        <v>0</v>
      </c>
    </row>
    <row r="156" spans="2:118" x14ac:dyDescent="0.3">
      <c r="B156" s="64"/>
      <c r="C156" s="148"/>
      <c r="D156" s="109"/>
      <c r="E156" s="63"/>
      <c r="F156" s="127"/>
      <c r="G156" s="50"/>
      <c r="H156" s="10"/>
      <c r="I156" s="10"/>
      <c r="J156" s="10"/>
      <c r="K156" s="10"/>
      <c r="L156" s="10"/>
      <c r="M156" s="39"/>
      <c r="N156" s="33">
        <f t="shared" si="37"/>
        <v>0</v>
      </c>
      <c r="O156" s="52" t="b">
        <f>IF(AND(E156="CLIENT S+L",F156="HUILE"),(S156*3333.33+(VLOOKUP(H156,'BASE '!$I$112:$J$142,2,0)))-((S156*3333.33)*G156),IF(AND(E156="CLIENT S+L",F156="LAIT"),((S156*952.4)-(S156*952.4)*G156),IF(E156="CLIENT O","OFFERT",IF(AND(F156="HUILE",E156="CLIENT L"),(((VLOOKUP(H156,'BASE '!$I$112:$J$142,2,0))+(VLOOKUP(S156,'BASE '!#REF!,2,0)))),IF(AND(F156="LAIT",E156="CLIENT L"),(S156*952.4),IF(AND(F156="HUILE",E156="CLIENT D"),(S156*3809.53+(VLOOKUP(H156,'BASE '!$I$112:$J$142,2,0))),IF(AND(F156="LAIT",E156="CLIENT D"),(S156*952.4),IF(AND(F156="HUILE",E156="CLIENT S+D"),((S156*3809.53+(VLOOKUP(H156,'BASE '!$I$112:$J$142,2,0)))-((S156*3809.53)*G156)),IF(AND(F156="LAIT",E156="CLIENT S+D"),((S156*952.4)-((S156*952.4)*G156)),IF(AND(E156="CLIENT S",F156="LAIT"),((S156*952.4)-((S156*952.4)*G156)),IF(AND(F156="HUILE",E156="CLIENT S"),(VLOOKUP(H156,'BASE '!$I$112:$J$142,2,0)+(VLOOKUP(S156,'BASE '!#REF!,2,0)))-(G156*((VLOOKUP(S156,'BASE '!#REF!,2,0)+(VLOOKUP(H156,'BASE '!$I$112:$J$142,2,0))))))))))))))))</f>
        <v>0</v>
      </c>
      <c r="P156" s="52" t="b">
        <f t="shared" si="38"/>
        <v>0</v>
      </c>
      <c r="Q156" s="53" t="b">
        <f t="shared" si="39"/>
        <v>0</v>
      </c>
      <c r="R156" s="152" t="s">
        <v>175</v>
      </c>
      <c r="S156" s="184">
        <f t="shared" si="41"/>
        <v>0</v>
      </c>
    </row>
    <row r="157" spans="2:118" x14ac:dyDescent="0.3">
      <c r="B157" s="64"/>
      <c r="C157" s="148"/>
      <c r="D157" s="109"/>
      <c r="E157" s="63"/>
      <c r="F157" s="127"/>
      <c r="G157" s="50"/>
      <c r="H157" s="10"/>
      <c r="I157" s="10"/>
      <c r="J157" s="10"/>
      <c r="K157" s="10"/>
      <c r="L157" s="10"/>
      <c r="M157" s="39"/>
      <c r="N157" s="33">
        <f t="shared" si="37"/>
        <v>0</v>
      </c>
      <c r="O157" s="52" t="b">
        <f>IF(AND(E157="CLIENT S+L",F157="HUILE"),(S157*3333.33+(VLOOKUP(H157,'BASE '!$I$112:$J$142,2,0)))-((S157*3333.33)*G157),IF(AND(E157="CLIENT S+L",F157="LAIT"),((S157*952.4)-(S157*952.4)*G157),IF(E157="CLIENT O","OFFERT",IF(AND(F157="HUILE",E157="CLIENT L"),(((VLOOKUP(H157,'BASE '!$I$112:$J$142,2,0))+(VLOOKUP(S157,'BASE '!#REF!,2,0)))),IF(AND(F157="LAIT",E157="CLIENT L"),(S157*952.4),IF(AND(F157="HUILE",E157="CLIENT D"),(S157*3809.53+(VLOOKUP(H157,'BASE '!$I$112:$J$142,2,0))),IF(AND(F157="LAIT",E157="CLIENT D"),(S157*952.4),IF(AND(F157="HUILE",E157="CLIENT S+D"),((S157*3809.53+(VLOOKUP(H157,'BASE '!$I$112:$J$142,2,0)))-((S157*3809.53)*G157)),IF(AND(F157="LAIT",E157="CLIENT S+D"),((S157*952.4)-((S157*952.4)*G157)),IF(AND(E157="CLIENT S",F157="LAIT"),((S157*952.4)-((S157*952.4)*G157)),IF(AND(F157="HUILE",E157="CLIENT S"),(VLOOKUP(H157,'BASE '!$I$112:$J$142,2,0)+(VLOOKUP(S157,'BASE '!#REF!,2,0)))-(G157*((VLOOKUP(S157,'BASE '!#REF!,2,0)+(VLOOKUP(H157,'BASE '!$I$112:$J$142,2,0))))))))))))))))</f>
        <v>0</v>
      </c>
      <c r="P157" s="52" t="b">
        <f t="shared" si="38"/>
        <v>0</v>
      </c>
      <c r="Q157" s="53" t="b">
        <f t="shared" si="39"/>
        <v>0</v>
      </c>
      <c r="R157" s="152" t="s">
        <v>175</v>
      </c>
      <c r="S157" s="184">
        <f t="shared" si="41"/>
        <v>0</v>
      </c>
    </row>
    <row r="158" spans="2:118" x14ac:dyDescent="0.3">
      <c r="B158" s="64"/>
      <c r="C158" s="148"/>
      <c r="D158" s="109"/>
      <c r="E158" s="63"/>
      <c r="F158" s="127"/>
      <c r="G158" s="50"/>
      <c r="H158" s="10"/>
      <c r="I158" s="10"/>
      <c r="J158" s="10"/>
      <c r="K158" s="10"/>
      <c r="L158" s="10"/>
      <c r="M158" s="39"/>
      <c r="N158" s="33">
        <f t="shared" si="37"/>
        <v>0</v>
      </c>
      <c r="O158" s="52" t="b">
        <f>IF(AND(E158="CLIENT S+L",F158="HUILE"),(S158*3333.33+(VLOOKUP(H158,'BASE '!$I$112:$J$142,2,0)))-((S158*3333.33)*G158),IF(AND(E158="CLIENT S+L",F158="LAIT"),((S158*952.4)-(S158*952.4)*G158),IF(E158="CLIENT O","OFFERT",IF(AND(F158="HUILE",E158="CLIENT L"),(((VLOOKUP(H158,'BASE '!$I$112:$J$142,2,0))+(VLOOKUP(S158,'BASE '!#REF!,2,0)))),IF(AND(F158="LAIT",E158="CLIENT L"),(S158*952.4),IF(AND(F158="HUILE",E158="CLIENT D"),(S158*3809.53+(VLOOKUP(H158,'BASE '!$I$112:$J$142,2,0))),IF(AND(F158="LAIT",E158="CLIENT D"),(S158*952.4),IF(AND(F158="HUILE",E158="CLIENT S+D"),((S158*3809.53+(VLOOKUP(H158,'BASE '!$I$112:$J$142,2,0)))-((S158*3809.53)*G158)),IF(AND(F158="LAIT",E158="CLIENT S+D"),((S158*952.4)-((S158*952.4)*G158)),IF(AND(E158="CLIENT S",F158="LAIT"),((S158*952.4)-((S158*952.4)*G158)),IF(AND(F158="HUILE",E158="CLIENT S"),(VLOOKUP(H158,'BASE '!$I$112:$J$142,2,0)+(VLOOKUP(S158,'BASE '!#REF!,2,0)))-(G158*((VLOOKUP(S158,'BASE '!#REF!,2,0)+(VLOOKUP(H158,'BASE '!$I$112:$J$142,2,0))))))))))))))))</f>
        <v>0</v>
      </c>
      <c r="P158" s="52" t="b">
        <f t="shared" si="38"/>
        <v>0</v>
      </c>
      <c r="Q158" s="53" t="b">
        <f t="shared" si="39"/>
        <v>0</v>
      </c>
      <c r="R158" s="152" t="s">
        <v>175</v>
      </c>
      <c r="S158" s="184">
        <f t="shared" si="41"/>
        <v>0</v>
      </c>
    </row>
    <row r="159" spans="2:118" x14ac:dyDescent="0.3">
      <c r="B159" s="64"/>
      <c r="C159" s="148"/>
      <c r="D159" s="109"/>
      <c r="E159" s="63"/>
      <c r="F159" s="127"/>
      <c r="G159" s="50"/>
      <c r="H159" s="10"/>
      <c r="I159" s="10"/>
      <c r="J159" s="10"/>
      <c r="K159" s="10"/>
      <c r="L159" s="10"/>
      <c r="M159" s="39"/>
      <c r="N159" s="33">
        <f t="shared" si="37"/>
        <v>0</v>
      </c>
      <c r="O159" s="52" t="b">
        <f>IF(AND(E159="CLIENT S+L",F159="HUILE"),(S159*3333.33+(VLOOKUP(H159,'BASE '!$I$112:$J$142,2,0)))-((S159*3333.33)*G159),IF(AND(E159="CLIENT S+L",F159="LAIT"),((S159*952.4)-(S159*952.4)*G159),IF(E159="CLIENT O","OFFERT",IF(AND(F159="HUILE",E159="CLIENT L"),(((VLOOKUP(H159,'BASE '!$I$112:$J$142,2,0))+(VLOOKUP(S159,'BASE '!#REF!,2,0)))),IF(AND(F159="LAIT",E159="CLIENT L"),(S159*952.4),IF(AND(F159="HUILE",E159="CLIENT D"),(S159*3809.53+(VLOOKUP(H159,'BASE '!$I$112:$J$142,2,0))),IF(AND(F159="LAIT",E159="CLIENT D"),(S159*952.4),IF(AND(F159="HUILE",E159="CLIENT S+D"),((S159*3809.53+(VLOOKUP(H159,'BASE '!$I$112:$J$142,2,0)))-((S159*3809.53)*G159)),IF(AND(F159="LAIT",E159="CLIENT S+D"),((S159*952.4)-((S159*952.4)*G159)),IF(AND(E159="CLIENT S",F159="LAIT"),((S159*952.4)-((S159*952.4)*G159)),IF(AND(F159="HUILE",E159="CLIENT S"),(VLOOKUP(H159,'BASE '!$I$112:$J$142,2,0)+(VLOOKUP(S159,'BASE '!#REF!,2,0)))-(G159*((VLOOKUP(S159,'BASE '!#REF!,2,0)+(VLOOKUP(H159,'BASE '!$I$112:$J$142,2,0))))))))))))))))</f>
        <v>0</v>
      </c>
      <c r="P159" s="52" t="b">
        <f t="shared" si="38"/>
        <v>0</v>
      </c>
      <c r="Q159" s="53" t="b">
        <f t="shared" si="39"/>
        <v>0</v>
      </c>
      <c r="R159" s="152" t="s">
        <v>175</v>
      </c>
      <c r="S159" s="184">
        <f t="shared" si="41"/>
        <v>0</v>
      </c>
    </row>
    <row r="160" spans="2:118" x14ac:dyDescent="0.3">
      <c r="B160" s="64"/>
      <c r="C160" s="148"/>
      <c r="D160" s="109"/>
      <c r="E160" s="63"/>
      <c r="F160" s="127"/>
      <c r="G160" s="50"/>
      <c r="H160" s="10"/>
      <c r="I160" s="10"/>
      <c r="J160" s="10"/>
      <c r="K160" s="10"/>
      <c r="L160" s="10"/>
      <c r="M160" s="39"/>
      <c r="N160" s="33">
        <f t="shared" si="37"/>
        <v>0</v>
      </c>
      <c r="O160" s="52" t="b">
        <f>IF(AND(E160="CLIENT S+L",F160="HUILE"),(S160*3333.33+(VLOOKUP(H160,'BASE '!$I$112:$J$142,2,0)))-((S160*3333.33)*G160),IF(AND(E160="CLIENT S+L",F160="LAIT"),((S160*952.4)-(S160*952.4)*G160),IF(E160="CLIENT O","OFFERT",IF(AND(F160="HUILE",E160="CLIENT L"),(((VLOOKUP(H160,'BASE '!$I$112:$J$142,2,0))+(VLOOKUP(S160,'BASE '!#REF!,2,0)))),IF(AND(F160="LAIT",E160="CLIENT L"),(S160*952.4),IF(AND(F160="HUILE",E160="CLIENT D"),(S160*3809.53+(VLOOKUP(H160,'BASE '!$I$112:$J$142,2,0))),IF(AND(F160="LAIT",E160="CLIENT D"),(S160*952.4),IF(AND(F160="HUILE",E160="CLIENT S+D"),((S160*3809.53+(VLOOKUP(H160,'BASE '!$I$112:$J$142,2,0)))-((S160*3809.53)*G160)),IF(AND(F160="LAIT",E160="CLIENT S+D"),((S160*952.4)-((S160*952.4)*G160)),IF(AND(E160="CLIENT S",F160="LAIT"),((S160*952.4)-((S160*952.4)*G160)),IF(AND(F160="HUILE",E160="CLIENT S"),(VLOOKUP(H160,'BASE '!$I$112:$J$142,2,0)+(VLOOKUP(S160,'BASE '!#REF!,2,0)))-(G160*((VLOOKUP(S160,'BASE '!#REF!,2,0)+(VLOOKUP(H160,'BASE '!$I$112:$J$142,2,0))))))))))))))))</f>
        <v>0</v>
      </c>
      <c r="P160" s="52" t="b">
        <f t="shared" si="38"/>
        <v>0</v>
      </c>
      <c r="Q160" s="53" t="b">
        <f t="shared" si="39"/>
        <v>0</v>
      </c>
      <c r="R160" s="152" t="s">
        <v>175</v>
      </c>
      <c r="S160" s="184">
        <f t="shared" si="41"/>
        <v>0</v>
      </c>
    </row>
    <row r="161" spans="2:19" x14ac:dyDescent="0.3">
      <c r="B161" s="64"/>
      <c r="C161" s="148"/>
      <c r="D161" s="109"/>
      <c r="E161" s="63"/>
      <c r="F161" s="127"/>
      <c r="G161" s="50"/>
      <c r="H161" s="10"/>
      <c r="I161" s="10"/>
      <c r="J161" s="10"/>
      <c r="K161" s="10"/>
      <c r="L161" s="10"/>
      <c r="M161" s="39"/>
      <c r="N161" s="33">
        <f t="shared" si="37"/>
        <v>0</v>
      </c>
      <c r="O161" s="52" t="b">
        <f>IF(AND(E161="CLIENT S+L",F161="HUILE"),(S161*3333.33+(VLOOKUP(H161,'BASE '!$I$112:$J$142,2,0)))-((S161*3333.33)*G161),IF(AND(E161="CLIENT S+L",F161="LAIT"),((S161*952.4)-(S161*952.4)*G161),IF(E161="CLIENT O","OFFERT",IF(AND(F161="HUILE",E161="CLIENT L"),(((VLOOKUP(H161,'BASE '!$I$112:$J$142,2,0))+(VLOOKUP(S161,'BASE '!#REF!,2,0)))),IF(AND(F161="LAIT",E161="CLIENT L"),(S161*952.4),IF(AND(F161="HUILE",E161="CLIENT D"),(S161*3809.53+(VLOOKUP(H161,'BASE '!$I$112:$J$142,2,0))),IF(AND(F161="LAIT",E161="CLIENT D"),(S161*952.4),IF(AND(F161="HUILE",E161="CLIENT S+D"),((S161*3809.53+(VLOOKUP(H161,'BASE '!$I$112:$J$142,2,0)))-((S161*3809.53)*G161)),IF(AND(F161="LAIT",E161="CLIENT S+D"),((S161*952.4)-((S161*952.4)*G161)),IF(AND(E161="CLIENT S",F161="LAIT"),((S161*952.4)-((S161*952.4)*G161)),IF(AND(F161="HUILE",E161="CLIENT S"),(VLOOKUP(H161,'BASE '!$I$112:$J$142,2,0)+(VLOOKUP(S161,'BASE '!#REF!,2,0)))-(G161*((VLOOKUP(S161,'BASE '!#REF!,2,0)+(VLOOKUP(H161,'BASE '!$I$112:$J$142,2,0))))))))))))))))</f>
        <v>0</v>
      </c>
      <c r="P161" s="52" t="b">
        <f t="shared" si="38"/>
        <v>0</v>
      </c>
      <c r="Q161" s="53" t="b">
        <f t="shared" si="39"/>
        <v>0</v>
      </c>
      <c r="R161" s="152" t="s">
        <v>175</v>
      </c>
      <c r="S161" s="184">
        <f t="shared" si="41"/>
        <v>0</v>
      </c>
    </row>
    <row r="162" spans="2:19" x14ac:dyDescent="0.3">
      <c r="B162" s="64"/>
      <c r="C162" s="148"/>
      <c r="D162" s="109"/>
      <c r="E162" s="63"/>
      <c r="F162" s="127"/>
      <c r="G162" s="50"/>
      <c r="H162" s="10"/>
      <c r="I162" s="10"/>
      <c r="J162" s="10"/>
      <c r="K162" s="10"/>
      <c r="L162" s="10"/>
      <c r="M162" s="39"/>
      <c r="N162" s="33">
        <f t="shared" si="37"/>
        <v>0</v>
      </c>
      <c r="O162" s="52" t="b">
        <f>IF(AND(E162="CLIENT S+L",F162="HUILE"),(S162*3333.33+(VLOOKUP(H162,'BASE '!$I$112:$J$142,2,0)))-((S162*3333.33)*G162),IF(AND(E162="CLIENT S+L",F162="LAIT"),((S162*952.4)-(S162*952.4)*G162),IF(E162="CLIENT O","OFFERT",IF(AND(F162="HUILE",E162="CLIENT L"),(((VLOOKUP(H162,'BASE '!$I$112:$J$142,2,0))+(VLOOKUP(S162,'BASE '!#REF!,2,0)))),IF(AND(F162="LAIT",E162="CLIENT L"),(S162*952.4),IF(AND(F162="HUILE",E162="CLIENT D"),(S162*3809.53+(VLOOKUP(H162,'BASE '!$I$112:$J$142,2,0))),IF(AND(F162="LAIT",E162="CLIENT D"),(S162*952.4),IF(AND(F162="HUILE",E162="CLIENT S+D"),((S162*3809.53+(VLOOKUP(H162,'BASE '!$I$112:$J$142,2,0)))-((S162*3809.53)*G162)),IF(AND(F162="LAIT",E162="CLIENT S+D"),((S162*952.4)-((S162*952.4)*G162)),IF(AND(E162="CLIENT S",F162="LAIT"),((S162*952.4)-((S162*952.4)*G162)),IF(AND(F162="HUILE",E162="CLIENT S"),(VLOOKUP(H162,'BASE '!$I$112:$J$142,2,0)+(VLOOKUP(S162,'BASE '!#REF!,2,0)))-(G162*((VLOOKUP(S162,'BASE '!#REF!,2,0)+(VLOOKUP(H162,'BASE '!$I$112:$J$142,2,0))))))))))))))))</f>
        <v>0</v>
      </c>
      <c r="P162" s="52" t="b">
        <f t="shared" si="38"/>
        <v>0</v>
      </c>
      <c r="Q162" s="53" t="b">
        <f t="shared" si="39"/>
        <v>0</v>
      </c>
      <c r="R162" s="152" t="s">
        <v>175</v>
      </c>
      <c r="S162" s="184">
        <f t="shared" si="41"/>
        <v>0</v>
      </c>
    </row>
    <row r="163" spans="2:19" x14ac:dyDescent="0.3">
      <c r="B163" s="64"/>
      <c r="C163" s="148"/>
      <c r="D163" s="109"/>
      <c r="E163" s="63"/>
      <c r="F163" s="127"/>
      <c r="G163" s="50"/>
      <c r="H163" s="10"/>
      <c r="I163" s="10"/>
      <c r="J163" s="10"/>
      <c r="K163" s="10"/>
      <c r="L163" s="10"/>
      <c r="M163" s="39"/>
      <c r="N163" s="33">
        <f t="shared" si="37"/>
        <v>0</v>
      </c>
      <c r="O163" s="52" t="b">
        <f>IF(AND(E163="CLIENT S+L",F163="HUILE"),(S163*3333.33+(VLOOKUP(H163,'BASE '!$I$112:$J$142,2,0)))-((S163*3333.33)*G163),IF(AND(E163="CLIENT S+L",F163="LAIT"),((S163*952.4)-(S163*952.4)*G163),IF(E163="CLIENT O","OFFERT",IF(AND(F163="HUILE",E163="CLIENT L"),(((VLOOKUP(H163,'BASE '!$I$112:$J$142,2,0))+(VLOOKUP(S163,'BASE '!#REF!,2,0)))),IF(AND(F163="LAIT",E163="CLIENT L"),(S163*952.4),IF(AND(F163="HUILE",E163="CLIENT D"),(S163*3809.53+(VLOOKUP(H163,'BASE '!$I$112:$J$142,2,0))),IF(AND(F163="LAIT",E163="CLIENT D"),(S163*952.4),IF(AND(F163="HUILE",E163="CLIENT S+D"),((S163*3809.53+(VLOOKUP(H163,'BASE '!$I$112:$J$142,2,0)))-((S163*3809.53)*G163)),IF(AND(F163="LAIT",E163="CLIENT S+D"),((S163*952.4)-((S163*952.4)*G163)),IF(AND(E163="CLIENT S",F163="LAIT"),((S163*952.4)-((S163*952.4)*G163)),IF(AND(F163="HUILE",E163="CLIENT S"),(VLOOKUP(H163,'BASE '!$I$112:$J$142,2,0)+(VLOOKUP(S163,'BASE '!#REF!,2,0)))-(G163*((VLOOKUP(S163,'BASE '!#REF!,2,0)+(VLOOKUP(H163,'BASE '!$I$112:$J$142,2,0))))))))))))))))</f>
        <v>0</v>
      </c>
      <c r="P163" s="52" t="b">
        <f t="shared" si="38"/>
        <v>0</v>
      </c>
      <c r="Q163" s="53" t="b">
        <f t="shared" si="39"/>
        <v>0</v>
      </c>
      <c r="R163" s="152" t="s">
        <v>175</v>
      </c>
      <c r="S163" s="184">
        <f t="shared" si="41"/>
        <v>0</v>
      </c>
    </row>
    <row r="164" spans="2:19" x14ac:dyDescent="0.3">
      <c r="B164" s="64"/>
      <c r="C164" s="148"/>
      <c r="D164" s="109"/>
      <c r="E164" s="63"/>
      <c r="F164" s="127"/>
      <c r="G164" s="50"/>
      <c r="H164" s="10"/>
      <c r="I164" s="10"/>
      <c r="J164" s="10"/>
      <c r="K164" s="10"/>
      <c r="L164" s="10"/>
      <c r="M164" s="39"/>
      <c r="N164" s="33">
        <f t="shared" si="37"/>
        <v>0</v>
      </c>
      <c r="O164" s="52" t="b">
        <f>IF(AND(E164="CLIENT S+L",F164="HUILE"),(S164*3333.33+(VLOOKUP(H164,'BASE '!$I$112:$J$142,2,0)))-((S164*3333.33)*G164),IF(AND(E164="CLIENT S+L",F164="LAIT"),((S164*952.4)-(S164*952.4)*G164),IF(E164="CLIENT O","OFFERT",IF(AND(F164="HUILE",E164="CLIENT L"),(((VLOOKUP(H164,'BASE '!$I$112:$J$142,2,0))+(VLOOKUP(S164,'BASE '!#REF!,2,0)))),IF(AND(F164="LAIT",E164="CLIENT L"),(S164*952.4),IF(AND(F164="HUILE",E164="CLIENT D"),(S164*3809.53+(VLOOKUP(H164,'BASE '!$I$112:$J$142,2,0))),IF(AND(F164="LAIT",E164="CLIENT D"),(S164*952.4),IF(AND(F164="HUILE",E164="CLIENT S+D"),((S164*3809.53+(VLOOKUP(H164,'BASE '!$I$112:$J$142,2,0)))-((S164*3809.53)*G164)),IF(AND(F164="LAIT",E164="CLIENT S+D"),((S164*952.4)-((S164*952.4)*G164)),IF(AND(E164="CLIENT S",F164="LAIT"),((S164*952.4)-((S164*952.4)*G164)),IF(AND(F164="HUILE",E164="CLIENT S"),(VLOOKUP(H164,'BASE '!$I$112:$J$142,2,0)+(VLOOKUP(S164,'BASE '!#REF!,2,0)))-(G164*((VLOOKUP(S164,'BASE '!#REF!,2,0)+(VLOOKUP(H164,'BASE '!$I$112:$J$142,2,0))))))))))))))))</f>
        <v>0</v>
      </c>
      <c r="P164" s="52" t="b">
        <f t="shared" si="38"/>
        <v>0</v>
      </c>
      <c r="Q164" s="53" t="b">
        <f t="shared" si="39"/>
        <v>0</v>
      </c>
      <c r="R164" s="152" t="s">
        <v>175</v>
      </c>
      <c r="S164" s="184">
        <f t="shared" si="41"/>
        <v>0</v>
      </c>
    </row>
    <row r="165" spans="2:19" ht="15" thickBot="1" x14ac:dyDescent="0.35">
      <c r="B165" s="179"/>
      <c r="C165" s="150"/>
      <c r="D165" s="110"/>
      <c r="E165" s="44"/>
      <c r="F165" s="180"/>
      <c r="G165" s="181"/>
      <c r="H165" s="14"/>
      <c r="I165" s="14"/>
      <c r="J165" s="14"/>
      <c r="K165" s="14"/>
      <c r="L165" s="14"/>
      <c r="M165" s="40"/>
      <c r="N165" s="34">
        <f t="shared" si="37"/>
        <v>0</v>
      </c>
      <c r="O165" s="182" t="b">
        <f>IF(AND(E165="CLIENT S+L",F165="HUILE"),(S165*3333.33+(VLOOKUP(H165,'BASE '!$I$112:$J$142,2,0)))-((S165*3333.33)*G165),IF(AND(E165="CLIENT S+L",F165="LAIT"),((S165*952.4)-(S165*952.4)*G165),IF(E165="CLIENT O","OFFERT",IF(AND(F165="HUILE",E165="CLIENT L"),(((VLOOKUP(H165,'BASE '!$I$112:$J$142,2,0))+(VLOOKUP(S165,'BASE '!#REF!,2,0)))),IF(AND(F165="LAIT",E165="CLIENT L"),(S165*952.4),IF(AND(F165="HUILE",E165="CLIENT D"),(S165*3809.53+(VLOOKUP(H165,'BASE '!$I$112:$J$142,2,0))),IF(AND(F165="LAIT",E165="CLIENT D"),(S165*952.4),IF(AND(F165="HUILE",E165="CLIENT S+D"),((S165*3809.53+(VLOOKUP(H165,'BASE '!$I$112:$J$142,2,0)))-((S165*3809.53)*G165)),IF(AND(F165="LAIT",E165="CLIENT S+D"),((S165*952.4)-((S165*952.4)*G165)),IF(AND(E165="CLIENT S",F165="LAIT"),((S165*952.4)-((S165*952.4)*G165)),IF(AND(F165="HUILE",E165="CLIENT S"),(VLOOKUP(H165,'BASE '!$I$112:$J$142,2,0)+(VLOOKUP(S165,'BASE '!#REF!,2,0)))-(G165*((VLOOKUP(S165,'BASE '!#REF!,2,0)+(VLOOKUP(H165,'BASE '!$I$112:$J$142,2,0))))))))))))))))</f>
        <v>0</v>
      </c>
      <c r="P165" s="182" t="b">
        <f t="shared" si="38"/>
        <v>0</v>
      </c>
      <c r="Q165" s="183" t="b">
        <f t="shared" si="39"/>
        <v>0</v>
      </c>
      <c r="R165" s="151" t="s">
        <v>175</v>
      </c>
      <c r="S165" s="184">
        <f t="shared" si="41"/>
        <v>0</v>
      </c>
    </row>
    <row r="166" spans="2:19" ht="15" thickBot="1" x14ac:dyDescent="0.35">
      <c r="B166" s="555" t="s">
        <v>180</v>
      </c>
      <c r="C166" s="555"/>
      <c r="D166" s="555"/>
      <c r="E166" s="555"/>
      <c r="F166" s="555"/>
      <c r="G166" s="555"/>
      <c r="H166" s="556" t="e">
        <f t="shared" ref="H166:N166" si="43">SUMIF(CHOIX,"HUILE",H6:H165)</f>
        <v>#NAME?</v>
      </c>
      <c r="I166" s="556" t="e">
        <f t="shared" si="43"/>
        <v>#NAME?</v>
      </c>
      <c r="J166" s="556" t="e">
        <f t="shared" si="43"/>
        <v>#NAME?</v>
      </c>
      <c r="K166" s="556" t="e">
        <f t="shared" si="43"/>
        <v>#NAME?</v>
      </c>
      <c r="L166" s="556" t="e">
        <f t="shared" si="43"/>
        <v>#NAME?</v>
      </c>
      <c r="M166" s="556" t="e">
        <f t="shared" si="43"/>
        <v>#NAME?</v>
      </c>
      <c r="N166" s="556" t="e">
        <f t="shared" si="43"/>
        <v>#NAME?</v>
      </c>
      <c r="O166" s="557"/>
      <c r="P166" s="557"/>
      <c r="Q166" s="557"/>
      <c r="R166" s="557"/>
      <c r="S166" s="116"/>
    </row>
    <row r="167" spans="2:19" ht="15" thickBot="1" x14ac:dyDescent="0.35">
      <c r="B167" s="391"/>
      <c r="C167" s="391"/>
      <c r="D167" s="391"/>
      <c r="E167" s="391"/>
      <c r="F167" s="391"/>
      <c r="G167" s="391"/>
      <c r="H167" s="538"/>
      <c r="I167" s="538"/>
      <c r="J167" s="538"/>
      <c r="K167" s="538"/>
      <c r="L167" s="538"/>
      <c r="M167" s="538"/>
      <c r="N167" s="538"/>
      <c r="O167" s="539"/>
      <c r="P167" s="539"/>
      <c r="Q167" s="539"/>
      <c r="R167" s="539"/>
      <c r="S167" s="116"/>
    </row>
    <row r="168" spans="2:19" ht="15" thickBot="1" x14ac:dyDescent="0.35">
      <c r="B168" s="391" t="s">
        <v>181</v>
      </c>
      <c r="C168" s="391"/>
      <c r="D168" s="391"/>
      <c r="E168" s="391"/>
      <c r="F168" s="391"/>
      <c r="G168" s="391"/>
      <c r="H168" s="537" t="e">
        <f t="shared" ref="H168:N168" si="44">SUMIF(CHOIX,"LAIT",H6:H165)</f>
        <v>#NAME?</v>
      </c>
      <c r="I168" s="537" t="e">
        <f t="shared" si="44"/>
        <v>#NAME?</v>
      </c>
      <c r="J168" s="537" t="e">
        <f t="shared" si="44"/>
        <v>#NAME?</v>
      </c>
      <c r="K168" s="537" t="e">
        <f t="shared" si="44"/>
        <v>#NAME?</v>
      </c>
      <c r="L168" s="537" t="e">
        <f t="shared" si="44"/>
        <v>#NAME?</v>
      </c>
      <c r="M168" s="537" t="e">
        <f t="shared" si="44"/>
        <v>#NAME?</v>
      </c>
      <c r="N168" s="537" t="e">
        <f t="shared" si="44"/>
        <v>#NAME?</v>
      </c>
      <c r="O168" s="539"/>
      <c r="P168" s="539"/>
      <c r="Q168" s="539"/>
      <c r="R168" s="539"/>
      <c r="S168" s="68"/>
    </row>
    <row r="169" spans="2:19" ht="15" thickBot="1" x14ac:dyDescent="0.35">
      <c r="B169" s="391"/>
      <c r="C169" s="391"/>
      <c r="D169" s="391"/>
      <c r="E169" s="391"/>
      <c r="F169" s="391"/>
      <c r="G169" s="391"/>
      <c r="H169" s="538"/>
      <c r="I169" s="538"/>
      <c r="J169" s="538"/>
      <c r="K169" s="538"/>
      <c r="L169" s="538"/>
      <c r="M169" s="538"/>
      <c r="N169" s="538"/>
      <c r="O169" s="539"/>
      <c r="P169" s="539"/>
      <c r="Q169" s="539"/>
      <c r="R169" s="539"/>
      <c r="S169" s="68"/>
    </row>
    <row r="170" spans="2:19" ht="15" thickBot="1" x14ac:dyDescent="0.35">
      <c r="B170" s="391" t="s">
        <v>28</v>
      </c>
      <c r="C170" s="391"/>
      <c r="D170" s="391"/>
      <c r="E170" s="391"/>
      <c r="F170" s="391"/>
      <c r="G170" s="391"/>
      <c r="H170" s="391"/>
      <c r="I170" s="391"/>
      <c r="J170" s="391"/>
      <c r="K170" s="391"/>
      <c r="L170" s="391"/>
      <c r="M170" s="391"/>
      <c r="N170" s="390">
        <f>SUMIF(O6:O165,"&lt;&gt;#N/A")</f>
        <v>0</v>
      </c>
      <c r="O170" s="390"/>
      <c r="P170" s="390"/>
      <c r="Q170" s="390"/>
      <c r="R170" s="390"/>
      <c r="S170" s="66"/>
    </row>
    <row r="171" spans="2:19" ht="15" thickBot="1" x14ac:dyDescent="0.35">
      <c r="B171" s="391"/>
      <c r="C171" s="391"/>
      <c r="D171" s="391"/>
      <c r="E171" s="391"/>
      <c r="F171" s="391"/>
      <c r="G171" s="391"/>
      <c r="H171" s="391"/>
      <c r="I171" s="391"/>
      <c r="J171" s="391"/>
      <c r="K171" s="391"/>
      <c r="L171" s="391"/>
      <c r="M171" s="391"/>
      <c r="N171" s="390"/>
      <c r="O171" s="390"/>
      <c r="P171" s="390"/>
      <c r="Q171" s="390"/>
      <c r="R171" s="390"/>
      <c r="S171" s="66"/>
    </row>
    <row r="172" spans="2:19" ht="15" thickBot="1" x14ac:dyDescent="0.35">
      <c r="B172" s="391" t="s">
        <v>29</v>
      </c>
      <c r="C172" s="391"/>
      <c r="D172" s="391"/>
      <c r="E172" s="391"/>
      <c r="F172" s="391"/>
      <c r="G172" s="391"/>
      <c r="H172" s="391"/>
      <c r="I172" s="391"/>
      <c r="J172" s="391"/>
      <c r="K172" s="391"/>
      <c r="L172" s="391"/>
      <c r="M172" s="391"/>
      <c r="N172" s="391"/>
      <c r="O172" s="390">
        <f>SUMIF(P6:P165,"&lt;&gt;#N/A")</f>
        <v>0</v>
      </c>
      <c r="P172" s="390"/>
      <c r="Q172" s="390"/>
      <c r="R172" s="390"/>
      <c r="S172" s="66"/>
    </row>
    <row r="173" spans="2:19" ht="15" thickBot="1" x14ac:dyDescent="0.35">
      <c r="B173" s="391"/>
      <c r="C173" s="391"/>
      <c r="D173" s="391"/>
      <c r="E173" s="391"/>
      <c r="F173" s="391"/>
      <c r="G173" s="391"/>
      <c r="H173" s="391"/>
      <c r="I173" s="391"/>
      <c r="J173" s="391"/>
      <c r="K173" s="391"/>
      <c r="L173" s="391"/>
      <c r="M173" s="391"/>
      <c r="N173" s="391"/>
      <c r="O173" s="390"/>
      <c r="P173" s="390"/>
      <c r="Q173" s="390"/>
      <c r="R173" s="390"/>
      <c r="S173" s="66"/>
    </row>
    <row r="174" spans="2:19" ht="15" thickBot="1" x14ac:dyDescent="0.35">
      <c r="B174" s="391" t="s">
        <v>44</v>
      </c>
      <c r="C174" s="391"/>
      <c r="D174" s="391"/>
      <c r="E174" s="391"/>
      <c r="F174" s="391"/>
      <c r="G174" s="391"/>
      <c r="H174" s="391"/>
      <c r="I174" s="391"/>
      <c r="J174" s="391"/>
      <c r="K174" s="391"/>
      <c r="L174" s="391"/>
      <c r="M174" s="391"/>
      <c r="N174" s="391"/>
      <c r="O174" s="391"/>
      <c r="P174" s="390">
        <f>SUMIF(Q6:Q165,"&lt;&gt;#N/A")</f>
        <v>0</v>
      </c>
      <c r="Q174" s="390"/>
      <c r="R174" s="390"/>
      <c r="S174" s="67"/>
    </row>
    <row r="175" spans="2:19" ht="15" thickBot="1" x14ac:dyDescent="0.35">
      <c r="B175" s="540"/>
      <c r="C175" s="540"/>
      <c r="D175" s="540"/>
      <c r="E175" s="540"/>
      <c r="F175" s="540"/>
      <c r="G175" s="540"/>
      <c r="H175" s="540"/>
      <c r="I175" s="540"/>
      <c r="J175" s="540"/>
      <c r="K175" s="540"/>
      <c r="L175" s="540"/>
      <c r="M175" s="540"/>
      <c r="N175" s="540"/>
      <c r="O175" s="540"/>
      <c r="P175" s="541"/>
      <c r="Q175" s="541"/>
      <c r="R175" s="541"/>
      <c r="S175" s="67"/>
    </row>
    <row r="176" spans="2:19" ht="15" thickTop="1" x14ac:dyDescent="0.3"/>
  </sheetData>
  <sheetProtection selectLockedCells="1"/>
  <mergeCells count="311">
    <mergeCell ref="T148:AA148"/>
    <mergeCell ref="BE66:BO66"/>
    <mergeCell ref="T149:AB149"/>
    <mergeCell ref="AC149:AE149"/>
    <mergeCell ref="T150:AC150"/>
    <mergeCell ref="AD150:AE150"/>
    <mergeCell ref="AZ67:BE67"/>
    <mergeCell ref="AF71:AH72"/>
    <mergeCell ref="AI71:AL72"/>
    <mergeCell ref="AZ71:BI71"/>
    <mergeCell ref="AZ73:BK73"/>
    <mergeCell ref="AZ74:BL74"/>
    <mergeCell ref="AZ75:BL75"/>
    <mergeCell ref="T145:X145"/>
    <mergeCell ref="Y145:AE145"/>
    <mergeCell ref="T146:Z146"/>
    <mergeCell ref="AA146:AE146"/>
    <mergeCell ref="AU69:AU70"/>
    <mergeCell ref="AV69:AV70"/>
    <mergeCell ref="AZ69:BG69"/>
    <mergeCell ref="BH69:BO69"/>
    <mergeCell ref="AZ70:BH70"/>
    <mergeCell ref="BI70:BO70"/>
    <mergeCell ref="T147:Z147"/>
    <mergeCell ref="AA147:AE147"/>
    <mergeCell ref="DO37:DT37"/>
    <mergeCell ref="AB148:AE148"/>
    <mergeCell ref="BL73:BO73"/>
    <mergeCell ref="BM74:BO74"/>
    <mergeCell ref="BM75:BO75"/>
    <mergeCell ref="BJ71:BO71"/>
    <mergeCell ref="AZ72:BJ72"/>
    <mergeCell ref="BK72:BO72"/>
    <mergeCell ref="AF51:AF52"/>
    <mergeCell ref="AF53:AF54"/>
    <mergeCell ref="AF55:AF56"/>
    <mergeCell ref="AF57:AF58"/>
    <mergeCell ref="AF59:AF60"/>
    <mergeCell ref="AF61:AF62"/>
    <mergeCell ref="BA62:BO62"/>
    <mergeCell ref="AF63:AF64"/>
    <mergeCell ref="AZ63:BA63"/>
    <mergeCell ref="BB63:BO63"/>
    <mergeCell ref="AZ64:BB64"/>
    <mergeCell ref="BC64:BO64"/>
    <mergeCell ref="AF65:AF66"/>
    <mergeCell ref="AZ65:BC65"/>
    <mergeCell ref="BD65:BO65"/>
    <mergeCell ref="AZ66:BD66"/>
    <mergeCell ref="DE30:DE31"/>
    <mergeCell ref="DF30:DF31"/>
    <mergeCell ref="DG30:DG31"/>
    <mergeCell ref="BF67:BO67"/>
    <mergeCell ref="AZ68:BF68"/>
    <mergeCell ref="BG68:BO68"/>
    <mergeCell ref="AF69:AF70"/>
    <mergeCell ref="DU37:DY37"/>
    <mergeCell ref="CV38:DJ39"/>
    <mergeCell ref="DK38:DM39"/>
    <mergeCell ref="DO38:DU38"/>
    <mergeCell ref="DV38:DY38"/>
    <mergeCell ref="AF39:AF40"/>
    <mergeCell ref="DO39:DU39"/>
    <mergeCell ref="DV39:DY39"/>
    <mergeCell ref="DO40:DV40"/>
    <mergeCell ref="DW40:DY40"/>
    <mergeCell ref="DJ36:DM37"/>
    <mergeCell ref="AF37:AF38"/>
    <mergeCell ref="DO41:DW41"/>
    <mergeCell ref="DX41:DY41"/>
    <mergeCell ref="AF43:AF44"/>
    <mergeCell ref="AF45:AF46"/>
    <mergeCell ref="AF47:AF48"/>
    <mergeCell ref="AF41:AF42"/>
    <mergeCell ref="AF27:AF28"/>
    <mergeCell ref="AF29:AF30"/>
    <mergeCell ref="DH30:DH31"/>
    <mergeCell ref="DI30:DI31"/>
    <mergeCell ref="DJ30:DM31"/>
    <mergeCell ref="AF31:AF32"/>
    <mergeCell ref="CV32:DB33"/>
    <mergeCell ref="DC32:DC33"/>
    <mergeCell ref="DD32:DD33"/>
    <mergeCell ref="DE32:DE33"/>
    <mergeCell ref="DF32:DF33"/>
    <mergeCell ref="DG32:DG33"/>
    <mergeCell ref="DH32:DH33"/>
    <mergeCell ref="DI32:DI33"/>
    <mergeCell ref="DJ32:DM33"/>
    <mergeCell ref="AF33:AF34"/>
    <mergeCell ref="CV34:DH35"/>
    <mergeCell ref="DI34:DM35"/>
    <mergeCell ref="AF35:AF36"/>
    <mergeCell ref="CV36:DI37"/>
    <mergeCell ref="CV30:DB31"/>
    <mergeCell ref="DC30:DC31"/>
    <mergeCell ref="DD30:DD31"/>
    <mergeCell ref="BS21:BS22"/>
    <mergeCell ref="BT21:BT22"/>
    <mergeCell ref="BU21:BU22"/>
    <mergeCell ref="AF23:AF24"/>
    <mergeCell ref="BS23:BU24"/>
    <mergeCell ref="BV23:BV24"/>
    <mergeCell ref="BX23:CB24"/>
    <mergeCell ref="CC23:CC24"/>
    <mergeCell ref="AF25:AF26"/>
    <mergeCell ref="BS25:CB26"/>
    <mergeCell ref="CC25:CC26"/>
    <mergeCell ref="CC21:CC22"/>
    <mergeCell ref="AF21:AF22"/>
    <mergeCell ref="CC15:CC16"/>
    <mergeCell ref="CC17:CC18"/>
    <mergeCell ref="AF19:AF20"/>
    <mergeCell ref="BS19:BS20"/>
    <mergeCell ref="BT19:BT20"/>
    <mergeCell ref="BU19:BU20"/>
    <mergeCell ref="BV19:BV20"/>
    <mergeCell ref="BX19:BX20"/>
    <mergeCell ref="BY19:BY20"/>
    <mergeCell ref="BZ19:BZ20"/>
    <mergeCell ref="CA19:CA20"/>
    <mergeCell ref="CB19:CB20"/>
    <mergeCell ref="CC19:CC20"/>
    <mergeCell ref="BS17:BS18"/>
    <mergeCell ref="BT17:BT18"/>
    <mergeCell ref="BU17:BU18"/>
    <mergeCell ref="BV17:BV18"/>
    <mergeCell ref="BW17:BW22"/>
    <mergeCell ref="BX17:BX18"/>
    <mergeCell ref="BY17:BY18"/>
    <mergeCell ref="BZ17:BZ18"/>
    <mergeCell ref="BY15:BY16"/>
    <mergeCell ref="CA15:CA16"/>
    <mergeCell ref="BV21:BV22"/>
    <mergeCell ref="BX21:BX22"/>
    <mergeCell ref="BY21:BY22"/>
    <mergeCell ref="BZ21:BZ22"/>
    <mergeCell ref="CA21:CA22"/>
    <mergeCell ref="CB17:CB18"/>
    <mergeCell ref="CB21:CB22"/>
    <mergeCell ref="CA17:CA18"/>
    <mergeCell ref="CB15:CB16"/>
    <mergeCell ref="CB13:CB14"/>
    <mergeCell ref="CB9:CB10"/>
    <mergeCell ref="CC9:CC10"/>
    <mergeCell ref="AF11:AF12"/>
    <mergeCell ref="BS11:BS12"/>
    <mergeCell ref="BT11:BT12"/>
    <mergeCell ref="BU11:BU12"/>
    <mergeCell ref="BV11:BV12"/>
    <mergeCell ref="BX11:BX12"/>
    <mergeCell ref="BY11:BY12"/>
    <mergeCell ref="BZ11:BZ12"/>
    <mergeCell ref="CA11:CA12"/>
    <mergeCell ref="CB11:CB12"/>
    <mergeCell ref="CC11:CC12"/>
    <mergeCell ref="CC13:CC14"/>
    <mergeCell ref="CA9:CA10"/>
    <mergeCell ref="AF15:AF16"/>
    <mergeCell ref="BS5:BS6"/>
    <mergeCell ref="BT5:BT6"/>
    <mergeCell ref="BU5:BU6"/>
    <mergeCell ref="BV5:BV6"/>
    <mergeCell ref="BW5:BW16"/>
    <mergeCell ref="BX5:BX6"/>
    <mergeCell ref="BY5:BY6"/>
    <mergeCell ref="BZ5:BZ6"/>
    <mergeCell ref="BS15:BS16"/>
    <mergeCell ref="BT15:BT16"/>
    <mergeCell ref="BU15:BU16"/>
    <mergeCell ref="BV15:BV16"/>
    <mergeCell ref="BX15:BX16"/>
    <mergeCell ref="BS13:BS14"/>
    <mergeCell ref="BT13:BT14"/>
    <mergeCell ref="BU13:BU14"/>
    <mergeCell ref="BV13:BV14"/>
    <mergeCell ref="BX13:BX14"/>
    <mergeCell ref="BY13:BY14"/>
    <mergeCell ref="BZ13:BZ14"/>
    <mergeCell ref="CA13:CA14"/>
    <mergeCell ref="BZ15:BZ16"/>
    <mergeCell ref="BS7:BS8"/>
    <mergeCell ref="BT7:BT8"/>
    <mergeCell ref="BU7:BU8"/>
    <mergeCell ref="BV7:BV8"/>
    <mergeCell ref="BX7:BX8"/>
    <mergeCell ref="BY7:BY8"/>
    <mergeCell ref="BX9:BX10"/>
    <mergeCell ref="BY9:BY10"/>
    <mergeCell ref="BZ9:BZ10"/>
    <mergeCell ref="BW3:BW4"/>
    <mergeCell ref="BX3:BX4"/>
    <mergeCell ref="DS3:DS5"/>
    <mergeCell ref="DT3:DT5"/>
    <mergeCell ref="DU3:DU5"/>
    <mergeCell ref="DV3:DV5"/>
    <mergeCell ref="DW3:DW5"/>
    <mergeCell ref="DX3:DX5"/>
    <mergeCell ref="DY3:DY5"/>
    <mergeCell ref="CB5:CB6"/>
    <mergeCell ref="CC5:CC6"/>
    <mergeCell ref="DK3:DK5"/>
    <mergeCell ref="DL3:DL5"/>
    <mergeCell ref="DM3:DM5"/>
    <mergeCell ref="DO3:DO5"/>
    <mergeCell ref="DP3:DP5"/>
    <mergeCell ref="DQ3:DQ5"/>
    <mergeCell ref="DR3:DR5"/>
    <mergeCell ref="CA5:CA6"/>
    <mergeCell ref="CV1:DM2"/>
    <mergeCell ref="DO1:DY2"/>
    <mergeCell ref="CW3:CW5"/>
    <mergeCell ref="CX3:CX5"/>
    <mergeCell ref="CY3:CY5"/>
    <mergeCell ref="CZ3:CZ5"/>
    <mergeCell ref="DA3:DA5"/>
    <mergeCell ref="DB3:DB5"/>
    <mergeCell ref="DC3:DH4"/>
    <mergeCell ref="DI3:DI5"/>
    <mergeCell ref="DJ3:DJ5"/>
    <mergeCell ref="CV3:CV5"/>
    <mergeCell ref="C3:C5"/>
    <mergeCell ref="D3:D5"/>
    <mergeCell ref="E3:E5"/>
    <mergeCell ref="F3:F5"/>
    <mergeCell ref="H3:M4"/>
    <mergeCell ref="N3:N5"/>
    <mergeCell ref="V3:V5"/>
    <mergeCell ref="W3:W5"/>
    <mergeCell ref="X3:X5"/>
    <mergeCell ref="Y3:Y5"/>
    <mergeCell ref="AB3:AB5"/>
    <mergeCell ref="AC3:AC5"/>
    <mergeCell ref="AD3:AD5"/>
    <mergeCell ref="AE3:AE5"/>
    <mergeCell ref="AF3:AF6"/>
    <mergeCell ref="AG3:AM5"/>
    <mergeCell ref="AN3:AT5"/>
    <mergeCell ref="AU3:AU6"/>
    <mergeCell ref="B166:G167"/>
    <mergeCell ref="H166:H167"/>
    <mergeCell ref="I166:I167"/>
    <mergeCell ref="J166:J167"/>
    <mergeCell ref="K166:K167"/>
    <mergeCell ref="L166:L167"/>
    <mergeCell ref="M166:M167"/>
    <mergeCell ref="N166:N167"/>
    <mergeCell ref="O166:R167"/>
    <mergeCell ref="B1:R2"/>
    <mergeCell ref="T1:AE2"/>
    <mergeCell ref="AF49:AF50"/>
    <mergeCell ref="AF67:AF68"/>
    <mergeCell ref="O3:O5"/>
    <mergeCell ref="BA3:BA5"/>
    <mergeCell ref="BM3:BM5"/>
    <mergeCell ref="AF1:AV2"/>
    <mergeCell ref="AZ1:BQ2"/>
    <mergeCell ref="AF17:AF18"/>
    <mergeCell ref="B3:B5"/>
    <mergeCell ref="G3:G5"/>
    <mergeCell ref="BB3:BB5"/>
    <mergeCell ref="Z3:Z5"/>
    <mergeCell ref="P3:P5"/>
    <mergeCell ref="Q3:Q5"/>
    <mergeCell ref="R3:R5"/>
    <mergeCell ref="T3:T5"/>
    <mergeCell ref="U3:U5"/>
    <mergeCell ref="AA3:AA5"/>
    <mergeCell ref="AV3:AV6"/>
    <mergeCell ref="AZ3:AZ5"/>
    <mergeCell ref="BD3:BI4"/>
    <mergeCell ref="BJ3:BL4"/>
    <mergeCell ref="BS1:CC2"/>
    <mergeCell ref="BY3:BY4"/>
    <mergeCell ref="BZ3:BZ4"/>
    <mergeCell ref="CA3:CA4"/>
    <mergeCell ref="CB3:CB4"/>
    <mergeCell ref="CC3:CC4"/>
    <mergeCell ref="AF7:AF8"/>
    <mergeCell ref="AF9:AF10"/>
    <mergeCell ref="AF13:AF14"/>
    <mergeCell ref="BN3:BN5"/>
    <mergeCell ref="BO3:BO5"/>
    <mergeCell ref="BS3:BS4"/>
    <mergeCell ref="BT3:BT4"/>
    <mergeCell ref="BU3:BU4"/>
    <mergeCell ref="BC3:BC5"/>
    <mergeCell ref="BZ7:BZ8"/>
    <mergeCell ref="CA7:CA8"/>
    <mergeCell ref="CB7:CB8"/>
    <mergeCell ref="CC7:CC8"/>
    <mergeCell ref="BS9:BS10"/>
    <mergeCell ref="BT9:BT10"/>
    <mergeCell ref="BU9:BU10"/>
    <mergeCell ref="BV9:BV10"/>
    <mergeCell ref="BV3:BV4"/>
    <mergeCell ref="B172:N173"/>
    <mergeCell ref="O172:R173"/>
    <mergeCell ref="M168:M169"/>
    <mergeCell ref="N168:N169"/>
    <mergeCell ref="O168:R169"/>
    <mergeCell ref="B170:M171"/>
    <mergeCell ref="N170:R171"/>
    <mergeCell ref="B174:O175"/>
    <mergeCell ref="P174:R175"/>
    <mergeCell ref="B168:G169"/>
    <mergeCell ref="H168:H169"/>
    <mergeCell ref="I168:I169"/>
    <mergeCell ref="J168:J169"/>
    <mergeCell ref="K168:K169"/>
    <mergeCell ref="L168:L169"/>
  </mergeCells>
  <printOptions horizontalCentered="1" verticalCentered="1"/>
  <pageMargins left="3.937007874015748E-2" right="3.937007874015748E-2" top="0.35433070866141736" bottom="0.35433070866141736" header="0" footer="0.31496062992125984"/>
  <pageSetup paperSize="9" scale="84" orientation="landscape" r:id="rId1"/>
  <rowBreaks count="3" manualBreakCount="3">
    <brk id="82" max="16383" man="1"/>
    <brk id="117" max="16383" man="1"/>
    <brk id="153" max="16383" man="1"/>
  </rowBreaks>
  <colBreaks count="6" manualBreakCount="6">
    <brk id="19" max="1048575" man="1"/>
    <brk id="31" max="1048575" man="1"/>
    <brk id="48" max="1048575" man="1"/>
    <brk id="69" max="1048575" man="1"/>
    <brk id="99" max="174" man="1"/>
    <brk id="118" max="1048575" man="1"/>
  </col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EEB6BFF-733B-4A69-A95A-12EC35CAB4AC}">
          <x14:formula1>
            <xm:f>'BASE '!$P$112:$P$118</xm:f>
          </x14:formula1>
          <xm:sqref>DA6:DA29 F6:F169</xm:sqref>
        </x14:dataValidation>
        <x14:dataValidation type="list" allowBlank="1" showInputMessage="1" showErrorMessage="1" xr:uid="{E8A538E8-04F9-49FC-B768-50731120D8BC}">
          <x14:formula1>
            <xm:f>'BASE '!$O$112:$O$123</xm:f>
          </x14:formula1>
          <xm:sqref>CZ6:CZ29 E6:E169</xm:sqref>
        </x14:dataValidation>
        <x14:dataValidation type="list" allowBlank="1" showInputMessage="1" showErrorMessage="1" xr:uid="{61DD3B50-6758-4FA5-B786-F571750FCA3E}">
          <x14:formula1>
            <xm:f>'BASE '!$O$112:$O$120</xm:f>
          </x14:formula1>
          <xm:sqref>W1:X1 DR1:DT1</xm:sqref>
        </x14:dataValidation>
        <x14:dataValidation type="list" allowBlank="1" showInputMessage="1" showErrorMessage="1" xr:uid="{AE07B482-64A0-4546-ACC7-D698D0452885}">
          <x14:formula1>
            <xm:f>'BASE '!$A$5:$A$144</xm:f>
          </x14:formula1>
          <xm:sqref>U6:U144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B7DBF-17C3-4BD4-B56C-543A9EBD470C}">
  <sheetPr codeName="Feuil6"/>
  <dimension ref="B1:DY176"/>
  <sheetViews>
    <sheetView view="pageBreakPreview" topLeftCell="DK12" zoomScale="60" zoomScaleNormal="100" workbookViewId="0">
      <selection activeCell="DX42" sqref="DX42"/>
    </sheetView>
  </sheetViews>
  <sheetFormatPr baseColWidth="10" defaultColWidth="0" defaultRowHeight="14.4" x14ac:dyDescent="0.3"/>
  <cols>
    <col min="1" max="1" width="4.88671875" customWidth="1"/>
    <col min="2" max="2" width="8.5546875" customWidth="1"/>
    <col min="3" max="3" width="10" customWidth="1"/>
    <col min="4" max="4" width="20.109375" customWidth="1"/>
    <col min="5" max="5" width="10" customWidth="1"/>
    <col min="6" max="6" width="7" customWidth="1"/>
    <col min="7" max="7" width="4.88671875" customWidth="1"/>
    <col min="8" max="13" width="3.5546875" customWidth="1"/>
    <col min="14" max="14" width="4.6640625" customWidth="1"/>
    <col min="15" max="18" width="12.5546875" customWidth="1"/>
    <col min="19" max="19" width="4.88671875" customWidth="1"/>
    <col min="20" max="20" width="8" customWidth="1"/>
    <col min="21" max="21" width="12" customWidth="1"/>
    <col min="22" max="22" width="15" customWidth="1"/>
    <col min="23" max="23" width="10" customWidth="1"/>
    <col min="24" max="24" width="12" customWidth="1"/>
    <col min="25" max="25" width="13.5546875" customWidth="1"/>
    <col min="26" max="26" width="6.88671875" customWidth="1"/>
    <col min="27" max="31" width="12" customWidth="1"/>
    <col min="32" max="32" width="20" customWidth="1"/>
    <col min="33" max="46" width="6" customWidth="1"/>
    <col min="47" max="48" width="15" customWidth="1"/>
    <col min="52" max="52" width="10" customWidth="1"/>
    <col min="53" max="55" width="12.5546875" customWidth="1"/>
    <col min="56" max="64" width="5" customWidth="1"/>
    <col min="65" max="66" width="9.6640625" customWidth="1"/>
    <col min="67" max="67" width="15" customWidth="1"/>
    <col min="70" max="70" width="20" customWidth="1"/>
    <col min="71" max="73" width="12.5546875" customWidth="1"/>
    <col min="74" max="75" width="15" customWidth="1"/>
    <col min="76" max="80" width="12.33203125" customWidth="1"/>
    <col min="81" max="81" width="15" customWidth="1"/>
    <col min="99" max="99" width="4.88671875" customWidth="1"/>
    <col min="100" max="100" width="8.5546875" customWidth="1"/>
    <col min="101" max="101" width="10" customWidth="1"/>
    <col min="102" max="102" width="15" customWidth="1"/>
    <col min="103" max="104" width="10" customWidth="1"/>
    <col min="105" max="105" width="6" customWidth="1"/>
    <col min="106" max="106" width="4.88671875" customWidth="1"/>
    <col min="107" max="112" width="3.5546875" customWidth="1"/>
    <col min="113" max="113" width="4.6640625" customWidth="1"/>
    <col min="114" max="117" width="12.5546875" customWidth="1"/>
    <col min="118" max="118" width="4.88671875" customWidth="1"/>
    <col min="119" max="119" width="10" customWidth="1"/>
    <col min="120" max="121" width="20" customWidth="1"/>
    <col min="122" max="122" width="12.5546875" customWidth="1"/>
    <col min="123" max="123" width="10" customWidth="1"/>
    <col min="124" max="129" width="15" customWidth="1"/>
  </cols>
  <sheetData>
    <row r="1" spans="2:129" ht="14.1" customHeight="1" thickTop="1" thickBot="1" x14ac:dyDescent="0.35">
      <c r="B1" s="546" t="s">
        <v>27</v>
      </c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8"/>
      <c r="S1" s="165"/>
      <c r="T1" s="443" t="s">
        <v>22</v>
      </c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5"/>
      <c r="AF1" s="400" t="s">
        <v>21</v>
      </c>
      <c r="AG1" s="400"/>
      <c r="AH1" s="400"/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76"/>
      <c r="AX1" s="76"/>
      <c r="AY1" s="93"/>
      <c r="AZ1" s="482" t="s">
        <v>55</v>
      </c>
      <c r="BA1" s="482"/>
      <c r="BB1" s="482"/>
      <c r="BC1" s="482"/>
      <c r="BD1" s="482"/>
      <c r="BE1" s="482"/>
      <c r="BF1" s="482"/>
      <c r="BG1" s="482"/>
      <c r="BH1" s="482"/>
      <c r="BI1" s="482"/>
      <c r="BJ1" s="482"/>
      <c r="BK1" s="482"/>
      <c r="BL1" s="482"/>
      <c r="BM1" s="482"/>
      <c r="BN1" s="482"/>
      <c r="BO1" s="482"/>
      <c r="BP1" s="482"/>
      <c r="BQ1" s="482"/>
      <c r="BR1" s="145"/>
      <c r="BS1" s="511" t="s">
        <v>24</v>
      </c>
      <c r="BT1" s="511"/>
      <c r="BU1" s="511"/>
      <c r="BV1" s="511"/>
      <c r="BW1" s="511"/>
      <c r="BX1" s="511"/>
      <c r="BY1" s="511"/>
      <c r="BZ1" s="511"/>
      <c r="CA1" s="511"/>
      <c r="CB1" s="511"/>
      <c r="CC1" s="511"/>
      <c r="CD1" s="133"/>
      <c r="CE1" s="133"/>
      <c r="CF1" s="133"/>
      <c r="CG1" s="133"/>
      <c r="CH1" s="133"/>
      <c r="CI1" s="133"/>
      <c r="CJ1" s="133"/>
      <c r="CK1" s="133"/>
      <c r="CL1" s="133"/>
      <c r="CM1" s="133"/>
      <c r="CN1" s="133"/>
      <c r="CO1" s="133"/>
      <c r="CP1" s="133"/>
      <c r="CQ1" s="133"/>
      <c r="CR1" s="133"/>
      <c r="CS1" s="133"/>
      <c r="CT1" s="133"/>
      <c r="CU1" s="136"/>
      <c r="CV1" s="546" t="s">
        <v>179</v>
      </c>
      <c r="CW1" s="547"/>
      <c r="CX1" s="547"/>
      <c r="CY1" s="547"/>
      <c r="CZ1" s="547"/>
      <c r="DA1" s="547"/>
      <c r="DB1" s="547"/>
      <c r="DC1" s="547"/>
      <c r="DD1" s="547"/>
      <c r="DE1" s="547"/>
      <c r="DF1" s="547"/>
      <c r="DG1" s="547"/>
      <c r="DH1" s="547"/>
      <c r="DI1" s="547"/>
      <c r="DJ1" s="547"/>
      <c r="DK1" s="547"/>
      <c r="DL1" s="547"/>
      <c r="DM1" s="548"/>
      <c r="DO1" s="443" t="s">
        <v>23</v>
      </c>
      <c r="DP1" s="444"/>
      <c r="DQ1" s="444"/>
      <c r="DR1" s="444"/>
      <c r="DS1" s="444"/>
      <c r="DT1" s="444"/>
      <c r="DU1" s="444"/>
      <c r="DV1" s="444"/>
      <c r="DW1" s="444"/>
      <c r="DX1" s="444"/>
      <c r="DY1" s="445"/>
    </row>
    <row r="2" spans="2:129" ht="14.1" customHeight="1" thickBot="1" x14ac:dyDescent="0.35">
      <c r="B2" s="446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8"/>
      <c r="S2" s="165"/>
      <c r="T2" s="446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8"/>
      <c r="AF2" s="400"/>
      <c r="AG2" s="400"/>
      <c r="AH2" s="400"/>
      <c r="AI2" s="400"/>
      <c r="AJ2" s="400"/>
      <c r="AK2" s="400"/>
      <c r="AL2" s="400"/>
      <c r="AM2" s="400"/>
      <c r="AN2" s="400"/>
      <c r="AO2" s="400"/>
      <c r="AP2" s="400"/>
      <c r="AQ2" s="400"/>
      <c r="AR2" s="400"/>
      <c r="AS2" s="400"/>
      <c r="AT2" s="400"/>
      <c r="AU2" s="400"/>
      <c r="AV2" s="400"/>
      <c r="AW2" s="77"/>
      <c r="AX2" s="77"/>
      <c r="AY2" s="77"/>
      <c r="AZ2" s="482"/>
      <c r="BA2" s="482"/>
      <c r="BB2" s="482"/>
      <c r="BC2" s="482"/>
      <c r="BD2" s="482"/>
      <c r="BE2" s="482"/>
      <c r="BF2" s="482"/>
      <c r="BG2" s="482"/>
      <c r="BH2" s="482"/>
      <c r="BI2" s="482"/>
      <c r="BJ2" s="482"/>
      <c r="BK2" s="482"/>
      <c r="BL2" s="482"/>
      <c r="BM2" s="482"/>
      <c r="BN2" s="482"/>
      <c r="BO2" s="482"/>
      <c r="BP2" s="482"/>
      <c r="BQ2" s="482"/>
      <c r="BR2" s="145"/>
      <c r="BS2" s="511"/>
      <c r="BT2" s="511"/>
      <c r="BU2" s="511"/>
      <c r="BV2" s="511"/>
      <c r="BW2" s="511"/>
      <c r="BX2" s="511"/>
      <c r="BY2" s="511"/>
      <c r="BZ2" s="511"/>
      <c r="CA2" s="511"/>
      <c r="CB2" s="511"/>
      <c r="CC2" s="511"/>
      <c r="CD2" s="133"/>
      <c r="CE2" s="133"/>
      <c r="CF2" s="133"/>
      <c r="CG2" s="133"/>
      <c r="CH2" s="133"/>
      <c r="CI2" s="133"/>
      <c r="CJ2" s="133"/>
      <c r="CK2" s="133"/>
      <c r="CL2" s="133"/>
      <c r="CM2" s="133"/>
      <c r="CN2" s="133"/>
      <c r="CO2" s="133"/>
      <c r="CP2" s="133"/>
      <c r="CQ2" s="133"/>
      <c r="CR2" s="133"/>
      <c r="CS2" s="133"/>
      <c r="CT2" s="133"/>
      <c r="CU2" s="136"/>
      <c r="CV2" s="446"/>
      <c r="CW2" s="447"/>
      <c r="CX2" s="447"/>
      <c r="CY2" s="447"/>
      <c r="CZ2" s="447"/>
      <c r="DA2" s="447"/>
      <c r="DB2" s="447"/>
      <c r="DC2" s="447"/>
      <c r="DD2" s="447"/>
      <c r="DE2" s="447"/>
      <c r="DF2" s="447"/>
      <c r="DG2" s="447"/>
      <c r="DH2" s="447"/>
      <c r="DI2" s="447"/>
      <c r="DJ2" s="447"/>
      <c r="DK2" s="447"/>
      <c r="DL2" s="447"/>
      <c r="DM2" s="448"/>
      <c r="DN2" s="130"/>
      <c r="DO2" s="446"/>
      <c r="DP2" s="447"/>
      <c r="DQ2" s="447"/>
      <c r="DR2" s="447"/>
      <c r="DS2" s="447"/>
      <c r="DT2" s="447"/>
      <c r="DU2" s="447"/>
      <c r="DV2" s="447"/>
      <c r="DW2" s="447"/>
      <c r="DX2" s="447"/>
      <c r="DY2" s="448"/>
    </row>
    <row r="3" spans="2:129" ht="14.1" customHeight="1" thickBot="1" x14ac:dyDescent="0.35">
      <c r="B3" s="395" t="s">
        <v>0</v>
      </c>
      <c r="C3" s="395" t="s">
        <v>174</v>
      </c>
      <c r="D3" s="550" t="s">
        <v>1</v>
      </c>
      <c r="E3" s="395" t="s">
        <v>25</v>
      </c>
      <c r="F3" s="560" t="s">
        <v>154</v>
      </c>
      <c r="G3" s="440" t="s">
        <v>26</v>
      </c>
      <c r="H3" s="562" t="s">
        <v>2</v>
      </c>
      <c r="I3" s="563"/>
      <c r="J3" s="563"/>
      <c r="K3" s="563"/>
      <c r="L3" s="563"/>
      <c r="M3" s="564"/>
      <c r="N3" s="568" t="s">
        <v>119</v>
      </c>
      <c r="O3" s="442" t="s">
        <v>92</v>
      </c>
      <c r="P3" s="441" t="s">
        <v>159</v>
      </c>
      <c r="Q3" s="395" t="s">
        <v>49</v>
      </c>
      <c r="R3" s="399" t="s">
        <v>106</v>
      </c>
      <c r="S3" s="69"/>
      <c r="T3" s="451" t="s">
        <v>89</v>
      </c>
      <c r="U3" s="409" t="s">
        <v>2</v>
      </c>
      <c r="V3" s="396" t="s">
        <v>30</v>
      </c>
      <c r="W3" s="426" t="s">
        <v>33</v>
      </c>
      <c r="X3" s="449" t="s">
        <v>91</v>
      </c>
      <c r="Y3" s="453" t="s">
        <v>92</v>
      </c>
      <c r="Z3" s="453" t="s">
        <v>31</v>
      </c>
      <c r="AA3" s="426" t="s">
        <v>90</v>
      </c>
      <c r="AB3" s="396" t="s">
        <v>18</v>
      </c>
      <c r="AC3" s="396" t="s">
        <v>32</v>
      </c>
      <c r="AD3" s="396" t="s">
        <v>19</v>
      </c>
      <c r="AE3" s="449" t="s">
        <v>34</v>
      </c>
      <c r="AF3" s="558" t="s">
        <v>3</v>
      </c>
      <c r="AG3" s="558" t="s">
        <v>123</v>
      </c>
      <c r="AH3" s="558"/>
      <c r="AI3" s="558"/>
      <c r="AJ3" s="558"/>
      <c r="AK3" s="558"/>
      <c r="AL3" s="558"/>
      <c r="AM3" s="558"/>
      <c r="AN3" s="558" t="s">
        <v>10</v>
      </c>
      <c r="AO3" s="558"/>
      <c r="AP3" s="558"/>
      <c r="AQ3" s="558"/>
      <c r="AR3" s="558"/>
      <c r="AS3" s="558"/>
      <c r="AT3" s="558"/>
      <c r="AU3" s="554" t="s">
        <v>92</v>
      </c>
      <c r="AV3" s="554" t="s">
        <v>49</v>
      </c>
      <c r="AW3" s="43"/>
      <c r="AX3" s="43"/>
      <c r="AY3" s="43"/>
      <c r="AZ3" s="483" t="s">
        <v>0</v>
      </c>
      <c r="BA3" s="486" t="s">
        <v>57</v>
      </c>
      <c r="BB3" s="428" t="s">
        <v>56</v>
      </c>
      <c r="BC3" s="428" t="s">
        <v>58</v>
      </c>
      <c r="BD3" s="486" t="s">
        <v>172</v>
      </c>
      <c r="BE3" s="489"/>
      <c r="BF3" s="489"/>
      <c r="BG3" s="489"/>
      <c r="BH3" s="489"/>
      <c r="BI3" s="490"/>
      <c r="BJ3" s="486" t="s">
        <v>173</v>
      </c>
      <c r="BK3" s="489"/>
      <c r="BL3" s="490"/>
      <c r="BM3" s="428" t="s">
        <v>171</v>
      </c>
      <c r="BN3" s="428" t="s">
        <v>161</v>
      </c>
      <c r="BO3" s="483" t="s">
        <v>59</v>
      </c>
      <c r="BP3" s="167"/>
      <c r="BQ3" s="12"/>
      <c r="BR3" s="12"/>
      <c r="BS3" s="376" t="s">
        <v>11</v>
      </c>
      <c r="BT3" s="376" t="s">
        <v>4</v>
      </c>
      <c r="BU3" s="376" t="s">
        <v>187</v>
      </c>
      <c r="BV3" s="376" t="s">
        <v>188</v>
      </c>
      <c r="BW3" s="376"/>
      <c r="BX3" s="376" t="s">
        <v>11</v>
      </c>
      <c r="BY3" s="376" t="s">
        <v>189</v>
      </c>
      <c r="BZ3" s="376" t="s">
        <v>190</v>
      </c>
      <c r="CA3" s="376" t="s">
        <v>191</v>
      </c>
      <c r="CB3" s="376" t="s">
        <v>187</v>
      </c>
      <c r="CC3" s="376" t="s">
        <v>188</v>
      </c>
      <c r="CV3" s="395" t="s">
        <v>0</v>
      </c>
      <c r="CW3" s="395" t="s">
        <v>174</v>
      </c>
      <c r="CX3" s="550" t="s">
        <v>1</v>
      </c>
      <c r="CY3" s="550" t="s">
        <v>185</v>
      </c>
      <c r="CZ3" s="395" t="s">
        <v>25</v>
      </c>
      <c r="DA3" s="560" t="s">
        <v>154</v>
      </c>
      <c r="DB3" s="440" t="s">
        <v>26</v>
      </c>
      <c r="DC3" s="562" t="s">
        <v>2</v>
      </c>
      <c r="DD3" s="563"/>
      <c r="DE3" s="563"/>
      <c r="DF3" s="563"/>
      <c r="DG3" s="563"/>
      <c r="DH3" s="564"/>
      <c r="DI3" s="568" t="s">
        <v>119</v>
      </c>
      <c r="DJ3" s="442" t="s">
        <v>92</v>
      </c>
      <c r="DK3" s="441" t="s">
        <v>159</v>
      </c>
      <c r="DL3" s="395" t="s">
        <v>49</v>
      </c>
      <c r="DM3" s="399" t="s">
        <v>106</v>
      </c>
      <c r="DN3" s="69"/>
      <c r="DO3" s="409" t="s">
        <v>89</v>
      </c>
      <c r="DP3" s="409" t="s">
        <v>2</v>
      </c>
      <c r="DQ3" s="396" t="s">
        <v>30</v>
      </c>
      <c r="DR3" s="426" t="s">
        <v>33</v>
      </c>
      <c r="DS3" s="426" t="s">
        <v>185</v>
      </c>
      <c r="DT3" s="449" t="s">
        <v>91</v>
      </c>
      <c r="DU3" s="453" t="s">
        <v>92</v>
      </c>
      <c r="DV3" s="396" t="s">
        <v>18</v>
      </c>
      <c r="DW3" s="396" t="s">
        <v>32</v>
      </c>
      <c r="DX3" s="396" t="s">
        <v>19</v>
      </c>
      <c r="DY3" s="449" t="s">
        <v>34</v>
      </c>
    </row>
    <row r="4" spans="2:129" ht="14.1" customHeight="1" thickBot="1" x14ac:dyDescent="0.35">
      <c r="B4" s="395"/>
      <c r="C4" s="395"/>
      <c r="D4" s="559"/>
      <c r="E4" s="395"/>
      <c r="F4" s="561"/>
      <c r="G4" s="440"/>
      <c r="H4" s="565"/>
      <c r="I4" s="566"/>
      <c r="J4" s="566"/>
      <c r="K4" s="566"/>
      <c r="L4" s="566"/>
      <c r="M4" s="567"/>
      <c r="N4" s="569"/>
      <c r="O4" s="442"/>
      <c r="P4" s="441"/>
      <c r="Q4" s="395"/>
      <c r="R4" s="399"/>
      <c r="S4" s="69"/>
      <c r="T4" s="452"/>
      <c r="U4" s="410"/>
      <c r="V4" s="397"/>
      <c r="W4" s="427"/>
      <c r="X4" s="450"/>
      <c r="Y4" s="454"/>
      <c r="Z4" s="454"/>
      <c r="AA4" s="427"/>
      <c r="AB4" s="397"/>
      <c r="AC4" s="397"/>
      <c r="AD4" s="397"/>
      <c r="AE4" s="450"/>
      <c r="AF4" s="558"/>
      <c r="AG4" s="558"/>
      <c r="AH4" s="558"/>
      <c r="AI4" s="558"/>
      <c r="AJ4" s="558"/>
      <c r="AK4" s="558"/>
      <c r="AL4" s="558"/>
      <c r="AM4" s="558"/>
      <c r="AN4" s="558"/>
      <c r="AO4" s="558"/>
      <c r="AP4" s="558"/>
      <c r="AQ4" s="558"/>
      <c r="AR4" s="558"/>
      <c r="AS4" s="558"/>
      <c r="AT4" s="558"/>
      <c r="AU4" s="554"/>
      <c r="AV4" s="554"/>
      <c r="AW4" s="12"/>
      <c r="AX4" s="12"/>
      <c r="AY4" s="12"/>
      <c r="AZ4" s="484"/>
      <c r="BA4" s="487"/>
      <c r="BB4" s="429"/>
      <c r="BC4" s="429"/>
      <c r="BD4" s="488"/>
      <c r="BE4" s="491"/>
      <c r="BF4" s="491"/>
      <c r="BG4" s="491"/>
      <c r="BH4" s="491"/>
      <c r="BI4" s="492"/>
      <c r="BJ4" s="488"/>
      <c r="BK4" s="491"/>
      <c r="BL4" s="492"/>
      <c r="BM4" s="429"/>
      <c r="BN4" s="429"/>
      <c r="BO4" s="484"/>
      <c r="BP4" s="167"/>
      <c r="BQ4" s="12"/>
      <c r="BR4" s="12"/>
      <c r="BS4" s="376"/>
      <c r="BT4" s="376"/>
      <c r="BU4" s="376"/>
      <c r="BV4" s="376"/>
      <c r="BW4" s="376"/>
      <c r="BX4" s="376"/>
      <c r="BY4" s="376"/>
      <c r="BZ4" s="376"/>
      <c r="CA4" s="376"/>
      <c r="CB4" s="376"/>
      <c r="CC4" s="376"/>
      <c r="CV4" s="395"/>
      <c r="CW4" s="395"/>
      <c r="CX4" s="559"/>
      <c r="CY4" s="559"/>
      <c r="CZ4" s="395"/>
      <c r="DA4" s="561"/>
      <c r="DB4" s="440"/>
      <c r="DC4" s="565"/>
      <c r="DD4" s="566"/>
      <c r="DE4" s="566"/>
      <c r="DF4" s="566"/>
      <c r="DG4" s="566"/>
      <c r="DH4" s="567"/>
      <c r="DI4" s="569"/>
      <c r="DJ4" s="442"/>
      <c r="DK4" s="441"/>
      <c r="DL4" s="395"/>
      <c r="DM4" s="399"/>
      <c r="DN4" s="69"/>
      <c r="DO4" s="410"/>
      <c r="DP4" s="410"/>
      <c r="DQ4" s="397"/>
      <c r="DR4" s="427"/>
      <c r="DS4" s="427"/>
      <c r="DT4" s="450"/>
      <c r="DU4" s="454"/>
      <c r="DV4" s="397"/>
      <c r="DW4" s="397"/>
      <c r="DX4" s="397"/>
      <c r="DY4" s="450"/>
    </row>
    <row r="5" spans="2:129" ht="14.1" customHeight="1" thickBot="1" x14ac:dyDescent="0.35">
      <c r="B5" s="550"/>
      <c r="C5" s="550"/>
      <c r="D5" s="559"/>
      <c r="E5" s="550"/>
      <c r="F5" s="561"/>
      <c r="G5" s="551"/>
      <c r="H5" s="170">
        <v>10</v>
      </c>
      <c r="I5" s="171">
        <v>25</v>
      </c>
      <c r="J5" s="171">
        <v>50</v>
      </c>
      <c r="K5" s="170">
        <v>75</v>
      </c>
      <c r="L5" s="171">
        <v>1</v>
      </c>
      <c r="M5" s="172">
        <v>5</v>
      </c>
      <c r="N5" s="569"/>
      <c r="O5" s="549"/>
      <c r="P5" s="552"/>
      <c r="Q5" s="550"/>
      <c r="R5" s="553"/>
      <c r="S5" s="69"/>
      <c r="T5" s="452"/>
      <c r="U5" s="410"/>
      <c r="V5" s="397"/>
      <c r="W5" s="427"/>
      <c r="X5" s="450"/>
      <c r="Y5" s="454"/>
      <c r="Z5" s="454"/>
      <c r="AA5" s="427"/>
      <c r="AB5" s="397"/>
      <c r="AC5" s="397"/>
      <c r="AD5" s="397"/>
      <c r="AE5" s="450"/>
      <c r="AF5" s="558"/>
      <c r="AG5" s="558"/>
      <c r="AH5" s="558"/>
      <c r="AI5" s="558"/>
      <c r="AJ5" s="558"/>
      <c r="AK5" s="558"/>
      <c r="AL5" s="558"/>
      <c r="AM5" s="558"/>
      <c r="AN5" s="558"/>
      <c r="AO5" s="558"/>
      <c r="AP5" s="558"/>
      <c r="AQ5" s="558"/>
      <c r="AR5" s="558"/>
      <c r="AS5" s="558"/>
      <c r="AT5" s="558"/>
      <c r="AU5" s="554"/>
      <c r="AV5" s="554"/>
      <c r="AW5" s="12"/>
      <c r="AX5" s="12"/>
      <c r="AY5" s="12"/>
      <c r="AZ5" s="485"/>
      <c r="BA5" s="488"/>
      <c r="BB5" s="430"/>
      <c r="BC5" s="430"/>
      <c r="BD5" s="45">
        <v>10</v>
      </c>
      <c r="BE5" s="45">
        <v>25</v>
      </c>
      <c r="BF5" s="45">
        <v>50</v>
      </c>
      <c r="BG5" s="45">
        <v>75</v>
      </c>
      <c r="BH5" s="45">
        <v>1</v>
      </c>
      <c r="BI5" s="146">
        <v>5</v>
      </c>
      <c r="BJ5" s="146">
        <v>25</v>
      </c>
      <c r="BK5" s="146">
        <v>50</v>
      </c>
      <c r="BL5" s="146">
        <v>1</v>
      </c>
      <c r="BM5" s="430"/>
      <c r="BN5" s="430"/>
      <c r="BO5" s="485"/>
      <c r="BP5" s="167"/>
      <c r="BQ5" s="12"/>
      <c r="BR5" s="12"/>
      <c r="BS5" s="577" t="s">
        <v>12</v>
      </c>
      <c r="BT5" s="504"/>
      <c r="BU5" s="525">
        <v>69</v>
      </c>
      <c r="BV5" s="578">
        <f>BU5*BT5</f>
        <v>0</v>
      </c>
      <c r="BW5" s="579" t="s">
        <v>157</v>
      </c>
      <c r="BX5" s="582">
        <v>10</v>
      </c>
      <c r="BY5" s="503">
        <f>BD65</f>
        <v>0</v>
      </c>
      <c r="BZ5" s="583" t="e">
        <f>H166</f>
        <v>#NAME?</v>
      </c>
      <c r="CA5" s="575"/>
      <c r="CB5" s="525">
        <v>800</v>
      </c>
      <c r="CC5" s="574">
        <f>BY5*CB5</f>
        <v>0</v>
      </c>
      <c r="CV5" s="395"/>
      <c r="CW5" s="395"/>
      <c r="CX5" s="570"/>
      <c r="CY5" s="570"/>
      <c r="CZ5" s="395"/>
      <c r="DA5" s="571"/>
      <c r="DB5" s="440"/>
      <c r="DC5" s="58">
        <v>10</v>
      </c>
      <c r="DD5" s="57">
        <v>25</v>
      </c>
      <c r="DE5" s="57">
        <v>50</v>
      </c>
      <c r="DF5" s="58">
        <v>75</v>
      </c>
      <c r="DG5" s="57">
        <v>1</v>
      </c>
      <c r="DH5" s="38">
        <v>5</v>
      </c>
      <c r="DI5" s="572"/>
      <c r="DJ5" s="442"/>
      <c r="DK5" s="441"/>
      <c r="DL5" s="395"/>
      <c r="DM5" s="399"/>
      <c r="DN5" s="69"/>
      <c r="DO5" s="411"/>
      <c r="DP5" s="410"/>
      <c r="DQ5" s="397"/>
      <c r="DR5" s="427"/>
      <c r="DS5" s="573"/>
      <c r="DT5" s="450"/>
      <c r="DU5" s="454"/>
      <c r="DV5" s="397"/>
      <c r="DW5" s="397"/>
      <c r="DX5" s="397"/>
      <c r="DY5" s="450"/>
    </row>
    <row r="6" spans="2:129" ht="15" customHeight="1" thickBot="1" x14ac:dyDescent="0.35">
      <c r="B6" s="173"/>
      <c r="C6" s="154"/>
      <c r="D6" s="174"/>
      <c r="E6" s="62"/>
      <c r="F6" s="175"/>
      <c r="G6" s="176"/>
      <c r="H6" s="9"/>
      <c r="I6" s="9"/>
      <c r="J6" s="9"/>
      <c r="K6" s="9"/>
      <c r="L6" s="9"/>
      <c r="M6" s="46"/>
      <c r="N6" s="32">
        <f t="shared" ref="N6:N69" si="0">((($H$5*H6)/100)+($I$5*I6)/100)+((J6*$J$5)/100)+(($K$5*K6)/100)+($L$5*L6)+($M$5*M6)</f>
        <v>0</v>
      </c>
      <c r="O6" s="177" t="b">
        <f>IF(AND(E6="CLIENT S+L",F6="HUILE"),(S6*3333.33+(VLOOKUP(H6,'BASE '!$I$112:$J$142,2,0)))-((S6*3333.33)*G6),IF(AND(E6="CLIENT S+L",F6="LAIT"),((S6*952.4)-(S6*952.4)*G6),IF(E6="CLIENT O","OFFERT",IF(AND(F6="HUILE",E6="CLIENT L"),(((VLOOKUP(H6,'BASE '!$I$112:$J$142,2,0))+(VLOOKUP(S6,'BASE '!#REF!,2,0)))),IF(AND(F6="LAIT",E6="CLIENT L"),(S6*952.4),IF(AND(F6="HUILE",E6="CLIENT D"),(S6*3809.53+(VLOOKUP(H6,'BASE '!$I$112:$J$142,2,0))),IF(AND(F6="LAIT",E6="CLIENT D"),(S6*952.4),IF(AND(F6="HUILE",E6="CLIENT S+D"),((S6*3809.53+(VLOOKUP(H6,'BASE '!$I$112:$J$142,2,0)))-((S6*3809.53)*G6)),IF(AND(F6="LAIT",E6="CLIENT S+D"),((S6*952.4)-((S6*952.4)*G6)),IF(AND(E6="CLIENT S",F6="LAIT"),((S6*952.4)-((S6*952.4)*G6)),IF(AND(F6="HUILE",E6="CLIENT S"),(VLOOKUP(H6,'BASE '!$I$112:$J$142,2,0)+(VLOOKUP(S6,'BASE '!#REF!,2,0)))-(G6*((VLOOKUP(S6,'BASE '!#REF!,2,0)+(VLOOKUP(H6,'BASE '!$I$112:$J$142,2,0))))))))))))))))</f>
        <v>0</v>
      </c>
      <c r="P6" s="177" t="b">
        <f t="shared" ref="P6:P69" si="1">IF(E6="CLIENT S+L",(O6*0.05),IF(E6="CLIENT S",(O6*0.05),IF(E6="CLIENT D",(O6*5/100),IF(E6="CLIENT L",(O6*5)/100,IF(E6="CLIENT S+D",(O6*0.05),IF(E6="CLIENT O",O6))))))</f>
        <v>0</v>
      </c>
      <c r="Q6" s="178" t="b">
        <f t="shared" ref="Q6:Q69" si="2">IF(E6="CLIENT S+L",(O6+P6),IF(E6="CLIENT D",O6+P6,IF(E6="CLIENT S",(O6+P6),IF(E6="CLIENT L",O6+P6,IF(E6="CLIENT S+D",(O6+P6),IF(E6="CLIENT O",P6))))))</f>
        <v>0</v>
      </c>
      <c r="R6" s="153" t="s">
        <v>175</v>
      </c>
      <c r="S6" s="184">
        <f>(($I$5*I6)/100)+((J6*$J$5)/100)+(($K$5*K6)/100)+($L$5*L6)+($M$5*M6)</f>
        <v>0</v>
      </c>
      <c r="T6" s="117"/>
      <c r="U6" s="118" t="s">
        <v>175</v>
      </c>
      <c r="V6" s="119" t="e">
        <f>VLOOKUP(U6,'BASE '!$A$4:$H$144,2,0)</f>
        <v>#N/A</v>
      </c>
      <c r="W6" s="161"/>
      <c r="X6" s="161"/>
      <c r="Y6" s="162"/>
      <c r="Z6" s="120" t="e">
        <f>VLOOKUP(U6,'BASE '!$A$4:$H$144,3,0)</f>
        <v>#N/A</v>
      </c>
      <c r="AA6" s="121" t="e">
        <f t="shared" ref="AA6:AA69" si="3">(Y6*Z6)/100</f>
        <v>#N/A</v>
      </c>
      <c r="AB6" s="122" t="e">
        <f>VLOOKUP(U6,'BASE '!$A$4:$H$144,6,0)*Y6/100</f>
        <v>#N/A</v>
      </c>
      <c r="AC6" s="122" t="e">
        <f>VLOOKUP(U6,'BASE '!$A$4:$H$144,7,0)*Y6/100</f>
        <v>#N/A</v>
      </c>
      <c r="AD6" s="122" t="e">
        <f>VLOOKUP(U6,'BASE '!$A$4:$H$144,8,0)*Y6/100</f>
        <v>#N/A</v>
      </c>
      <c r="AE6" s="123" t="e">
        <f>AA6+AB6+AC6+AD6</f>
        <v>#N/A</v>
      </c>
      <c r="AF6" s="558"/>
      <c r="AG6" s="144"/>
      <c r="AH6" s="144">
        <v>10</v>
      </c>
      <c r="AI6" s="144">
        <v>25</v>
      </c>
      <c r="AJ6" s="144">
        <v>50</v>
      </c>
      <c r="AK6" s="144">
        <v>75</v>
      </c>
      <c r="AL6" s="144">
        <v>1</v>
      </c>
      <c r="AM6" s="144">
        <v>5</v>
      </c>
      <c r="AN6" s="144"/>
      <c r="AO6" s="144">
        <v>10</v>
      </c>
      <c r="AP6" s="144">
        <v>25</v>
      </c>
      <c r="AQ6" s="144">
        <v>50</v>
      </c>
      <c r="AR6" s="144">
        <v>75</v>
      </c>
      <c r="AS6" s="144">
        <v>1</v>
      </c>
      <c r="AT6" s="144">
        <v>5</v>
      </c>
      <c r="AU6" s="554"/>
      <c r="AV6" s="554"/>
      <c r="AW6" s="12"/>
      <c r="AX6" s="12"/>
      <c r="AY6" s="12"/>
      <c r="AZ6" s="8"/>
      <c r="BA6" s="148"/>
      <c r="BB6" s="148"/>
      <c r="BC6" s="148"/>
      <c r="BD6" s="10"/>
      <c r="BE6" s="10"/>
      <c r="BF6" s="10"/>
      <c r="BG6" s="10"/>
      <c r="BH6" s="10"/>
      <c r="BI6" s="10"/>
      <c r="BJ6" s="10"/>
      <c r="BK6" s="10"/>
      <c r="BL6" s="10"/>
      <c r="BM6" s="147">
        <f>(BD6*0.1)+(BE6*0.25)+(BF6*0.5)+(BG6*0.75)+(BH6*1)+(BI6*5)</f>
        <v>0</v>
      </c>
      <c r="BN6" s="147">
        <f>(BJ6*0.25)+(BK6*0.5)+(BL6*1)</f>
        <v>0</v>
      </c>
      <c r="BO6" s="149"/>
      <c r="BP6" s="166"/>
      <c r="BQ6" s="12"/>
      <c r="BR6" s="12"/>
      <c r="BS6" s="476"/>
      <c r="BT6" s="481"/>
      <c r="BU6" s="475"/>
      <c r="BV6" s="545"/>
      <c r="BW6" s="580"/>
      <c r="BX6" s="576"/>
      <c r="BY6" s="497"/>
      <c r="BZ6" s="584"/>
      <c r="CA6" s="543"/>
      <c r="CB6" s="475"/>
      <c r="CC6" s="544"/>
      <c r="CV6" s="64"/>
      <c r="CW6" s="148"/>
      <c r="CX6" s="115"/>
      <c r="CY6" s="131"/>
      <c r="CZ6" s="143"/>
      <c r="DA6" s="127"/>
      <c r="DB6" s="50"/>
      <c r="DC6" s="10"/>
      <c r="DD6" s="10"/>
      <c r="DE6" s="10"/>
      <c r="DF6" s="10"/>
      <c r="DG6" s="10"/>
      <c r="DH6" s="39"/>
      <c r="DI6" s="33">
        <f t="shared" ref="DI6:DI29" si="4">((($H$5*DC6)/100)+($I$5*DD6)/100)+((DE6*$J$5)/100)+(($K$5*DF6)/100)+($L$5*DG6)+($M$5*DH6)</f>
        <v>0</v>
      </c>
      <c r="DJ6" s="52" t="b">
        <f>IF(AND(CZ6="CLIENT S+L",DA6="HUILE"),(DN6*3333.33+(VLOOKUP(DC6,'BASE '!$I$112:$J$142,2,0)))-((DN6*3333.33)*DB6),IF(AND(CZ6="CLIENT S+L",DA6="LAIT"),((DN6*952.4)-(DN6*952.4)*DB6),IF(CZ6="CLIENT O","OFFERT",IF(AND(DA6="HUILE",CZ6="CLIENT L"),(((VLOOKUP(DC6,'BASE '!$I$112:$J$142,2,0))+(VLOOKUP(DN6,'BASE '!#REF!,2,0)))),IF(AND(DA6="LAIT",CZ6="CLIENT L"),(DN6*952.4),IF(AND(DA6="HUILE",CZ6="CLIENT D"),(DN6*3809.53+(VLOOKUP(DC6,'BASE '!$I$112:$J$142,2,0))),IF(AND(DA6="LAIT",CZ6="CLIENT D"),(DN6*952.4),IF(AND(DA6="HUILE",CZ6="CLIENT S+D"),((DN6*3809.53+(VLOOKUP(DC6,'BASE '!$I$112:$J$142,2,0)))-((DN6*3809.53)*DB6)),IF(AND(DA6="LAIT",CZ6="CLIENT S+D"),((DN6*952.4)-((DN6*952.4)*DB6)),IF(AND(CZ6="CLIENT S",DA6="LAIT"),((DN6*952.4)-((DN6*952.4)*DB6)),IF(AND(DA6="HUILE",CZ6="CLIENT S"),(VLOOKUP(DC6,'BASE '!$I$112:$J$142,2,0)+(VLOOKUP(DN6,'BASE '!#REF!,2,0)))-(DB6*((VLOOKUP(DN6,'BASE '!#REF!,2,0)+(VLOOKUP(DC6,'BASE '!$I$112:$J$142,2,0))))))))))))))))</f>
        <v>0</v>
      </c>
      <c r="DK6" s="52" t="b">
        <f t="shared" ref="DK6:DK29" si="5">IF(CZ6="CLIENT S+L",(DJ6*0.05),IF(CZ6="CLIENT S",(DJ6*0.05),IF(CZ6="CLIENT D",(DJ6*5/100),IF(CZ6="CLIENT L",(DJ6*5)/100,IF(CZ6="CLIENT S+D",(DJ6*0.05),IF(CZ6="CLIENT O",DJ6))))))</f>
        <v>0</v>
      </c>
      <c r="DL6" s="53" t="b">
        <f>IF(CZ6="CLIENT S+L",(DJ6+DK6+CY6),IF(CZ6="CLIENT D",(DJ6+DK6+CY6),IF(CZ6="CLIENT S",(DJ6+DK6+CY6),IF(CZ6="CLIENT L",(DJ6+DK6+CY6),IF(CZ6="CLIENT S+D",(DJ6+DK6+CY6),IF(CZ6="CLIENT O",DK6))))))</f>
        <v>0</v>
      </c>
      <c r="DM6" s="149" t="s">
        <v>175</v>
      </c>
      <c r="DN6" s="116">
        <f>(($I$5*DD6)/100)+((DE6*$J$5)/100)+(($K$5*DF6)/100)+($L$5*DG6)+($M$5*DH6)</f>
        <v>0</v>
      </c>
      <c r="DO6" s="117"/>
      <c r="DP6" s="118" t="s">
        <v>175</v>
      </c>
      <c r="DQ6" s="119"/>
      <c r="DR6" s="161"/>
      <c r="DS6" s="161"/>
      <c r="DT6" s="161"/>
      <c r="DU6" s="162"/>
      <c r="DV6" s="122"/>
      <c r="DW6" s="122"/>
      <c r="DX6" s="122"/>
      <c r="DY6" s="123"/>
    </row>
    <row r="7" spans="2:129" ht="15" customHeight="1" x14ac:dyDescent="0.3">
      <c r="B7" s="64"/>
      <c r="C7" s="148"/>
      <c r="D7" s="109"/>
      <c r="E7" s="63"/>
      <c r="F7" s="127"/>
      <c r="G7" s="50"/>
      <c r="H7" s="10"/>
      <c r="I7" s="10"/>
      <c r="J7" s="10"/>
      <c r="K7" s="10"/>
      <c r="L7" s="10"/>
      <c r="M7" s="39"/>
      <c r="N7" s="33">
        <f t="shared" si="0"/>
        <v>0</v>
      </c>
      <c r="O7" s="52" t="b">
        <f>IF(AND(E7="CLIENT S+L",F7="HUILE"),(S7*3333.33+(VLOOKUP(H7,'BASE '!$I$112:$J$142,2,0)))-((S7*3333.33)*G7),IF(AND(E7="CLIENT S+L",F7="LAIT"),((S7*952.4)-(S7*952.4)*G7),IF(E7="CLIENT O","OFFERT",IF(AND(F7="HUILE",E7="CLIENT L"),(((VLOOKUP(H7,'BASE '!$I$112:$J$142,2,0))+(VLOOKUP(S7,'BASE '!#REF!,2,0)))),IF(AND(F7="LAIT",E7="CLIENT L"),(S7*952.4),IF(AND(F7="HUILE",E7="CLIENT D"),(S7*3809.53+(VLOOKUP(H7,'BASE '!$I$112:$J$142,2,0))),IF(AND(F7="LAIT",E7="CLIENT D"),(S7*952.4),IF(AND(F7="HUILE",E7="CLIENT S+D"),((S7*3809.53+(VLOOKUP(H7,'BASE '!$I$112:$J$142,2,0)))-((S7*3809.53)*G7)),IF(AND(F7="LAIT",E7="CLIENT S+D"),((S7*952.4)-((S7*952.4)*G7)),IF(AND(E7="CLIENT S",F7="LAIT"),((S7*952.4)-((S7*952.4)*G7)),IF(AND(F7="HUILE",E7="CLIENT S"),(VLOOKUP(H7,'BASE '!$I$112:$J$142,2,0)+(VLOOKUP(S7,'BASE '!#REF!,2,0)))-(G7*((VLOOKUP(S7,'BASE '!#REF!,2,0)+(VLOOKUP(H7,'BASE '!$I$112:$J$142,2,0))))))))))))))))</f>
        <v>0</v>
      </c>
      <c r="P7" s="52" t="b">
        <f t="shared" si="1"/>
        <v>0</v>
      </c>
      <c r="Q7" s="53" t="b">
        <f t="shared" si="2"/>
        <v>0</v>
      </c>
      <c r="R7" s="152" t="s">
        <v>175</v>
      </c>
      <c r="S7" s="184">
        <f t="shared" ref="S7:S70" si="6">(($I$5*I7)/100)+((J7*$J$5)/100)+(($K$5*K7)/100)+($L$5*L7)+($M$5*M7)</f>
        <v>0</v>
      </c>
      <c r="T7" s="124"/>
      <c r="U7" s="41" t="s">
        <v>175</v>
      </c>
      <c r="V7" s="70" t="e">
        <f>VLOOKUP(U7,'BASE '!$A$4:$H$144,2,0)</f>
        <v>#N/A</v>
      </c>
      <c r="W7" s="159"/>
      <c r="X7" s="159"/>
      <c r="Y7" s="160"/>
      <c r="Z7" s="158" t="e">
        <f>VLOOKUP(U7,'BASE '!$A$4:$H$144,3,0)</f>
        <v>#N/A</v>
      </c>
      <c r="AA7" s="94" t="e">
        <f t="shared" si="3"/>
        <v>#N/A</v>
      </c>
      <c r="AB7" s="95" t="e">
        <f>VLOOKUP(U7,'BASE '!$A$4:$H$144,6,0)*Y7/100</f>
        <v>#N/A</v>
      </c>
      <c r="AC7" s="95" t="e">
        <f>VLOOKUP(U7,'BASE '!$A$4:$H$144,7,0)*Y7/100</f>
        <v>#N/A</v>
      </c>
      <c r="AD7" s="95" t="e">
        <f>VLOOKUP(U7,'BASE '!$A$4:$H$144,8,0)*Y7/100</f>
        <v>#N/A</v>
      </c>
      <c r="AE7" s="96" t="e">
        <f t="shared" ref="AE7:AE70" si="7">AA7+AB7+AC7+AD7</f>
        <v>#N/A</v>
      </c>
      <c r="AF7" s="433" t="s">
        <v>5</v>
      </c>
      <c r="AG7" s="129" t="s">
        <v>157</v>
      </c>
      <c r="AH7" s="35" t="e">
        <f>SUMIFS($H$6:$H$165,$D$6:$D$165,AF7,CHOIX,AG7)</f>
        <v>#NAME?</v>
      </c>
      <c r="AI7" s="35" t="e">
        <f>SUMIFS($I$6:$I$165,$D$6:$D$165,AF7,CHOIX,AG7)</f>
        <v>#NAME?</v>
      </c>
      <c r="AJ7" s="35" t="e">
        <f>SUMIFS($J$6:$J$165,$D$6:$D$165,AF7,CHOIX,AG7)</f>
        <v>#NAME?</v>
      </c>
      <c r="AK7" s="35" t="e">
        <f>SUMIFS($K$6:$K$165,$D$6:$D$165,AF7,CHOIX,AG7)</f>
        <v>#NAME?</v>
      </c>
      <c r="AL7" s="35" t="e">
        <f>SUMIFS($L$6:$L$165,$D$6:$D$165,AF7,CHOIX,AG7)</f>
        <v>#NAME?</v>
      </c>
      <c r="AM7" s="35" t="e">
        <f>SUMIFS($M$6:$M$165,$D$6:$D$165,AF7,CHOIX,AG7)</f>
        <v>#NAME?</v>
      </c>
      <c r="AN7" s="90" t="s">
        <v>157</v>
      </c>
      <c r="AO7" s="81"/>
      <c r="AP7" s="62"/>
      <c r="AQ7" s="62"/>
      <c r="AR7" s="62"/>
      <c r="AS7" s="78"/>
      <c r="AT7" s="78"/>
      <c r="AU7" s="54" t="e">
        <f>SUMIFS($O$6:$O$165,$D$6:$D$165,AF7,CHOIX,AG7)</f>
        <v>#NAME?</v>
      </c>
      <c r="AV7" s="82" t="e">
        <f>SUMIFS($Q$6:$Q$165,$D$6:$D$165,AF7,CHOIX,AG7)</f>
        <v>#NAME?</v>
      </c>
      <c r="AW7" s="12"/>
      <c r="AX7" s="12"/>
      <c r="AY7" s="12"/>
      <c r="AZ7" s="8"/>
      <c r="BA7" s="148"/>
      <c r="BB7" s="148"/>
      <c r="BC7" s="148"/>
      <c r="BD7" s="10"/>
      <c r="BE7" s="10"/>
      <c r="BF7" s="10"/>
      <c r="BG7" s="10"/>
      <c r="BH7" s="10"/>
      <c r="BI7" s="10"/>
      <c r="BJ7" s="10"/>
      <c r="BK7" s="10"/>
      <c r="BL7" s="10"/>
      <c r="BM7" s="147">
        <f t="shared" ref="BM7:BM61" si="8">(BD7*0.1)+(BE7*0.25)+(BF7*0.5)+(BG7*0.75)+(BH7*1)+(BI7*5)</f>
        <v>0</v>
      </c>
      <c r="BN7" s="147">
        <f t="shared" ref="BN7:BN61" si="9">(BJ7*0.25)+(BK7*0.5)+(BL7*1)</f>
        <v>0</v>
      </c>
      <c r="BO7" s="149"/>
      <c r="BP7" s="166"/>
      <c r="BQ7" s="12"/>
      <c r="BR7" s="12"/>
      <c r="BS7" s="476" t="s">
        <v>120</v>
      </c>
      <c r="BT7" s="481"/>
      <c r="BU7" s="475">
        <v>184</v>
      </c>
      <c r="BV7" s="545">
        <f t="shared" ref="BV7" si="10">BU7*BT7</f>
        <v>0</v>
      </c>
      <c r="BW7" s="580"/>
      <c r="BX7" s="576">
        <v>25</v>
      </c>
      <c r="BY7" s="497">
        <f>BE66</f>
        <v>0</v>
      </c>
      <c r="BZ7" s="496" t="e">
        <f>I166</f>
        <v>#NAME?</v>
      </c>
      <c r="CA7" s="542"/>
      <c r="CB7" s="475">
        <v>1000</v>
      </c>
      <c r="CC7" s="544">
        <f t="shared" ref="CC7" si="11">BY7*CB7</f>
        <v>0</v>
      </c>
      <c r="CV7" s="64"/>
      <c r="CW7" s="148"/>
      <c r="CX7" s="109"/>
      <c r="CY7" s="132"/>
      <c r="CZ7" s="143"/>
      <c r="DA7" s="127"/>
      <c r="DB7" s="50"/>
      <c r="DC7" s="113"/>
      <c r="DD7" s="113"/>
      <c r="DE7" s="113"/>
      <c r="DF7" s="113"/>
      <c r="DG7" s="113"/>
      <c r="DH7" s="112"/>
      <c r="DI7" s="33">
        <f t="shared" si="4"/>
        <v>0</v>
      </c>
      <c r="DJ7" s="52" t="b">
        <f>IF(AND(CZ7="CLIENT S+L",DA7="HUILE"),(DN7*3333.33+(VLOOKUP(DC7,'BASE '!$I$112:$J$142,2,0)))-((DN7*3333.33)*DB7),IF(AND(CZ7="CLIENT S+L",DA7="LAIT"),((DN7*952.4)-(DN7*952.4)*DB7),IF(CZ7="CLIENT O","OFFERT",IF(AND(DA7="HUILE",CZ7="CLIENT L"),(((VLOOKUP(DC7,'BASE '!$I$112:$J$142,2,0))+(VLOOKUP(DN7,'BASE '!#REF!,2,0)))),IF(AND(DA7="LAIT",CZ7="CLIENT L"),(DN7*952.4),IF(AND(DA7="HUILE",CZ7="CLIENT D"),(DN7*3809.53+(VLOOKUP(DC7,'BASE '!$I$112:$J$142,2,0))),IF(AND(DA7="LAIT",CZ7="CLIENT D"),(DN7*952.4),IF(AND(DA7="HUILE",CZ7="CLIENT S+D"),((DN7*3809.53+(VLOOKUP(DC7,'BASE '!$I$112:$J$142,2,0)))-((DN7*3809.53)*DB7)),IF(AND(DA7="LAIT",CZ7="CLIENT S+D"),((DN7*952.4)-((DN7*952.4)*DB7)),IF(AND(CZ7="CLIENT S",DA7="LAIT"),((DN7*952.4)-((DN7*952.4)*DB7)),IF(AND(DA7="HUILE",CZ7="CLIENT S"),(VLOOKUP(DC7,'BASE '!$I$112:$J$142,2,0)+(VLOOKUP(DN7,'BASE '!#REF!,2,0)))-(DB7*((VLOOKUP(DN7,'BASE '!#REF!,2,0)+(VLOOKUP(DC7,'BASE '!$I$112:$J$142,2,0))))))))))))))))</f>
        <v>0</v>
      </c>
      <c r="DK7" s="52" t="b">
        <f t="shared" si="5"/>
        <v>0</v>
      </c>
      <c r="DL7" s="53" t="b">
        <f t="shared" ref="DL7:DL29" si="12">IF(CZ7="CLIENT S+L",(DJ7+DK7+CY7),IF(CZ7="CLIENT D",(DJ7+DK7+CY7),IF(CZ7="CLIENT S",(DJ7+DK7+CY7),IF(CZ7="CLIENT L",(DJ7+DK7+CY7),IF(CZ7="CLIENT S+D",(DJ7+DK7+CY7),IF(CZ7="CLIENT O",DK7))))))</f>
        <v>0</v>
      </c>
      <c r="DM7" s="149" t="s">
        <v>175</v>
      </c>
      <c r="DN7" s="116">
        <f t="shared" ref="DN7:DN28" si="13">(($I$5*DD7)/100)+((DE7*$J$5)/100)+(($K$5*DF7)/100)+($L$5*DG7)+($M$5*DH7)</f>
        <v>0</v>
      </c>
      <c r="DO7" s="124"/>
      <c r="DP7" s="41" t="s">
        <v>175</v>
      </c>
      <c r="DQ7" s="70"/>
      <c r="DR7" s="159"/>
      <c r="DS7" s="159"/>
      <c r="DT7" s="159"/>
      <c r="DU7" s="160"/>
      <c r="DV7" s="95"/>
      <c r="DW7" s="95"/>
      <c r="DX7" s="95"/>
      <c r="DY7" s="96"/>
    </row>
    <row r="8" spans="2:129" ht="15" customHeight="1" x14ac:dyDescent="0.3">
      <c r="B8" s="64"/>
      <c r="C8" s="148"/>
      <c r="D8" s="109"/>
      <c r="E8" s="63"/>
      <c r="F8" s="127"/>
      <c r="G8" s="50"/>
      <c r="H8" s="10"/>
      <c r="I8" s="10"/>
      <c r="J8" s="10"/>
      <c r="K8" s="10"/>
      <c r="L8" s="10"/>
      <c r="M8" s="39"/>
      <c r="N8" s="33">
        <f t="shared" si="0"/>
        <v>0</v>
      </c>
      <c r="O8" s="52" t="b">
        <f>IF(AND(E8="CLIENT S+L",F8="HUILE"),(S8*3333.33+(VLOOKUP(H8,'BASE '!$I$112:$J$142,2,0)))-((S8*3333.33)*G8),IF(AND(E8="CLIENT S+L",F8="LAIT"),((S8*952.4)-(S8*952.4)*G8),IF(E8="CLIENT O","OFFERT",IF(AND(F8="HUILE",E8="CLIENT L"),(((VLOOKUP(H8,'BASE '!$I$112:$J$142,2,0))+(VLOOKUP(S8,'BASE '!#REF!,2,0)))),IF(AND(F8="LAIT",E8="CLIENT L"),(S8*952.4),IF(AND(F8="HUILE",E8="CLIENT D"),(S8*3809.53+(VLOOKUP(H8,'BASE '!$I$112:$J$142,2,0))),IF(AND(F8="LAIT",E8="CLIENT D"),(S8*952.4),IF(AND(F8="HUILE",E8="CLIENT S+D"),((S8*3809.53+(VLOOKUP(H8,'BASE '!$I$112:$J$142,2,0)))-((S8*3809.53)*G8)),IF(AND(F8="LAIT",E8="CLIENT S+D"),((S8*952.4)-((S8*952.4)*G8)),IF(AND(E8="CLIENT S",F8="LAIT"),((S8*952.4)-((S8*952.4)*G8)),IF(AND(F8="HUILE",E8="CLIENT S"),(VLOOKUP(H8,'BASE '!$I$112:$J$142,2,0)+(VLOOKUP(S8,'BASE '!#REF!,2,0)))-(G8*((VLOOKUP(S8,'BASE '!#REF!,2,0)+(VLOOKUP(H8,'BASE '!$I$112:$J$142,2,0))))))))))))))))</f>
        <v>0</v>
      </c>
      <c r="P8" s="52" t="b">
        <f t="shared" si="1"/>
        <v>0</v>
      </c>
      <c r="Q8" s="53" t="b">
        <f t="shared" si="2"/>
        <v>0</v>
      </c>
      <c r="R8" s="152" t="s">
        <v>175</v>
      </c>
      <c r="S8" s="184">
        <f t="shared" si="6"/>
        <v>0</v>
      </c>
      <c r="T8" s="124"/>
      <c r="U8" s="41" t="s">
        <v>175</v>
      </c>
      <c r="V8" s="70" t="e">
        <f>VLOOKUP(U8,'BASE '!$A$4:$H$144,2,0)</f>
        <v>#N/A</v>
      </c>
      <c r="W8" s="159"/>
      <c r="X8" s="159"/>
      <c r="Y8" s="160"/>
      <c r="Z8" s="158" t="e">
        <f>VLOOKUP(U8,'BASE '!$A$4:$H$144,3,0)</f>
        <v>#N/A</v>
      </c>
      <c r="AA8" s="94" t="e">
        <f t="shared" si="3"/>
        <v>#N/A</v>
      </c>
      <c r="AB8" s="95" t="e">
        <f>VLOOKUP(U8,'BASE '!$A$4:$H$144,6,0)*Y8/100</f>
        <v>#N/A</v>
      </c>
      <c r="AC8" s="95" t="e">
        <f>VLOOKUP(U8,'BASE '!$A$4:$H$144,7,0)*Y8/100</f>
        <v>#N/A</v>
      </c>
      <c r="AD8" s="95" t="e">
        <f>VLOOKUP(U8,'BASE '!$A$4:$H$144,8,0)*Y8/100</f>
        <v>#N/A</v>
      </c>
      <c r="AE8" s="96" t="e">
        <f t="shared" si="7"/>
        <v>#N/A</v>
      </c>
      <c r="AF8" s="434"/>
      <c r="AG8" s="1" t="s">
        <v>155</v>
      </c>
      <c r="AH8" s="36" t="e">
        <f>SUMIFS($H$6:$H$165,$D$6:$D$165,AF7,CHOIX,AG8)</f>
        <v>#NAME?</v>
      </c>
      <c r="AI8" s="36" t="e">
        <f>SUMIFS($I$6:$I$165,$D$6:$D$165,AF7,CHOIX,AG8)</f>
        <v>#NAME?</v>
      </c>
      <c r="AJ8" s="36" t="e">
        <f>SUMIFS($J$6:$J$165,$D$6:$D$165,AF7,CHOIX,AG8)</f>
        <v>#NAME?</v>
      </c>
      <c r="AK8" s="36" t="e">
        <f>SUMIFS($K$6:$K$165,$D$6:$D$165,AF7,CHOIX,AG8)</f>
        <v>#NAME?</v>
      </c>
      <c r="AL8" s="36" t="e">
        <f>SUMIFS($L$6:$L$165,$D$6:$D$165,AF7,CHOIX,AG8)</f>
        <v>#NAME?</v>
      </c>
      <c r="AM8" s="36" t="e">
        <f>SUMIFS($M$6:$M$165,$D$6:$D$165,AF7,CHOIX,AG8)</f>
        <v>#NAME?</v>
      </c>
      <c r="AN8" s="1" t="s">
        <v>155</v>
      </c>
      <c r="AO8" s="83"/>
      <c r="AP8" s="63"/>
      <c r="AQ8" s="63"/>
      <c r="AR8" s="63"/>
      <c r="AS8" s="79"/>
      <c r="AT8" s="79"/>
      <c r="AU8" s="55" t="e">
        <f>SUMIFS($O$6:$O$165,$D$6:$D$165,AF7,CHOIX,AG8)</f>
        <v>#NAME?</v>
      </c>
      <c r="AV8" s="80" t="e">
        <f>SUMIFS($Q$6:$Q$165,$D$6:$D$165,AF7,CHOIX,AG8)</f>
        <v>#NAME?</v>
      </c>
      <c r="AW8" s="12"/>
      <c r="AX8" s="12"/>
      <c r="AY8" s="12"/>
      <c r="AZ8" s="8"/>
      <c r="BA8" s="148"/>
      <c r="BB8" s="148"/>
      <c r="BC8" s="148"/>
      <c r="BD8" s="10"/>
      <c r="BE8" s="10"/>
      <c r="BF8" s="10"/>
      <c r="BG8" s="10"/>
      <c r="BH8" s="10"/>
      <c r="BI8" s="10"/>
      <c r="BJ8" s="10"/>
      <c r="BK8" s="10"/>
      <c r="BL8" s="10"/>
      <c r="BM8" s="147">
        <f t="shared" si="8"/>
        <v>0</v>
      </c>
      <c r="BN8" s="147">
        <f t="shared" si="9"/>
        <v>0</v>
      </c>
      <c r="BO8" s="149"/>
      <c r="BP8" s="166"/>
      <c r="BQ8" s="12"/>
      <c r="BR8" s="12"/>
      <c r="BS8" s="476"/>
      <c r="BT8" s="481"/>
      <c r="BU8" s="475"/>
      <c r="BV8" s="545"/>
      <c r="BW8" s="580"/>
      <c r="BX8" s="576"/>
      <c r="BY8" s="497"/>
      <c r="BZ8" s="497"/>
      <c r="CA8" s="543"/>
      <c r="CB8" s="475"/>
      <c r="CC8" s="544"/>
      <c r="CV8" s="64"/>
      <c r="CW8" s="148"/>
      <c r="CX8" s="109"/>
      <c r="CY8" s="132"/>
      <c r="CZ8" s="143"/>
      <c r="DA8" s="127"/>
      <c r="DB8" s="50"/>
      <c r="DC8" s="128"/>
      <c r="DD8" s="114"/>
      <c r="DE8" s="114"/>
      <c r="DF8" s="114"/>
      <c r="DG8" s="114"/>
      <c r="DH8" s="112"/>
      <c r="DI8" s="33">
        <f t="shared" si="4"/>
        <v>0</v>
      </c>
      <c r="DJ8" s="52" t="b">
        <f>IF(AND(CZ8="CLIENT S+L",DA8="HUILE"),(DN8*3333.33+(VLOOKUP(DC8,'BASE '!$I$112:$J$142,2,0)))-((DN8*3333.33)*DB8),IF(AND(CZ8="CLIENT S+L",DA8="LAIT"),((DN8*952.4)-(DN8*952.4)*DB8),IF(CZ8="CLIENT O","OFFERT",IF(AND(DA8="HUILE",CZ8="CLIENT L"),(((VLOOKUP(DC8,'BASE '!$I$112:$J$142,2,0))+(VLOOKUP(DN8,'BASE '!#REF!,2,0)))),IF(AND(DA8="LAIT",CZ8="CLIENT L"),(DN8*952.4),IF(AND(DA8="HUILE",CZ8="CLIENT D"),(DN8*3809.53+(VLOOKUP(DC8,'BASE '!$I$112:$J$142,2,0))),IF(AND(DA8="LAIT",CZ8="CLIENT D"),(DN8*952.4),IF(AND(DA8="HUILE",CZ8="CLIENT S+D"),((DN8*3809.53+(VLOOKUP(DC8,'BASE '!$I$112:$J$142,2,0)))-((DN8*3809.53)*DB8)),IF(AND(DA8="LAIT",CZ8="CLIENT S+D"),((DN8*952.4)-((DN8*952.4)*DB8)),IF(AND(CZ8="CLIENT S",DA8="LAIT"),((DN8*952.4)-((DN8*952.4)*DB8)),IF(AND(DA8="HUILE",CZ8="CLIENT S"),(VLOOKUP(DC8,'BASE '!$I$112:$J$142,2,0)+(VLOOKUP(DN8,'BASE '!#REF!,2,0)))-(DB8*((VLOOKUP(DN8,'BASE '!#REF!,2,0)+(VLOOKUP(DC8,'BASE '!$I$112:$J$142,2,0))))))))))))))))</f>
        <v>0</v>
      </c>
      <c r="DK8" s="52" t="b">
        <f t="shared" si="5"/>
        <v>0</v>
      </c>
      <c r="DL8" s="53" t="b">
        <f t="shared" si="12"/>
        <v>0</v>
      </c>
      <c r="DM8" s="149" t="s">
        <v>175</v>
      </c>
      <c r="DN8" s="116">
        <f t="shared" si="13"/>
        <v>0</v>
      </c>
      <c r="DO8" s="124"/>
      <c r="DP8" s="42" t="s">
        <v>175</v>
      </c>
      <c r="DQ8" s="70"/>
      <c r="DR8" s="159"/>
      <c r="DS8" s="159"/>
      <c r="DT8" s="159"/>
      <c r="DU8" s="160"/>
      <c r="DV8" s="95"/>
      <c r="DW8" s="95"/>
      <c r="DX8" s="95"/>
      <c r="DY8" s="96"/>
    </row>
    <row r="9" spans="2:129" ht="15" customHeight="1" x14ac:dyDescent="0.3">
      <c r="B9" s="64"/>
      <c r="C9" s="148"/>
      <c r="D9" s="109"/>
      <c r="E9" s="63"/>
      <c r="F9" s="127"/>
      <c r="G9" s="50"/>
      <c r="H9" s="10"/>
      <c r="I9" s="10"/>
      <c r="J9" s="10"/>
      <c r="K9" s="10"/>
      <c r="L9" s="10"/>
      <c r="M9" s="39"/>
      <c r="N9" s="33">
        <f t="shared" si="0"/>
        <v>0</v>
      </c>
      <c r="O9" s="52" t="b">
        <f>IF(AND(E9="CLIENT S+L",F9="HUILE"),(S9*3333.33+(VLOOKUP(H9,'BASE '!$I$112:$J$142,2,0)))-((S9*3333.33)*G9),IF(AND(E9="CLIENT S+L",F9="LAIT"),((S9*952.4)-(S9*952.4)*G9),IF(E9="CLIENT O","OFFERT",IF(AND(F9="HUILE",E9="CLIENT L"),(((VLOOKUP(H9,'BASE '!$I$112:$J$142,2,0))+(VLOOKUP(S9,'BASE '!#REF!,2,0)))),IF(AND(F9="LAIT",E9="CLIENT L"),(S9*952.4),IF(AND(F9="HUILE",E9="CLIENT D"),(S9*3809.53+(VLOOKUP(H9,'BASE '!$I$112:$J$142,2,0))),IF(AND(F9="LAIT",E9="CLIENT D"),(S9*952.4),IF(AND(F9="HUILE",E9="CLIENT S+D"),((S9*3809.53+(VLOOKUP(H9,'BASE '!$I$112:$J$142,2,0)))-((S9*3809.53)*G9)),IF(AND(F9="LAIT",E9="CLIENT S+D"),((S9*952.4)-((S9*952.4)*G9)),IF(AND(E9="CLIENT S",F9="LAIT"),((S9*952.4)-((S9*952.4)*G9)),IF(AND(F9="HUILE",E9="CLIENT S"),(VLOOKUP(H9,'BASE '!$I$112:$J$142,2,0)+(VLOOKUP(S9,'BASE '!#REF!,2,0)))-(G9*((VLOOKUP(S9,'BASE '!#REF!,2,0)+(VLOOKUP(H9,'BASE '!$I$112:$J$142,2,0))))))))))))))))</f>
        <v>0</v>
      </c>
      <c r="P9" s="52" t="b">
        <f t="shared" si="1"/>
        <v>0</v>
      </c>
      <c r="Q9" s="53" t="b">
        <f t="shared" si="2"/>
        <v>0</v>
      </c>
      <c r="R9" s="152" t="s">
        <v>175</v>
      </c>
      <c r="S9" s="184">
        <f t="shared" si="6"/>
        <v>0</v>
      </c>
      <c r="T9" s="124"/>
      <c r="U9" s="41" t="s">
        <v>175</v>
      </c>
      <c r="V9" s="70" t="e">
        <f>VLOOKUP(U9,'BASE '!$A$4:$H$144,2,0)</f>
        <v>#N/A</v>
      </c>
      <c r="W9" s="159"/>
      <c r="X9" s="159"/>
      <c r="Y9" s="160"/>
      <c r="Z9" s="158" t="e">
        <f>VLOOKUP(U9,'BASE '!$A$4:$H$144,3,0)</f>
        <v>#N/A</v>
      </c>
      <c r="AA9" s="94" t="e">
        <f t="shared" si="3"/>
        <v>#N/A</v>
      </c>
      <c r="AB9" s="95" t="e">
        <f>VLOOKUP(U9,'BASE '!$A$4:$H$144,6,0)*Y9/100</f>
        <v>#N/A</v>
      </c>
      <c r="AC9" s="95" t="e">
        <f>VLOOKUP(U9,'BASE '!$A$4:$H$144,7,0)*Y9/100</f>
        <v>#N/A</v>
      </c>
      <c r="AD9" s="95" t="e">
        <f>VLOOKUP(U9,'BASE '!$A$4:$H$144,8,0)*Y9/100</f>
        <v>#N/A</v>
      </c>
      <c r="AE9" s="96" t="e">
        <f t="shared" si="7"/>
        <v>#N/A</v>
      </c>
      <c r="AF9" s="435" t="s">
        <v>130</v>
      </c>
      <c r="AG9" s="91" t="s">
        <v>157</v>
      </c>
      <c r="AH9" s="36" t="e">
        <f>SUMIFS($H$6:$H$165,$D$6:$D$165,AF9,CHOIX,AG9)</f>
        <v>#NAME?</v>
      </c>
      <c r="AI9" s="36" t="e">
        <f>SUMIFS($I$6:$I$165,$D$6:$D$165,AF9,CHOIX,AG9)</f>
        <v>#NAME?</v>
      </c>
      <c r="AJ9" s="36" t="e">
        <f>SUMIFS($J$6:$J$165,$D$6:$D$165,AF9,CHOIX,AG9)</f>
        <v>#NAME?</v>
      </c>
      <c r="AK9" s="36" t="e">
        <f>SUMIFS($K$6:$K$165,$D$6:$D$165,AF9,CHOIX,AG9)</f>
        <v>#NAME?</v>
      </c>
      <c r="AL9" s="36" t="e">
        <f>SUMIFS($L$6:$L$165,$D$6:$D$165,AF9,CHOIX,AG9)</f>
        <v>#NAME?</v>
      </c>
      <c r="AM9" s="36" t="e">
        <f>SUMIFS($M$6:$M$165,$D$6:$D$165,AF9,CHOIX,AG9)</f>
        <v>#NAME?</v>
      </c>
      <c r="AN9" s="91" t="s">
        <v>157</v>
      </c>
      <c r="AO9" s="83"/>
      <c r="AP9" s="63"/>
      <c r="AQ9" s="63"/>
      <c r="AR9" s="63"/>
      <c r="AS9" s="79"/>
      <c r="AT9" s="79"/>
      <c r="AU9" s="55" t="e">
        <f>SUMIFS($O$6:$O$165,$D$6:$D$165,AF9,CHOIX,AG9)</f>
        <v>#NAME?</v>
      </c>
      <c r="AV9" s="80" t="e">
        <f>SUMIFS($Q$6:$Q$165,$D$6:$D$165,AF9,CHOIX,AG9)</f>
        <v>#NAME?</v>
      </c>
      <c r="AW9" s="12"/>
      <c r="AX9" s="12"/>
      <c r="AY9" s="12"/>
      <c r="AZ9" s="8"/>
      <c r="BA9" s="148"/>
      <c r="BB9" s="148"/>
      <c r="BC9" s="148"/>
      <c r="BD9" s="10"/>
      <c r="BE9" s="10"/>
      <c r="BF9" s="10"/>
      <c r="BG9" s="10"/>
      <c r="BH9" s="10"/>
      <c r="BI9" s="10"/>
      <c r="BJ9" s="10"/>
      <c r="BK9" s="10"/>
      <c r="BL9" s="10"/>
      <c r="BM9" s="147">
        <f t="shared" si="8"/>
        <v>0</v>
      </c>
      <c r="BN9" s="147">
        <f t="shared" si="9"/>
        <v>0</v>
      </c>
      <c r="BO9" s="149"/>
      <c r="BP9" s="166"/>
      <c r="BQ9" s="12"/>
      <c r="BR9" s="12"/>
      <c r="BS9" s="476" t="s">
        <v>13</v>
      </c>
      <c r="BT9" s="481"/>
      <c r="BU9" s="475">
        <v>34</v>
      </c>
      <c r="BV9" s="545">
        <f t="shared" ref="BV9" si="14">BU9*BT9</f>
        <v>0</v>
      </c>
      <c r="BW9" s="580"/>
      <c r="BX9" s="576">
        <v>50</v>
      </c>
      <c r="BY9" s="497">
        <f>BF67</f>
        <v>0</v>
      </c>
      <c r="BZ9" s="496" t="e">
        <f>J166</f>
        <v>#NAME?</v>
      </c>
      <c r="CA9" s="542"/>
      <c r="CB9" s="475"/>
      <c r="CC9" s="544">
        <f t="shared" ref="CC9" si="15">BY9*CB9</f>
        <v>0</v>
      </c>
      <c r="CV9" s="64"/>
      <c r="CW9" s="148"/>
      <c r="CX9" s="109"/>
      <c r="CY9" s="132"/>
      <c r="CZ9" s="143"/>
      <c r="DA9" s="127"/>
      <c r="DB9" s="50"/>
      <c r="DC9" s="114"/>
      <c r="DD9" s="114"/>
      <c r="DE9" s="114"/>
      <c r="DF9" s="114"/>
      <c r="DG9" s="114"/>
      <c r="DH9" s="112"/>
      <c r="DI9" s="33">
        <f t="shared" si="4"/>
        <v>0</v>
      </c>
      <c r="DJ9" s="52" t="b">
        <f>IF(AND(CZ9="CLIENT S+L",DA9="HUILE"),(DN9*3333.33+(VLOOKUP(DC9,'BASE '!$I$112:$J$142,2,0)))-((DN9*3333.33)*DB9),IF(AND(CZ9="CLIENT S+L",DA9="LAIT"),((DN9*952.4)-(DN9*952.4)*DB9),IF(CZ9="CLIENT O","OFFERT",IF(AND(DA9="HUILE",CZ9="CLIENT L"),(((VLOOKUP(DC9,'BASE '!$I$112:$J$142,2,0))+(VLOOKUP(DN9,'BASE '!#REF!,2,0)))),IF(AND(DA9="LAIT",CZ9="CLIENT L"),(DN9*952.4),IF(AND(DA9="HUILE",CZ9="CLIENT D"),(DN9*3809.53+(VLOOKUP(DC9,'BASE '!$I$112:$J$142,2,0))),IF(AND(DA9="LAIT",CZ9="CLIENT D"),(DN9*952.4),IF(AND(DA9="HUILE",CZ9="CLIENT S+D"),((DN9*3809.53+(VLOOKUP(DC9,'BASE '!$I$112:$J$142,2,0)))-((DN9*3809.53)*DB9)),IF(AND(DA9="LAIT",CZ9="CLIENT S+D"),((DN9*952.4)-((DN9*952.4)*DB9)),IF(AND(CZ9="CLIENT S",DA9="LAIT"),((DN9*952.4)-((DN9*952.4)*DB9)),IF(AND(DA9="HUILE",CZ9="CLIENT S"),(VLOOKUP(DC9,'BASE '!$I$112:$J$142,2,0)+(VLOOKUP(DN9,'BASE '!#REF!,2,0)))-(DB9*((VLOOKUP(DN9,'BASE '!#REF!,2,0)+(VLOOKUP(DC9,'BASE '!$I$112:$J$142,2,0))))))))))))))))</f>
        <v>0</v>
      </c>
      <c r="DK9" s="52" t="b">
        <f t="shared" si="5"/>
        <v>0</v>
      </c>
      <c r="DL9" s="53" t="b">
        <f t="shared" si="12"/>
        <v>0</v>
      </c>
      <c r="DM9" s="149"/>
      <c r="DN9" s="116">
        <f t="shared" si="13"/>
        <v>0</v>
      </c>
      <c r="DO9" s="124"/>
      <c r="DP9" s="42" t="s">
        <v>175</v>
      </c>
      <c r="DQ9" s="70"/>
      <c r="DR9" s="159"/>
      <c r="DS9" s="159"/>
      <c r="DT9" s="159"/>
      <c r="DU9" s="160"/>
      <c r="DV9" s="95"/>
      <c r="DW9" s="95"/>
      <c r="DX9" s="95"/>
      <c r="DY9" s="96"/>
    </row>
    <row r="10" spans="2:129" ht="15" customHeight="1" x14ac:dyDescent="0.3">
      <c r="B10" s="64"/>
      <c r="C10" s="148"/>
      <c r="D10" s="109"/>
      <c r="E10" s="63"/>
      <c r="F10" s="127"/>
      <c r="G10" s="50"/>
      <c r="H10" s="10"/>
      <c r="I10" s="10"/>
      <c r="J10" s="10"/>
      <c r="K10" s="10"/>
      <c r="L10" s="10"/>
      <c r="M10" s="39"/>
      <c r="N10" s="33">
        <f t="shared" si="0"/>
        <v>0</v>
      </c>
      <c r="O10" s="52" t="b">
        <f>IF(AND(E10="CLIENT S+L",F10="HUILE"),(S10*3333.33+(VLOOKUP(H10,'BASE '!$I$112:$J$142,2,0)))-((S10*3333.33)*G10),IF(AND(E10="CLIENT S+L",F10="LAIT"),((S10*952.4)-(S10*952.4)*G10),IF(E10="CLIENT O","OFFERT",IF(AND(F10="HUILE",E10="CLIENT L"),(((VLOOKUP(H10,'BASE '!$I$112:$J$142,2,0))+(VLOOKUP(S10,'BASE '!#REF!,2,0)))),IF(AND(F10="LAIT",E10="CLIENT L"),(S10*952.4),IF(AND(F10="HUILE",E10="CLIENT D"),(S10*3809.53+(VLOOKUP(H10,'BASE '!$I$112:$J$142,2,0))),IF(AND(F10="LAIT",E10="CLIENT D"),(S10*952.4),IF(AND(F10="HUILE",E10="CLIENT S+D"),((S10*3809.53+(VLOOKUP(H10,'BASE '!$I$112:$J$142,2,0)))-((S10*3809.53)*G10)),IF(AND(F10="LAIT",E10="CLIENT S+D"),((S10*952.4)-((S10*952.4)*G10)),IF(AND(E10="CLIENT S",F10="LAIT"),((S10*952.4)-((S10*952.4)*G10)),IF(AND(F10="HUILE",E10="CLIENT S"),(VLOOKUP(H10,'BASE '!$I$112:$J$142,2,0)+(VLOOKUP(S10,'BASE '!#REF!,2,0)))-(G10*((VLOOKUP(S10,'BASE '!#REF!,2,0)+(VLOOKUP(H10,'BASE '!$I$112:$J$142,2,0))))))))))))))))</f>
        <v>0</v>
      </c>
      <c r="P10" s="52" t="b">
        <f t="shared" si="1"/>
        <v>0</v>
      </c>
      <c r="Q10" s="53" t="b">
        <f t="shared" si="2"/>
        <v>0</v>
      </c>
      <c r="R10" s="152" t="s">
        <v>175</v>
      </c>
      <c r="S10" s="184">
        <f t="shared" si="6"/>
        <v>0</v>
      </c>
      <c r="T10" s="124"/>
      <c r="U10" s="41" t="s">
        <v>175</v>
      </c>
      <c r="V10" s="70" t="e">
        <f>VLOOKUP(U10,'BASE '!$A$4:$H$144,2,0)</f>
        <v>#N/A</v>
      </c>
      <c r="W10" s="159"/>
      <c r="X10" s="159"/>
      <c r="Y10" s="160"/>
      <c r="Z10" s="158" t="e">
        <f>VLOOKUP(U10,'BASE '!$A$4:$H$144,3,0)</f>
        <v>#N/A</v>
      </c>
      <c r="AA10" s="94" t="e">
        <f t="shared" si="3"/>
        <v>#N/A</v>
      </c>
      <c r="AB10" s="95" t="e">
        <f>VLOOKUP(U10,'BASE '!$A$4:$H$144,6,0)*Y10/100</f>
        <v>#N/A</v>
      </c>
      <c r="AC10" s="95" t="e">
        <f>VLOOKUP(U10,'BASE '!$A$4:$H$144,7,0)*Y10/100</f>
        <v>#N/A</v>
      </c>
      <c r="AD10" s="95" t="e">
        <f>VLOOKUP(U10,'BASE '!$A$4:$H$144,8,0)*Y10/100</f>
        <v>#N/A</v>
      </c>
      <c r="AE10" s="96" t="e">
        <f t="shared" si="7"/>
        <v>#N/A</v>
      </c>
      <c r="AF10" s="435"/>
      <c r="AG10" s="1" t="s">
        <v>155</v>
      </c>
      <c r="AH10" s="36" t="e">
        <f>SUMIFS($H$6:$H$165,$D$6:$D$165,AF9,CHOIX,AG10)</f>
        <v>#NAME?</v>
      </c>
      <c r="AI10" s="36" t="e">
        <f>SUMIFS($I$6:$I$165,$D$6:$D$165,AF9,CHOIX,AG10)</f>
        <v>#NAME?</v>
      </c>
      <c r="AJ10" s="36" t="e">
        <f>SUMIFS($J$6:$J$165,$D$6:$D$165,AF9,CHOIX,AG10)</f>
        <v>#NAME?</v>
      </c>
      <c r="AK10" s="36" t="e">
        <f>SUMIFS($K$6:$K$165,$D$6:$D$165,AF9,CHOIX,AG10)</f>
        <v>#NAME?</v>
      </c>
      <c r="AL10" s="36" t="e">
        <f>SUMIFS($L$6:$L$165,$D$6:$D$165,AF9,CHOIX,AG10)</f>
        <v>#NAME?</v>
      </c>
      <c r="AM10" s="36" t="e">
        <f>SUMIFS($M$6:$M$165,$D$6:$D$165,AF9,CHOIX,AG10)</f>
        <v>#NAME?</v>
      </c>
      <c r="AN10" s="1" t="s">
        <v>155</v>
      </c>
      <c r="AO10" s="83"/>
      <c r="AP10" s="63"/>
      <c r="AQ10" s="63"/>
      <c r="AR10" s="63"/>
      <c r="AS10" s="79"/>
      <c r="AT10" s="79"/>
      <c r="AU10" s="55" t="e">
        <f>SUMIFS($O$6:$O$165,$D$6:$D$165,AF9,CHOIX,AG10)</f>
        <v>#NAME?</v>
      </c>
      <c r="AV10" s="80" t="e">
        <f>SUMIFS($Q$6:$Q$165,$D$6:$D$165,AF9,CHOIX,AG10)</f>
        <v>#NAME?</v>
      </c>
      <c r="AW10" s="12"/>
      <c r="AX10" s="12"/>
      <c r="AY10" s="12"/>
      <c r="AZ10" s="8"/>
      <c r="BA10" s="148"/>
      <c r="BB10" s="148"/>
      <c r="BC10" s="148"/>
      <c r="BD10" s="10"/>
      <c r="BE10" s="10"/>
      <c r="BF10" s="10"/>
      <c r="BG10" s="10"/>
      <c r="BH10" s="10"/>
      <c r="BI10" s="10"/>
      <c r="BJ10" s="10"/>
      <c r="BK10" s="10"/>
      <c r="BL10" s="10"/>
      <c r="BM10" s="147">
        <f t="shared" si="8"/>
        <v>0</v>
      </c>
      <c r="BN10" s="147">
        <f t="shared" si="9"/>
        <v>0</v>
      </c>
      <c r="BO10" s="149"/>
      <c r="BP10" s="166"/>
      <c r="BQ10" s="12"/>
      <c r="BR10" s="12"/>
      <c r="BS10" s="476"/>
      <c r="BT10" s="481"/>
      <c r="BU10" s="475"/>
      <c r="BV10" s="545"/>
      <c r="BW10" s="580"/>
      <c r="BX10" s="576"/>
      <c r="BY10" s="497"/>
      <c r="BZ10" s="497"/>
      <c r="CA10" s="543"/>
      <c r="CB10" s="475"/>
      <c r="CC10" s="544"/>
      <c r="CV10" s="64"/>
      <c r="CW10" s="148"/>
      <c r="CX10" s="109"/>
      <c r="CY10" s="132"/>
      <c r="CZ10" s="143"/>
      <c r="DA10" s="127"/>
      <c r="DB10" s="50"/>
      <c r="DC10" s="111"/>
      <c r="DD10" s="114"/>
      <c r="DE10" s="114"/>
      <c r="DF10" s="114"/>
      <c r="DG10" s="114"/>
      <c r="DH10" s="112"/>
      <c r="DI10" s="33">
        <f t="shared" si="4"/>
        <v>0</v>
      </c>
      <c r="DJ10" s="52" t="b">
        <f>IF(AND(CZ10="CLIENT S+L",DA10="HUILE"),(DN10*3333.33+(VLOOKUP(DC10,'BASE '!$I$112:$J$142,2,0)))-((DN10*3333.33)*DB10),IF(AND(CZ10="CLIENT S+L",DA10="LAIT"),((DN10*952.4)-(DN10*952.4)*DB10),IF(CZ10="CLIENT O","OFFERT",IF(AND(DA10="HUILE",CZ10="CLIENT L"),(((VLOOKUP(DC10,'BASE '!$I$112:$J$142,2,0))+(VLOOKUP(DN10,'BASE '!#REF!,2,0)))),IF(AND(DA10="LAIT",CZ10="CLIENT L"),(DN10*952.4),IF(AND(DA10="HUILE",CZ10="CLIENT D"),(DN10*3809.53+(VLOOKUP(DC10,'BASE '!$I$112:$J$142,2,0))),IF(AND(DA10="LAIT",CZ10="CLIENT D"),(DN10*952.4),IF(AND(DA10="HUILE",CZ10="CLIENT S+D"),((DN10*3809.53+(VLOOKUP(DC10,'BASE '!$I$112:$J$142,2,0)))-((DN10*3809.53)*DB10)),IF(AND(DA10="LAIT",CZ10="CLIENT S+D"),((DN10*952.4)-((DN10*952.4)*DB10)),IF(AND(CZ10="CLIENT S",DA10="LAIT"),((DN10*952.4)-((DN10*952.4)*DB10)),IF(AND(DA10="HUILE",CZ10="CLIENT S"),(VLOOKUP(DC10,'BASE '!$I$112:$J$142,2,0)+(VLOOKUP(DN10,'BASE '!#REF!,2,0)))-(DB10*((VLOOKUP(DN10,'BASE '!#REF!,2,0)+(VLOOKUP(DC10,'BASE '!$I$112:$J$142,2,0))))))))))))))))</f>
        <v>0</v>
      </c>
      <c r="DK10" s="52" t="b">
        <f t="shared" si="5"/>
        <v>0</v>
      </c>
      <c r="DL10" s="53" t="b">
        <f t="shared" si="12"/>
        <v>0</v>
      </c>
      <c r="DM10" s="149" t="s">
        <v>175</v>
      </c>
      <c r="DN10" s="116">
        <f t="shared" si="13"/>
        <v>0</v>
      </c>
      <c r="DO10" s="124"/>
      <c r="DP10" s="42"/>
      <c r="DQ10" s="70"/>
      <c r="DR10" s="159"/>
      <c r="DS10" s="159"/>
      <c r="DT10" s="159"/>
      <c r="DU10" s="160"/>
      <c r="DV10" s="95"/>
      <c r="DW10" s="95"/>
      <c r="DX10" s="95"/>
      <c r="DY10" s="96"/>
    </row>
    <row r="11" spans="2:129" ht="15" customHeight="1" x14ac:dyDescent="0.3">
      <c r="B11" s="64"/>
      <c r="C11" s="148"/>
      <c r="D11" s="109"/>
      <c r="E11" s="63"/>
      <c r="F11" s="127"/>
      <c r="G11" s="50"/>
      <c r="H11" s="10"/>
      <c r="I11" s="10"/>
      <c r="J11" s="10"/>
      <c r="K11" s="10"/>
      <c r="L11" s="10"/>
      <c r="M11" s="39"/>
      <c r="N11" s="33">
        <f t="shared" si="0"/>
        <v>0</v>
      </c>
      <c r="O11" s="52" t="b">
        <f>IF(AND(E11="CLIENT S+L",F11="HUILE"),(S11*3333.33+(VLOOKUP(H11,'BASE '!$I$112:$J$142,2,0)))-((S11*3333.33)*G11),IF(AND(E11="CLIENT S+L",F11="LAIT"),((S11*952.4)-(S11*952.4)*G11),IF(E11="CLIENT O","OFFERT",IF(AND(F11="HUILE",E11="CLIENT L"),(((VLOOKUP(H11,'BASE '!$I$112:$J$142,2,0))+(VLOOKUP(S11,'BASE '!#REF!,2,0)))),IF(AND(F11="LAIT",E11="CLIENT L"),(S11*952.4),IF(AND(F11="HUILE",E11="CLIENT D"),(S11*3809.53+(VLOOKUP(H11,'BASE '!$I$112:$J$142,2,0))),IF(AND(F11="LAIT",E11="CLIENT D"),(S11*952.4),IF(AND(F11="HUILE",E11="CLIENT S+D"),((S11*3809.53+(VLOOKUP(H11,'BASE '!$I$112:$J$142,2,0)))-((S11*3809.53)*G11)),IF(AND(F11="LAIT",E11="CLIENT S+D"),((S11*952.4)-((S11*952.4)*G11)),IF(AND(E11="CLIENT S",F11="LAIT"),((S11*952.4)-((S11*952.4)*G11)),IF(AND(F11="HUILE",E11="CLIENT S"),(VLOOKUP(H11,'BASE '!$I$112:$J$142,2,0)+(VLOOKUP(S11,'BASE '!#REF!,2,0)))-(G11*((VLOOKUP(S11,'BASE '!#REF!,2,0)+(VLOOKUP(H11,'BASE '!$I$112:$J$142,2,0))))))))))))))))</f>
        <v>0</v>
      </c>
      <c r="P11" s="52" t="b">
        <f t="shared" si="1"/>
        <v>0</v>
      </c>
      <c r="Q11" s="53" t="b">
        <f t="shared" si="2"/>
        <v>0</v>
      </c>
      <c r="R11" s="152" t="s">
        <v>175</v>
      </c>
      <c r="S11" s="184">
        <f t="shared" si="6"/>
        <v>0</v>
      </c>
      <c r="T11" s="124"/>
      <c r="U11" s="41" t="s">
        <v>175</v>
      </c>
      <c r="V11" s="70" t="e">
        <f>VLOOKUP(U11,'BASE '!$A$4:$H$144,2,0)</f>
        <v>#N/A</v>
      </c>
      <c r="W11" s="159"/>
      <c r="X11" s="159"/>
      <c r="Y11" s="160"/>
      <c r="Z11" s="158" t="e">
        <f>VLOOKUP(U11,'BASE '!$A$4:$H$144,3,0)</f>
        <v>#N/A</v>
      </c>
      <c r="AA11" s="94" t="e">
        <f t="shared" si="3"/>
        <v>#N/A</v>
      </c>
      <c r="AB11" s="95" t="e">
        <f>VLOOKUP(U11,'BASE '!$A$4:$H$144,6,0)*Y11/100</f>
        <v>#N/A</v>
      </c>
      <c r="AC11" s="95" t="e">
        <f>VLOOKUP(U11,'BASE '!$A$4:$H$144,7,0)*Y11/100</f>
        <v>#N/A</v>
      </c>
      <c r="AD11" s="95" t="e">
        <f>VLOOKUP(U11,'BASE '!$A$4:$H$144,8,0)*Y11/100</f>
        <v>#N/A</v>
      </c>
      <c r="AE11" s="96" t="e">
        <f t="shared" si="7"/>
        <v>#N/A</v>
      </c>
      <c r="AF11" s="435" t="s">
        <v>6</v>
      </c>
      <c r="AG11" s="91" t="s">
        <v>157</v>
      </c>
      <c r="AH11" s="36" t="e">
        <f>SUMIFS($H$6:$H$165,$D$6:$D$165,AF11,CHOIX,AG11)</f>
        <v>#NAME?</v>
      </c>
      <c r="AI11" s="36" t="e">
        <f>SUMIFS($I$6:$I$165,$D$6:$D$165,AF11,CHOIX,AG11)</f>
        <v>#NAME?</v>
      </c>
      <c r="AJ11" s="36" t="e">
        <f>SUMIFS($J$6:$J$165,$D$6:$D$165,AF11,CHOIX,AG11)</f>
        <v>#NAME?</v>
      </c>
      <c r="AK11" s="36" t="e">
        <f>SUMIFS($K$6:$K$165,$D$6:$D$165,AF11,CHOIX,AG11)</f>
        <v>#NAME?</v>
      </c>
      <c r="AL11" s="36" t="e">
        <f>SUMIFS($L$6:$L$165,$D$6:$D$165,AF11,CHOIX,AG11)</f>
        <v>#NAME?</v>
      </c>
      <c r="AM11" s="36" t="e">
        <f>SUMIFS($M$6:$M$165,$D$6:$D$165,AF11,CHOIX,AG11)</f>
        <v>#NAME?</v>
      </c>
      <c r="AN11" s="91" t="s">
        <v>157</v>
      </c>
      <c r="AO11" s="83"/>
      <c r="AP11" s="63"/>
      <c r="AQ11" s="63"/>
      <c r="AR11" s="63"/>
      <c r="AS11" s="79"/>
      <c r="AT11" s="79"/>
      <c r="AU11" s="55" t="e">
        <f>SUMIFS($O$6:$O$165,$D$6:$D$165,AF11,CHOIX,AG11)</f>
        <v>#NAME?</v>
      </c>
      <c r="AV11" s="80" t="e">
        <f>SUMIFS($Q$6:$Q$165,$D$6:$D$165,AF11,CHOIX,AG11)</f>
        <v>#NAME?</v>
      </c>
      <c r="AW11" s="12"/>
      <c r="AX11" s="12"/>
      <c r="AY11" s="12"/>
      <c r="AZ11" s="8"/>
      <c r="BA11" s="148"/>
      <c r="BB11" s="148"/>
      <c r="BC11" s="148"/>
      <c r="BD11" s="10"/>
      <c r="BE11" s="10"/>
      <c r="BF11" s="10"/>
      <c r="BG11" s="10"/>
      <c r="BH11" s="10"/>
      <c r="BI11" s="10"/>
      <c r="BJ11" s="10"/>
      <c r="BK11" s="10"/>
      <c r="BL11" s="10"/>
      <c r="BM11" s="147">
        <f t="shared" si="8"/>
        <v>0</v>
      </c>
      <c r="BN11" s="147">
        <f t="shared" si="9"/>
        <v>0</v>
      </c>
      <c r="BO11" s="149"/>
      <c r="BP11" s="166"/>
      <c r="BQ11" s="12"/>
      <c r="BR11" s="12"/>
      <c r="BS11" s="476" t="s">
        <v>14</v>
      </c>
      <c r="BT11" s="481"/>
      <c r="BU11" s="475">
        <v>39</v>
      </c>
      <c r="BV11" s="545">
        <f t="shared" ref="BV11" si="16">BU11*BT11</f>
        <v>0</v>
      </c>
      <c r="BW11" s="580"/>
      <c r="BX11" s="576">
        <v>75</v>
      </c>
      <c r="BY11" s="497">
        <f>BG68</f>
        <v>0</v>
      </c>
      <c r="BZ11" s="496" t="e">
        <f>K166</f>
        <v>#NAME?</v>
      </c>
      <c r="CA11" s="542"/>
      <c r="CB11" s="475"/>
      <c r="CC11" s="544">
        <f t="shared" ref="CC11" si="17">BY11*CB11</f>
        <v>0</v>
      </c>
      <c r="CV11" s="64"/>
      <c r="CW11" s="148"/>
      <c r="CX11" s="109"/>
      <c r="CY11" s="132"/>
      <c r="CZ11" s="143"/>
      <c r="DA11" s="127"/>
      <c r="DB11" s="50"/>
      <c r="DC11" s="114"/>
      <c r="DD11" s="114"/>
      <c r="DE11" s="114"/>
      <c r="DF11" s="114"/>
      <c r="DG11" s="114"/>
      <c r="DH11" s="112"/>
      <c r="DI11" s="33">
        <f t="shared" si="4"/>
        <v>0</v>
      </c>
      <c r="DJ11" s="52" t="b">
        <f>IF(AND(CZ11="CLIENT S+L",DA11="HUILE"),(DN11*3333.33+(VLOOKUP(DC11,'BASE '!$I$112:$J$142,2,0)))-((DN11*3333.33)*DB11),IF(AND(CZ11="CLIENT S+L",DA11="LAIT"),((DN11*952.4)-(DN11*952.4)*DB11),IF(CZ11="CLIENT O","OFFERT",IF(AND(DA11="HUILE",CZ11="CLIENT L"),(((VLOOKUP(DC11,'BASE '!$I$112:$J$142,2,0))+(VLOOKUP(DN11,'BASE '!#REF!,2,0)))),IF(AND(DA11="LAIT",CZ11="CLIENT L"),(DN11*952.4),IF(AND(DA11="HUILE",CZ11="CLIENT D"),(DN11*3809.53+(VLOOKUP(DC11,'BASE '!$I$112:$J$142,2,0))),IF(AND(DA11="LAIT",CZ11="CLIENT D"),(DN11*952.4),IF(AND(DA11="HUILE",CZ11="CLIENT S+D"),((DN11*3809.53+(VLOOKUP(DC11,'BASE '!$I$112:$J$142,2,0)))-((DN11*3809.53)*DB11)),IF(AND(DA11="LAIT",CZ11="CLIENT S+D"),((DN11*952.4)-((DN11*952.4)*DB11)),IF(AND(CZ11="CLIENT S",DA11="LAIT"),((DN11*952.4)-((DN11*952.4)*DB11)),IF(AND(DA11="HUILE",CZ11="CLIENT S"),(VLOOKUP(DC11,'BASE '!$I$112:$J$142,2,0)+(VLOOKUP(DN11,'BASE '!#REF!,2,0)))-(DB11*((VLOOKUP(DN11,'BASE '!#REF!,2,0)+(VLOOKUP(DC11,'BASE '!$I$112:$J$142,2,0))))))))))))))))</f>
        <v>0</v>
      </c>
      <c r="DK11" s="52" t="b">
        <f t="shared" si="5"/>
        <v>0</v>
      </c>
      <c r="DL11" s="53" t="b">
        <f t="shared" si="12"/>
        <v>0</v>
      </c>
      <c r="DM11" s="149" t="s">
        <v>175</v>
      </c>
      <c r="DN11" s="116">
        <f t="shared" si="13"/>
        <v>0</v>
      </c>
      <c r="DO11" s="124"/>
      <c r="DP11" s="42"/>
      <c r="DQ11" s="70"/>
      <c r="DR11" s="159"/>
      <c r="DS11" s="159"/>
      <c r="DT11" s="159"/>
      <c r="DU11" s="160"/>
      <c r="DV11" s="95"/>
      <c r="DW11" s="95"/>
      <c r="DX11" s="95"/>
      <c r="DY11" s="96"/>
    </row>
    <row r="12" spans="2:129" ht="15" customHeight="1" x14ac:dyDescent="0.3">
      <c r="B12" s="64"/>
      <c r="C12" s="148"/>
      <c r="D12" s="109"/>
      <c r="E12" s="63"/>
      <c r="F12" s="127"/>
      <c r="G12" s="50"/>
      <c r="H12" s="10"/>
      <c r="I12" s="10"/>
      <c r="J12" s="10"/>
      <c r="K12" s="10"/>
      <c r="L12" s="10"/>
      <c r="M12" s="39"/>
      <c r="N12" s="33">
        <f t="shared" si="0"/>
        <v>0</v>
      </c>
      <c r="O12" s="52" t="b">
        <f>IF(AND(E12="CLIENT S+L",F12="HUILE"),(S12*3333.33+(VLOOKUP(H12,'BASE '!$I$112:$J$142,2,0)))-((S12*3333.33)*G12),IF(AND(E12="CLIENT S+L",F12="LAIT"),((S12*952.4)-(S12*952.4)*G12),IF(E12="CLIENT O","OFFERT",IF(AND(F12="HUILE",E12="CLIENT L"),(((VLOOKUP(H12,'BASE '!$I$112:$J$142,2,0))+(VLOOKUP(S12,'BASE '!#REF!,2,0)))),IF(AND(F12="LAIT",E12="CLIENT L"),(S12*952.4),IF(AND(F12="HUILE",E12="CLIENT D"),(S12*3809.53+(VLOOKUP(H12,'BASE '!$I$112:$J$142,2,0))),IF(AND(F12="LAIT",E12="CLIENT D"),(S12*952.4),IF(AND(F12="HUILE",E12="CLIENT S+D"),((S12*3809.53+(VLOOKUP(H12,'BASE '!$I$112:$J$142,2,0)))-((S12*3809.53)*G12)),IF(AND(F12="LAIT",E12="CLIENT S+D"),((S12*952.4)-((S12*952.4)*G12)),IF(AND(E12="CLIENT S",F12="LAIT"),((S12*952.4)-((S12*952.4)*G12)),IF(AND(F12="HUILE",E12="CLIENT S"),(VLOOKUP(H12,'BASE '!$I$112:$J$142,2,0)+(VLOOKUP(S12,'BASE '!#REF!,2,0)))-(G12*((VLOOKUP(S12,'BASE '!#REF!,2,0)+(VLOOKUP(H12,'BASE '!$I$112:$J$142,2,0))))))))))))))))</f>
        <v>0</v>
      </c>
      <c r="P12" s="52" t="b">
        <f t="shared" si="1"/>
        <v>0</v>
      </c>
      <c r="Q12" s="53" t="b">
        <f t="shared" si="2"/>
        <v>0</v>
      </c>
      <c r="R12" s="152" t="s">
        <v>175</v>
      </c>
      <c r="S12" s="184">
        <f t="shared" si="6"/>
        <v>0</v>
      </c>
      <c r="T12" s="124"/>
      <c r="U12" s="41" t="s">
        <v>175</v>
      </c>
      <c r="V12" s="70" t="e">
        <f>VLOOKUP(U12,'BASE '!$A$4:$H$144,2,0)</f>
        <v>#N/A</v>
      </c>
      <c r="W12" s="159"/>
      <c r="X12" s="159"/>
      <c r="Y12" s="160"/>
      <c r="Z12" s="158" t="e">
        <f>VLOOKUP(U12,'BASE '!$A$4:$H$144,3,0)</f>
        <v>#N/A</v>
      </c>
      <c r="AA12" s="94" t="e">
        <f t="shared" si="3"/>
        <v>#N/A</v>
      </c>
      <c r="AB12" s="95" t="e">
        <f>VLOOKUP(U12,'BASE '!$A$4:$H$144,6,0)*Y12/100</f>
        <v>#N/A</v>
      </c>
      <c r="AC12" s="95" t="e">
        <f>VLOOKUP(U12,'BASE '!$A$4:$H$144,7,0)*Y12/100</f>
        <v>#N/A</v>
      </c>
      <c r="AD12" s="95" t="e">
        <f>VLOOKUP(U12,'BASE '!$A$4:$H$144,8,0)*Y12/100</f>
        <v>#N/A</v>
      </c>
      <c r="AE12" s="96" t="e">
        <f t="shared" si="7"/>
        <v>#N/A</v>
      </c>
      <c r="AF12" s="435"/>
      <c r="AG12" s="1" t="s">
        <v>155</v>
      </c>
      <c r="AH12" s="36" t="e">
        <f>SUMIFS($H$6:$H$165,$D$6:$D$165,AF11,CHOIX,AG12)</f>
        <v>#NAME?</v>
      </c>
      <c r="AI12" s="36" t="e">
        <f>SUMIFS($I$6:$I$165,$D$6:$D$165,AF11,CHOIX,AG12)</f>
        <v>#NAME?</v>
      </c>
      <c r="AJ12" s="36" t="e">
        <f>SUMIFS($J$6:$J$165,$D$6:$D$165,AF11,CHOIX,AG12)</f>
        <v>#NAME?</v>
      </c>
      <c r="AK12" s="36" t="e">
        <f>SUMIFS($K$6:$K$165,$D$6:$D$165,AF11,CHOIX,AG12)</f>
        <v>#NAME?</v>
      </c>
      <c r="AL12" s="36" t="e">
        <f>SUMIFS($L$6:$L$165,$D$6:$D$165,AF11,CHOIX,AG12)</f>
        <v>#NAME?</v>
      </c>
      <c r="AM12" s="36" t="e">
        <f>SUMIFS($M$6:$M$165,$D$6:$D$165,AF11,CHOIX,AG12)</f>
        <v>#NAME?</v>
      </c>
      <c r="AN12" s="1" t="s">
        <v>155</v>
      </c>
      <c r="AO12" s="83"/>
      <c r="AP12" s="63"/>
      <c r="AQ12" s="63"/>
      <c r="AR12" s="63"/>
      <c r="AS12" s="79"/>
      <c r="AT12" s="79"/>
      <c r="AU12" s="55" t="e">
        <f>SUMIFS($O$6:$O$165,$D$6:$D$165,AF11,CHOIX,AG12)</f>
        <v>#NAME?</v>
      </c>
      <c r="AV12" s="80" t="e">
        <f>SUMIFS($Q$6:$Q$165,$D$6:$D$165,AF11,CHOIX,AG12)</f>
        <v>#NAME?</v>
      </c>
      <c r="AW12" s="12"/>
      <c r="AX12" s="12"/>
      <c r="AY12" s="12"/>
      <c r="AZ12" s="8"/>
      <c r="BA12" s="148"/>
      <c r="BB12" s="148"/>
      <c r="BC12" s="148"/>
      <c r="BD12" s="10"/>
      <c r="BE12" s="10"/>
      <c r="BF12" s="10"/>
      <c r="BG12" s="10"/>
      <c r="BH12" s="10"/>
      <c r="BI12" s="10"/>
      <c r="BJ12" s="10"/>
      <c r="BK12" s="10"/>
      <c r="BL12" s="10"/>
      <c r="BM12" s="147">
        <f>(BD12*0.1)+(BE12*0.25)+(BF12*0.5)+(BG12*0.75)+(BH12*1)+(BI12*5)</f>
        <v>0</v>
      </c>
      <c r="BN12" s="147">
        <f t="shared" si="9"/>
        <v>0</v>
      </c>
      <c r="BO12" s="149"/>
      <c r="BP12" s="166"/>
      <c r="BQ12" s="12"/>
      <c r="BR12" s="12"/>
      <c r="BS12" s="476"/>
      <c r="BT12" s="481"/>
      <c r="BU12" s="475"/>
      <c r="BV12" s="545"/>
      <c r="BW12" s="580"/>
      <c r="BX12" s="576"/>
      <c r="BY12" s="497"/>
      <c r="BZ12" s="497"/>
      <c r="CA12" s="543"/>
      <c r="CB12" s="475"/>
      <c r="CC12" s="544"/>
      <c r="CV12" s="64"/>
      <c r="CW12" s="148"/>
      <c r="CX12" s="109"/>
      <c r="CY12" s="132"/>
      <c r="CZ12" s="143"/>
      <c r="DA12" s="127"/>
      <c r="DB12" s="50"/>
      <c r="DC12" s="114"/>
      <c r="DD12" s="114"/>
      <c r="DE12" s="114"/>
      <c r="DF12" s="114"/>
      <c r="DG12" s="114"/>
      <c r="DH12" s="112"/>
      <c r="DI12" s="33">
        <f t="shared" si="4"/>
        <v>0</v>
      </c>
      <c r="DJ12" s="52" t="b">
        <f>IF(AND(CZ12="CLIENT S+L",DA12="HUILE"),(DN12*3333.33+(VLOOKUP(DC12,'BASE '!$I$112:$J$142,2,0)))-((DN12*3333.33)*DB12),IF(AND(CZ12="CLIENT S+L",DA12="LAIT"),((DN12*952.4)-(DN12*952.4)*DB12),IF(CZ12="CLIENT O","OFFERT",IF(AND(DA12="HUILE",CZ12="CLIENT L"),(((VLOOKUP(DC12,'BASE '!$I$112:$J$142,2,0))+(VLOOKUP(DN12,'BASE '!#REF!,2,0)))),IF(AND(DA12="LAIT",CZ12="CLIENT L"),(DN12*952.4),IF(AND(DA12="HUILE",CZ12="CLIENT D"),(DN12*3809.53+(VLOOKUP(DC12,'BASE '!$I$112:$J$142,2,0))),IF(AND(DA12="LAIT",CZ12="CLIENT D"),(DN12*952.4),IF(AND(DA12="HUILE",CZ12="CLIENT S+D"),((DN12*3809.53+(VLOOKUP(DC12,'BASE '!$I$112:$J$142,2,0)))-((DN12*3809.53)*DB12)),IF(AND(DA12="LAIT",CZ12="CLIENT S+D"),((DN12*952.4)-((DN12*952.4)*DB12)),IF(AND(CZ12="CLIENT S",DA12="LAIT"),((DN12*952.4)-((DN12*952.4)*DB12)),IF(AND(DA12="HUILE",CZ12="CLIENT S"),(VLOOKUP(DC12,'BASE '!$I$112:$J$142,2,0)+(VLOOKUP(DN12,'BASE '!#REF!,2,0)))-(DB12*((VLOOKUP(DN12,'BASE '!#REF!,2,0)+(VLOOKUP(DC12,'BASE '!$I$112:$J$142,2,0))))))))))))))))</f>
        <v>0</v>
      </c>
      <c r="DK12" s="52" t="b">
        <f t="shared" si="5"/>
        <v>0</v>
      </c>
      <c r="DL12" s="53" t="b">
        <f t="shared" si="12"/>
        <v>0</v>
      </c>
      <c r="DM12" s="149" t="s">
        <v>175</v>
      </c>
      <c r="DN12" s="116">
        <f t="shared" si="13"/>
        <v>0</v>
      </c>
      <c r="DO12" s="124"/>
      <c r="DP12" s="42"/>
      <c r="DQ12" s="70"/>
      <c r="DR12" s="159"/>
      <c r="DS12" s="159"/>
      <c r="DT12" s="159"/>
      <c r="DU12" s="160"/>
      <c r="DV12" s="95"/>
      <c r="DW12" s="95"/>
      <c r="DX12" s="95"/>
      <c r="DY12" s="96"/>
    </row>
    <row r="13" spans="2:129" ht="15" customHeight="1" x14ac:dyDescent="0.3">
      <c r="B13" s="64"/>
      <c r="C13" s="148"/>
      <c r="D13" s="109"/>
      <c r="E13" s="63"/>
      <c r="F13" s="127"/>
      <c r="G13" s="50"/>
      <c r="H13" s="10"/>
      <c r="I13" s="10"/>
      <c r="J13" s="10"/>
      <c r="K13" s="10"/>
      <c r="L13" s="10"/>
      <c r="M13" s="39"/>
      <c r="N13" s="33">
        <f t="shared" si="0"/>
        <v>0</v>
      </c>
      <c r="O13" s="52" t="b">
        <f>IF(AND(E13="CLIENT S+L",F13="HUILE"),(S13*3333.33+(VLOOKUP(H13,'BASE '!$I$112:$J$142,2,0)))-((S13*3333.33)*G13),IF(AND(E13="CLIENT S+L",F13="LAIT"),((S13*952.4)-(S13*952.4)*G13),IF(E13="CLIENT O","OFFERT",IF(AND(F13="HUILE",E13="CLIENT L"),(((VLOOKUP(H13,'BASE '!$I$112:$J$142,2,0))+(VLOOKUP(S13,'BASE '!#REF!,2,0)))),IF(AND(F13="LAIT",E13="CLIENT L"),(S13*952.4),IF(AND(F13="HUILE",E13="CLIENT D"),(S13*3809.53+(VLOOKUP(H13,'BASE '!$I$112:$J$142,2,0))),IF(AND(F13="LAIT",E13="CLIENT D"),(S13*952.4),IF(AND(F13="HUILE",E13="CLIENT S+D"),((S13*3809.53+(VLOOKUP(H13,'BASE '!$I$112:$J$142,2,0)))-((S13*3809.53)*G13)),IF(AND(F13="LAIT",E13="CLIENT S+D"),((S13*952.4)-((S13*952.4)*G13)),IF(AND(E13="CLIENT S",F13="LAIT"),((S13*952.4)-((S13*952.4)*G13)),IF(AND(F13="HUILE",E13="CLIENT S"),(VLOOKUP(H13,'BASE '!$I$112:$J$142,2,0)+(VLOOKUP(S13,'BASE '!#REF!,2,0)))-(G13*((VLOOKUP(S13,'BASE '!#REF!,2,0)+(VLOOKUP(H13,'BASE '!$I$112:$J$142,2,0))))))))))))))))</f>
        <v>0</v>
      </c>
      <c r="P13" s="52" t="b">
        <f t="shared" si="1"/>
        <v>0</v>
      </c>
      <c r="Q13" s="53" t="b">
        <f t="shared" si="2"/>
        <v>0</v>
      </c>
      <c r="R13" s="152" t="s">
        <v>175</v>
      </c>
      <c r="S13" s="184">
        <f t="shared" si="6"/>
        <v>0</v>
      </c>
      <c r="T13" s="124"/>
      <c r="U13" s="41" t="s">
        <v>175</v>
      </c>
      <c r="V13" s="70" t="e">
        <f>VLOOKUP(U13,'BASE '!$A$4:$H$144,2,0)</f>
        <v>#N/A</v>
      </c>
      <c r="W13" s="159"/>
      <c r="X13" s="159"/>
      <c r="Y13" s="160"/>
      <c r="Z13" s="158" t="e">
        <f>VLOOKUP(U13,'BASE '!$A$4:$H$144,3,0)</f>
        <v>#N/A</v>
      </c>
      <c r="AA13" s="94" t="e">
        <f t="shared" si="3"/>
        <v>#N/A</v>
      </c>
      <c r="AB13" s="95" t="e">
        <f>VLOOKUP(U13,'BASE '!$A$4:$H$144,6,0)*Y13/100</f>
        <v>#N/A</v>
      </c>
      <c r="AC13" s="95" t="e">
        <f>VLOOKUP(U13,'BASE '!$A$4:$H$144,7,0)*Y13/100</f>
        <v>#N/A</v>
      </c>
      <c r="AD13" s="95" t="e">
        <f>VLOOKUP(U13,'BASE '!$A$4:$H$144,8,0)*Y13/100</f>
        <v>#N/A</v>
      </c>
      <c r="AE13" s="96" t="e">
        <f t="shared" si="7"/>
        <v>#N/A</v>
      </c>
      <c r="AF13" s="435" t="s">
        <v>7</v>
      </c>
      <c r="AG13" s="91" t="s">
        <v>157</v>
      </c>
      <c r="AH13" s="36" t="e">
        <f>SUMIFS($H$6:$H$165,$D$6:$D$165,AF13,CHOIX,AG13)</f>
        <v>#NAME?</v>
      </c>
      <c r="AI13" s="36" t="e">
        <f>SUMIFS($I$6:$I$165,$D$6:$D$165,AF13,CHOIX,AG13)</f>
        <v>#NAME?</v>
      </c>
      <c r="AJ13" s="36" t="e">
        <f>SUMIFS($J$6:$J$165,$D$6:$D$165,AF13,CHOIX,AG13)</f>
        <v>#NAME?</v>
      </c>
      <c r="AK13" s="36" t="e">
        <f>SUMIFS($K$6:$K$165,$D$6:$D$165,AF13,CHOIX,AG13)</f>
        <v>#NAME?</v>
      </c>
      <c r="AL13" s="36" t="e">
        <f>SUMIFS($L$6:$L$165,$D$6:$D$165,AF13,CHOIX,AG13)</f>
        <v>#NAME?</v>
      </c>
      <c r="AM13" s="36" t="e">
        <f>SUMIFS($M$6:$M$165,$D$6:$D$165,AF13,CHOIX,AG13)</f>
        <v>#NAME?</v>
      </c>
      <c r="AN13" s="91" t="s">
        <v>157</v>
      </c>
      <c r="AO13" s="83"/>
      <c r="AP13" s="63"/>
      <c r="AQ13" s="63"/>
      <c r="AR13" s="63"/>
      <c r="AS13" s="79"/>
      <c r="AT13" s="79"/>
      <c r="AU13" s="55" t="e">
        <f>SUMIFS($O$6:$O$165,$D$6:$D$165,AF13,CHOIX,AG13)</f>
        <v>#NAME?</v>
      </c>
      <c r="AV13" s="80" t="e">
        <f>SUMIFS($Q$6:$Q$165,$D$6:$D$165,AF13,CHOIX,AG13)</f>
        <v>#NAME?</v>
      </c>
      <c r="AW13" s="12"/>
      <c r="AX13" s="12"/>
      <c r="AY13" s="12"/>
      <c r="AZ13" s="8"/>
      <c r="BA13" s="148"/>
      <c r="BB13" s="148"/>
      <c r="BC13" s="148"/>
      <c r="BD13" s="10"/>
      <c r="BE13" s="10"/>
      <c r="BF13" s="10"/>
      <c r="BG13" s="10"/>
      <c r="BH13" s="10"/>
      <c r="BI13" s="10"/>
      <c r="BJ13" s="10"/>
      <c r="BK13" s="10"/>
      <c r="BL13" s="10"/>
      <c r="BM13" s="147">
        <f t="shared" si="8"/>
        <v>0</v>
      </c>
      <c r="BN13" s="147">
        <f t="shared" si="9"/>
        <v>0</v>
      </c>
      <c r="BO13" s="149"/>
      <c r="BP13" s="166"/>
      <c r="BQ13" s="12"/>
      <c r="BR13" s="12"/>
      <c r="BS13" s="476" t="s">
        <v>121</v>
      </c>
      <c r="BT13" s="481"/>
      <c r="BU13" s="477"/>
      <c r="BV13" s="545">
        <f t="shared" ref="BV13" si="18">BU13*BT13</f>
        <v>0</v>
      </c>
      <c r="BW13" s="580"/>
      <c r="BX13" s="576">
        <v>1</v>
      </c>
      <c r="BY13" s="497">
        <f>BH69</f>
        <v>0</v>
      </c>
      <c r="BZ13" s="496" t="e">
        <f>L166</f>
        <v>#NAME?</v>
      </c>
      <c r="CA13" s="542"/>
      <c r="CB13" s="477"/>
      <c r="CC13" s="544">
        <f t="shared" ref="CC13" si="19">BY13*CB13</f>
        <v>0</v>
      </c>
      <c r="CV13" s="64"/>
      <c r="CW13" s="148"/>
      <c r="CX13" s="109"/>
      <c r="CY13" s="132"/>
      <c r="CZ13" s="143"/>
      <c r="DA13" s="127"/>
      <c r="DB13" s="50"/>
      <c r="DC13" s="111"/>
      <c r="DD13" s="111"/>
      <c r="DE13" s="111"/>
      <c r="DF13" s="111"/>
      <c r="DG13" s="111"/>
      <c r="DH13" s="112"/>
      <c r="DI13" s="33">
        <f t="shared" si="4"/>
        <v>0</v>
      </c>
      <c r="DJ13" s="52" t="b">
        <f>IF(AND(CZ13="CLIENT S+L",DA13="HUILE"),(DN13*3333.33+(VLOOKUP(DC13,'BASE '!$I$112:$J$142,2,0)))-((DN13*3333.33)*DB13),IF(AND(CZ13="CLIENT S+L",DA13="LAIT"),((DN13*952.4)-(DN13*952.4)*DB13),IF(CZ13="CLIENT O","OFFERT",IF(AND(DA13="HUILE",CZ13="CLIENT L"),(((VLOOKUP(DC13,'BASE '!$I$112:$J$142,2,0))+(VLOOKUP(DN13,'BASE '!#REF!,2,0)))),IF(AND(DA13="LAIT",CZ13="CLIENT L"),(DN13*952.4),IF(AND(DA13="HUILE",CZ13="CLIENT D"),(DN13*3809.53+(VLOOKUP(DC13,'BASE '!$I$112:$J$142,2,0))),IF(AND(DA13="LAIT",CZ13="CLIENT D"),(DN13*952.4),IF(AND(DA13="HUILE",CZ13="CLIENT S+D"),((DN13*3809.53+(VLOOKUP(DC13,'BASE '!$I$112:$J$142,2,0)))-((DN13*3809.53)*DB13)),IF(AND(DA13="LAIT",CZ13="CLIENT S+D"),((DN13*952.4)-((DN13*952.4)*DB13)),IF(AND(CZ13="CLIENT S",DA13="LAIT"),((DN13*952.4)-((DN13*952.4)*DB13)),IF(AND(DA13="HUILE",CZ13="CLIENT S"),(VLOOKUP(DC13,'BASE '!$I$112:$J$142,2,0)+(VLOOKUP(DN13,'BASE '!#REF!,2,0)))-(DB13*((VLOOKUP(DN13,'BASE '!#REF!,2,0)+(VLOOKUP(DC13,'BASE '!$I$112:$J$142,2,0))))))))))))))))</f>
        <v>0</v>
      </c>
      <c r="DK13" s="52" t="b">
        <f t="shared" si="5"/>
        <v>0</v>
      </c>
      <c r="DL13" s="53" t="b">
        <f t="shared" si="12"/>
        <v>0</v>
      </c>
      <c r="DM13" s="149" t="s">
        <v>175</v>
      </c>
      <c r="DN13" s="116">
        <f t="shared" si="13"/>
        <v>0</v>
      </c>
      <c r="DO13" s="124"/>
      <c r="DP13" s="42"/>
      <c r="DQ13" s="70"/>
      <c r="DR13" s="159"/>
      <c r="DS13" s="159"/>
      <c r="DT13" s="159"/>
      <c r="DU13" s="160"/>
      <c r="DV13" s="95"/>
      <c r="DW13" s="95"/>
      <c r="DX13" s="95"/>
      <c r="DY13" s="96"/>
    </row>
    <row r="14" spans="2:129" ht="15" customHeight="1" x14ac:dyDescent="0.3">
      <c r="B14" s="64"/>
      <c r="C14" s="148"/>
      <c r="D14" s="109"/>
      <c r="E14" s="63"/>
      <c r="F14" s="127"/>
      <c r="G14" s="50"/>
      <c r="H14" s="10"/>
      <c r="I14" s="10"/>
      <c r="J14" s="10"/>
      <c r="K14" s="10"/>
      <c r="L14" s="10"/>
      <c r="M14" s="39"/>
      <c r="N14" s="33">
        <f t="shared" si="0"/>
        <v>0</v>
      </c>
      <c r="O14" s="52" t="b">
        <f>IF(AND(E14="CLIENT S+L",F14="HUILE"),(S14*3333.33+(VLOOKUP(H14,'BASE '!$I$112:$J$142,2,0)))-((S14*3333.33)*G14),IF(AND(E14="CLIENT S+L",F14="LAIT"),((S14*952.4)-(S14*952.4)*G14),IF(E14="CLIENT O","OFFERT",IF(AND(F14="HUILE",E14="CLIENT L"),(((VLOOKUP(H14,'BASE '!$I$112:$J$142,2,0))+(VLOOKUP(S14,'BASE '!#REF!,2,0)))),IF(AND(F14="LAIT",E14="CLIENT L"),(S14*952.4),IF(AND(F14="HUILE",E14="CLIENT D"),(S14*3809.53+(VLOOKUP(H14,'BASE '!$I$112:$J$142,2,0))),IF(AND(F14="LAIT",E14="CLIENT D"),(S14*952.4),IF(AND(F14="HUILE",E14="CLIENT S+D"),((S14*3809.53+(VLOOKUP(H14,'BASE '!$I$112:$J$142,2,0)))-((S14*3809.53)*G14)),IF(AND(F14="LAIT",E14="CLIENT S+D"),((S14*952.4)-((S14*952.4)*G14)),IF(AND(E14="CLIENT S",F14="LAIT"),((S14*952.4)-((S14*952.4)*G14)),IF(AND(F14="HUILE",E14="CLIENT S"),(VLOOKUP(H14,'BASE '!$I$112:$J$142,2,0)+(VLOOKUP(S14,'BASE '!#REF!,2,0)))-(G14*((VLOOKUP(S14,'BASE '!#REF!,2,0)+(VLOOKUP(H14,'BASE '!$I$112:$J$142,2,0))))))))))))))))</f>
        <v>0</v>
      </c>
      <c r="P14" s="52" t="b">
        <f t="shared" si="1"/>
        <v>0</v>
      </c>
      <c r="Q14" s="53" t="b">
        <f t="shared" si="2"/>
        <v>0</v>
      </c>
      <c r="R14" s="152" t="s">
        <v>175</v>
      </c>
      <c r="S14" s="184">
        <f t="shared" si="6"/>
        <v>0</v>
      </c>
      <c r="T14" s="124"/>
      <c r="U14" s="41" t="s">
        <v>175</v>
      </c>
      <c r="V14" s="70" t="e">
        <f>VLOOKUP(U14,'BASE '!$A$4:$H$144,2,0)</f>
        <v>#N/A</v>
      </c>
      <c r="W14" s="159"/>
      <c r="X14" s="159"/>
      <c r="Y14" s="160"/>
      <c r="Z14" s="158" t="e">
        <f>VLOOKUP(U14,'BASE '!$A$4:$H$144,3,0)</f>
        <v>#N/A</v>
      </c>
      <c r="AA14" s="94" t="e">
        <f t="shared" si="3"/>
        <v>#N/A</v>
      </c>
      <c r="AB14" s="95" t="e">
        <f>VLOOKUP(U14,'BASE '!$A$4:$H$144,6,0)*Y14/100</f>
        <v>#N/A</v>
      </c>
      <c r="AC14" s="95" t="e">
        <f>VLOOKUP(U14,'BASE '!$A$4:$H$144,7,0)*Y14/100</f>
        <v>#N/A</v>
      </c>
      <c r="AD14" s="95" t="e">
        <f>VLOOKUP(U14,'BASE '!$A$4:$H$144,8,0)*Y14/100</f>
        <v>#N/A</v>
      </c>
      <c r="AE14" s="96" t="e">
        <f t="shared" si="7"/>
        <v>#N/A</v>
      </c>
      <c r="AF14" s="435"/>
      <c r="AG14" s="1" t="s">
        <v>155</v>
      </c>
      <c r="AH14" s="36" t="e">
        <f>SUMIFS($H$6:$H$165,$D$6:$D$165,AF13,CHOIX,AG14)</f>
        <v>#NAME?</v>
      </c>
      <c r="AI14" s="36" t="e">
        <f>SUMIFS($I$6:$I$165,$D$6:$D$165,AF13,CHOIX,AG14)</f>
        <v>#NAME?</v>
      </c>
      <c r="AJ14" s="36" t="e">
        <f>SUMIFS($J$6:$J$165,$D$6:$D$165,AF13,CHOIX,AG14)</f>
        <v>#NAME?</v>
      </c>
      <c r="AK14" s="36" t="e">
        <f>SUMIFS($K$6:$K$165,$D$6:$D$165,AF13,CHOIX,AG14)</f>
        <v>#NAME?</v>
      </c>
      <c r="AL14" s="36" t="e">
        <f>SUMIFS($L$6:$L$165,$D$6:$D$165,AF13,CHOIX,AG14)</f>
        <v>#NAME?</v>
      </c>
      <c r="AM14" s="36" t="e">
        <f>SUMIFS($M$6:$M$165,$D$6:$D$165,AF13,CHOIX,AG14)</f>
        <v>#NAME?</v>
      </c>
      <c r="AN14" s="1" t="s">
        <v>155</v>
      </c>
      <c r="AO14" s="83"/>
      <c r="AP14" s="63"/>
      <c r="AQ14" s="63"/>
      <c r="AR14" s="63"/>
      <c r="AS14" s="79"/>
      <c r="AT14" s="79"/>
      <c r="AU14" s="55" t="e">
        <f>SUMIFS($O$6:$O$165,$D$6:$D$165,AF13,CHOIX,AG14)</f>
        <v>#NAME?</v>
      </c>
      <c r="AV14" s="80" t="e">
        <f>SUMIFS($Q$6:$Q$165,$D$6:$D$165,AF13,CHOIX,AG14)</f>
        <v>#NAME?</v>
      </c>
      <c r="AW14" s="12"/>
      <c r="AX14" s="12"/>
      <c r="AY14" s="12"/>
      <c r="AZ14" s="8"/>
      <c r="BA14" s="148"/>
      <c r="BB14" s="148"/>
      <c r="BC14" s="148"/>
      <c r="BD14" s="10"/>
      <c r="BE14" s="10"/>
      <c r="BF14" s="10"/>
      <c r="BG14" s="10"/>
      <c r="BH14" s="10"/>
      <c r="BI14" s="10"/>
      <c r="BJ14" s="10"/>
      <c r="BK14" s="10"/>
      <c r="BL14" s="10"/>
      <c r="BM14" s="147">
        <f t="shared" si="8"/>
        <v>0</v>
      </c>
      <c r="BN14" s="147">
        <f t="shared" si="9"/>
        <v>0</v>
      </c>
      <c r="BO14" s="149"/>
      <c r="BP14" s="166"/>
      <c r="BQ14" s="12"/>
      <c r="BR14" s="12"/>
      <c r="BS14" s="476"/>
      <c r="BT14" s="481"/>
      <c r="BU14" s="477"/>
      <c r="BV14" s="545"/>
      <c r="BW14" s="580"/>
      <c r="BX14" s="576"/>
      <c r="BY14" s="497"/>
      <c r="BZ14" s="497"/>
      <c r="CA14" s="543"/>
      <c r="CB14" s="477"/>
      <c r="CC14" s="544"/>
      <c r="CV14" s="64"/>
      <c r="CW14" s="148"/>
      <c r="CX14" s="109"/>
      <c r="CY14" s="132"/>
      <c r="CZ14" s="143"/>
      <c r="DA14" s="127"/>
      <c r="DB14" s="50"/>
      <c r="DC14" s="111"/>
      <c r="DD14" s="111"/>
      <c r="DE14" s="111"/>
      <c r="DF14" s="111"/>
      <c r="DG14" s="111"/>
      <c r="DH14" s="112"/>
      <c r="DI14" s="33">
        <f t="shared" si="4"/>
        <v>0</v>
      </c>
      <c r="DJ14" s="52" t="b">
        <f>IF(AND(CZ14="CLIENT S+L",DA14="HUILE"),(DN14*3333.33+(VLOOKUP(DC14,'BASE '!$I$112:$J$142,2,0)))-((DN14*3333.33)*DB14),IF(AND(CZ14="CLIENT S+L",DA14="LAIT"),((DN14*952.4)-(DN14*952.4)*DB14),IF(CZ14="CLIENT O","OFFERT",IF(AND(DA14="HUILE",CZ14="CLIENT L"),(((VLOOKUP(DC14,'BASE '!$I$112:$J$142,2,0))+(VLOOKUP(DN14,'BASE '!#REF!,2,0)))),IF(AND(DA14="LAIT",CZ14="CLIENT L"),(DN14*952.4),IF(AND(DA14="HUILE",CZ14="CLIENT D"),(DN14*3809.53+(VLOOKUP(DC14,'BASE '!$I$112:$J$142,2,0))),IF(AND(DA14="LAIT",CZ14="CLIENT D"),(DN14*952.4),IF(AND(DA14="HUILE",CZ14="CLIENT S+D"),((DN14*3809.53+(VLOOKUP(DC14,'BASE '!$I$112:$J$142,2,0)))-((DN14*3809.53)*DB14)),IF(AND(DA14="LAIT",CZ14="CLIENT S+D"),((DN14*952.4)-((DN14*952.4)*DB14)),IF(AND(CZ14="CLIENT S",DA14="LAIT"),((DN14*952.4)-((DN14*952.4)*DB14)),IF(AND(DA14="HUILE",CZ14="CLIENT S"),(VLOOKUP(DC14,'BASE '!$I$112:$J$142,2,0)+(VLOOKUP(DN14,'BASE '!#REF!,2,0)))-(DB14*((VLOOKUP(DN14,'BASE '!#REF!,2,0)+(VLOOKUP(DC14,'BASE '!$I$112:$J$142,2,0))))))))))))))))</f>
        <v>0</v>
      </c>
      <c r="DK14" s="52" t="b">
        <f t="shared" si="5"/>
        <v>0</v>
      </c>
      <c r="DL14" s="53" t="b">
        <f t="shared" si="12"/>
        <v>0</v>
      </c>
      <c r="DM14" s="149" t="s">
        <v>175</v>
      </c>
      <c r="DN14" s="116">
        <f t="shared" si="13"/>
        <v>0</v>
      </c>
      <c r="DO14" s="124"/>
      <c r="DP14" s="42"/>
      <c r="DQ14" s="70"/>
      <c r="DR14" s="159"/>
      <c r="DS14" s="159"/>
      <c r="DT14" s="159"/>
      <c r="DU14" s="160"/>
      <c r="DV14" s="95"/>
      <c r="DW14" s="95"/>
      <c r="DX14" s="95"/>
      <c r="DY14" s="96"/>
    </row>
    <row r="15" spans="2:129" ht="15" customHeight="1" x14ac:dyDescent="0.3">
      <c r="B15" s="64"/>
      <c r="C15" s="148"/>
      <c r="D15" s="109"/>
      <c r="E15" s="63"/>
      <c r="F15" s="127"/>
      <c r="G15" s="50"/>
      <c r="H15" s="10"/>
      <c r="I15" s="10"/>
      <c r="J15" s="10"/>
      <c r="K15" s="10"/>
      <c r="L15" s="10"/>
      <c r="M15" s="39"/>
      <c r="N15" s="33">
        <f t="shared" si="0"/>
        <v>0</v>
      </c>
      <c r="O15" s="52" t="b">
        <f>IF(AND(E15="CLIENT S+L",F15="HUILE"),(S15*3333.33+(VLOOKUP(H15,'BASE '!$I$112:$J$142,2,0)))-((S15*3333.33)*G15),IF(AND(E15="CLIENT S+L",F15="LAIT"),((S15*952.4)-(S15*952.4)*G15),IF(E15="CLIENT O","OFFERT",IF(AND(F15="HUILE",E15="CLIENT L"),(((VLOOKUP(H15,'BASE '!$I$112:$J$142,2,0))+(VLOOKUP(S15,'BASE '!#REF!,2,0)))),IF(AND(F15="LAIT",E15="CLIENT L"),(S15*952.4),IF(AND(F15="HUILE",E15="CLIENT D"),(S15*3809.53+(VLOOKUP(H15,'BASE '!$I$112:$J$142,2,0))),IF(AND(F15="LAIT",E15="CLIENT D"),(S15*952.4),IF(AND(F15="HUILE",E15="CLIENT S+D"),((S15*3809.53+(VLOOKUP(H15,'BASE '!$I$112:$J$142,2,0)))-((S15*3809.53)*G15)),IF(AND(F15="LAIT",E15="CLIENT S+D"),((S15*952.4)-((S15*952.4)*G15)),IF(AND(E15="CLIENT S",F15="LAIT"),((S15*952.4)-((S15*952.4)*G15)),IF(AND(F15="HUILE",E15="CLIENT S"),(VLOOKUP(H15,'BASE '!$I$112:$J$142,2,0)+(VLOOKUP(S15,'BASE '!#REF!,2,0)))-(G15*((VLOOKUP(S15,'BASE '!#REF!,2,0)+(VLOOKUP(H15,'BASE '!$I$112:$J$142,2,0))))))))))))))))</f>
        <v>0</v>
      </c>
      <c r="P15" s="52" t="b">
        <f t="shared" si="1"/>
        <v>0</v>
      </c>
      <c r="Q15" s="53" t="b">
        <f t="shared" si="2"/>
        <v>0</v>
      </c>
      <c r="R15" s="152" t="s">
        <v>175</v>
      </c>
      <c r="S15" s="184">
        <f t="shared" si="6"/>
        <v>0</v>
      </c>
      <c r="T15" s="124"/>
      <c r="U15" s="41" t="s">
        <v>175</v>
      </c>
      <c r="V15" s="70" t="e">
        <f>VLOOKUP(U15,'BASE '!$A$4:$H$144,2,0)</f>
        <v>#N/A</v>
      </c>
      <c r="W15" s="159"/>
      <c r="X15" s="159"/>
      <c r="Y15" s="160"/>
      <c r="Z15" s="158" t="e">
        <f>VLOOKUP(U15,'BASE '!$A$4:$H$144,3,0)</f>
        <v>#N/A</v>
      </c>
      <c r="AA15" s="94" t="e">
        <f t="shared" si="3"/>
        <v>#N/A</v>
      </c>
      <c r="AB15" s="95" t="e">
        <f>VLOOKUP(U15,'BASE '!$A$4:$H$144,6,0)*Y15/100</f>
        <v>#N/A</v>
      </c>
      <c r="AC15" s="95" t="e">
        <f>VLOOKUP(U15,'BASE '!$A$4:$H$144,7,0)*Y15/100</f>
        <v>#N/A</v>
      </c>
      <c r="AD15" s="95" t="e">
        <f>VLOOKUP(U15,'BASE '!$A$4:$H$144,8,0)*Y15/100</f>
        <v>#N/A</v>
      </c>
      <c r="AE15" s="96" t="e">
        <f t="shared" si="7"/>
        <v>#N/A</v>
      </c>
      <c r="AF15" s="435" t="s">
        <v>8</v>
      </c>
      <c r="AG15" s="91" t="s">
        <v>157</v>
      </c>
      <c r="AH15" s="36" t="e">
        <f>SUMIFS($H$6:$H$165,$D$6:$D$165,AF15,CHOIX,AG15)</f>
        <v>#NAME?</v>
      </c>
      <c r="AI15" s="36" t="e">
        <f>SUMIFS($I$6:$I$165,$D$6:$D$165,AF15,CHOIX,AG15)</f>
        <v>#NAME?</v>
      </c>
      <c r="AJ15" s="36" t="e">
        <f>SUMIFS($J$6:$J$165,$D$6:$D$165,AF15,CHOIX,AG15)</f>
        <v>#NAME?</v>
      </c>
      <c r="AK15" s="36" t="e">
        <f>SUMIFS($K$6:$K$165,$D$6:$D$165,AF15,CHOIX,AG15)</f>
        <v>#NAME?</v>
      </c>
      <c r="AL15" s="36" t="e">
        <f>SUMIFS($L$6:$L$165,$D$6:$D$165,AF15,CHOIX,AG15)</f>
        <v>#NAME?</v>
      </c>
      <c r="AM15" s="36" t="e">
        <f>SUMIFS($M$6:$M$165,$D$6:$D$165,AF15,CHOIX,AG15)</f>
        <v>#NAME?</v>
      </c>
      <c r="AN15" s="91" t="s">
        <v>157</v>
      </c>
      <c r="AO15" s="83"/>
      <c r="AP15" s="63"/>
      <c r="AQ15" s="63"/>
      <c r="AR15" s="63"/>
      <c r="AS15" s="79"/>
      <c r="AT15" s="79"/>
      <c r="AU15" s="55" t="e">
        <f>SUMIFS($O$6:$O$165,$D$6:$D$165,AF15,CHOIX,AG15)</f>
        <v>#NAME?</v>
      </c>
      <c r="AV15" s="80" t="e">
        <f>SUMIFS($Q$6:$Q$165,$D$6:$D$165,AF15,CHOIX,AG15)</f>
        <v>#NAME?</v>
      </c>
      <c r="AW15" s="12"/>
      <c r="AX15" s="12"/>
      <c r="AY15" s="12"/>
      <c r="AZ15" s="8"/>
      <c r="BA15" s="148"/>
      <c r="BB15" s="148"/>
      <c r="BC15" s="148"/>
      <c r="BD15" s="10"/>
      <c r="BE15" s="10"/>
      <c r="BF15" s="10"/>
      <c r="BG15" s="10"/>
      <c r="BH15" s="10"/>
      <c r="BI15" s="10"/>
      <c r="BJ15" s="10"/>
      <c r="BK15" s="10"/>
      <c r="BL15" s="10"/>
      <c r="BM15" s="147">
        <f t="shared" si="8"/>
        <v>0</v>
      </c>
      <c r="BN15" s="147">
        <f t="shared" si="9"/>
        <v>0</v>
      </c>
      <c r="BO15" s="149"/>
      <c r="BP15" s="166"/>
      <c r="BQ15" s="12"/>
      <c r="BR15" s="12"/>
      <c r="BS15" s="431" t="s">
        <v>176</v>
      </c>
      <c r="BT15" s="481"/>
      <c r="BU15" s="477"/>
      <c r="BV15" s="545">
        <f t="shared" ref="BV15" si="20">BU15*BT15</f>
        <v>0</v>
      </c>
      <c r="BW15" s="580"/>
      <c r="BX15" s="585">
        <v>5</v>
      </c>
      <c r="BY15" s="497">
        <f>BI70</f>
        <v>0</v>
      </c>
      <c r="BZ15" s="496" t="e">
        <f>M166</f>
        <v>#NAME?</v>
      </c>
      <c r="CA15" s="542"/>
      <c r="CB15" s="477"/>
      <c r="CC15" s="544">
        <f t="shared" ref="CC15" si="21">BY15*CB15</f>
        <v>0</v>
      </c>
      <c r="CV15" s="64"/>
      <c r="CW15" s="148"/>
      <c r="CX15" s="109"/>
      <c r="CY15" s="132"/>
      <c r="CZ15" s="143"/>
      <c r="DA15" s="63"/>
      <c r="DB15" s="50"/>
      <c r="DC15" s="111"/>
      <c r="DD15" s="111"/>
      <c r="DE15" s="111"/>
      <c r="DF15" s="111"/>
      <c r="DG15" s="111"/>
      <c r="DH15" s="112"/>
      <c r="DI15" s="33">
        <f t="shared" si="4"/>
        <v>0</v>
      </c>
      <c r="DJ15" s="52" t="b">
        <f>IF(AND(CZ15="CLIENT S+L",DA15="HUILE"),(DN15*3333.33+(VLOOKUP(DC15,'BASE '!$I$112:$J$142,2,0)))-((DN15*3333.33)*DB15),IF(AND(CZ15="CLIENT S+L",DA15="LAIT"),((DN15*952.4)-(DN15*952.4)*DB15),IF(CZ15="CLIENT O","OFFERT",IF(AND(DA15="HUILE",CZ15="CLIENT L"),(((VLOOKUP(DC15,'BASE '!$I$112:$J$142,2,0))+(VLOOKUP(DN15,'BASE '!#REF!,2,0)))),IF(AND(DA15="LAIT",CZ15="CLIENT L"),(DN15*952.4),IF(AND(DA15="HUILE",CZ15="CLIENT D"),(DN15*3809.53+(VLOOKUP(DC15,'BASE '!$I$112:$J$142,2,0))),IF(AND(DA15="LAIT",CZ15="CLIENT D"),(DN15*952.4),IF(AND(DA15="HUILE",CZ15="CLIENT S+D"),((DN15*3809.53+(VLOOKUP(DC15,'BASE '!$I$112:$J$142,2,0)))-((DN15*3809.53)*DB15)),IF(AND(DA15="LAIT",CZ15="CLIENT S+D"),((DN15*952.4)-((DN15*952.4)*DB15)),IF(AND(CZ15="CLIENT S",DA15="LAIT"),((DN15*952.4)-((DN15*952.4)*DB15)),IF(AND(DA15="HUILE",CZ15="CLIENT S"),(VLOOKUP(DC15,'BASE '!$I$112:$J$142,2,0)+(VLOOKUP(DN15,'BASE '!#REF!,2,0)))-(DB15*((VLOOKUP(DN15,'BASE '!#REF!,2,0)+(VLOOKUP(DC15,'BASE '!$I$112:$J$142,2,0))))))))))))))))</f>
        <v>0</v>
      </c>
      <c r="DK15" s="52" t="b">
        <f t="shared" si="5"/>
        <v>0</v>
      </c>
      <c r="DL15" s="53" t="b">
        <f t="shared" si="12"/>
        <v>0</v>
      </c>
      <c r="DM15" s="149" t="s">
        <v>175</v>
      </c>
      <c r="DN15" s="116">
        <f t="shared" si="13"/>
        <v>0</v>
      </c>
      <c r="DO15" s="124"/>
      <c r="DP15" s="42"/>
      <c r="DQ15" s="70"/>
      <c r="DR15" s="159"/>
      <c r="DS15" s="159"/>
      <c r="DT15" s="159"/>
      <c r="DU15" s="160"/>
      <c r="DV15" s="95"/>
      <c r="DW15" s="95"/>
      <c r="DX15" s="95"/>
      <c r="DY15" s="96"/>
    </row>
    <row r="16" spans="2:129" ht="15" customHeight="1" x14ac:dyDescent="0.3">
      <c r="B16" s="64"/>
      <c r="C16" s="148"/>
      <c r="D16" s="109"/>
      <c r="E16" s="63"/>
      <c r="F16" s="127"/>
      <c r="G16" s="50"/>
      <c r="H16" s="10"/>
      <c r="I16" s="10"/>
      <c r="J16" s="10"/>
      <c r="K16" s="10"/>
      <c r="L16" s="10"/>
      <c r="M16" s="39"/>
      <c r="N16" s="33">
        <f t="shared" si="0"/>
        <v>0</v>
      </c>
      <c r="O16" s="52" t="b">
        <f>IF(AND(E16="CLIENT S+L",F16="HUILE"),(S16*3333.33+(VLOOKUP(H16,'BASE '!$I$112:$J$142,2,0)))-((S16*3333.33)*G16),IF(AND(E16="CLIENT S+L",F16="LAIT"),((S16*952.4)-(S16*952.4)*G16),IF(E16="CLIENT O","OFFERT",IF(AND(F16="HUILE",E16="CLIENT L"),(((VLOOKUP(H16,'BASE '!$I$112:$J$142,2,0))+(VLOOKUP(S16,'BASE '!#REF!,2,0)))),IF(AND(F16="LAIT",E16="CLIENT L"),(S16*952.4),IF(AND(F16="HUILE",E16="CLIENT D"),(S16*3809.53+(VLOOKUP(H16,'BASE '!$I$112:$J$142,2,0))),IF(AND(F16="LAIT",E16="CLIENT D"),(S16*952.4),IF(AND(F16="HUILE",E16="CLIENT S+D"),((S16*3809.53+(VLOOKUP(H16,'BASE '!$I$112:$J$142,2,0)))-((S16*3809.53)*G16)),IF(AND(F16="LAIT",E16="CLIENT S+D"),((S16*952.4)-((S16*952.4)*G16)),IF(AND(E16="CLIENT S",F16="LAIT"),((S16*952.4)-((S16*952.4)*G16)),IF(AND(F16="HUILE",E16="CLIENT S"),(VLOOKUP(H16,'BASE '!$I$112:$J$142,2,0)+(VLOOKUP(S16,'BASE '!#REF!,2,0)))-(G16*((VLOOKUP(S16,'BASE '!#REF!,2,0)+(VLOOKUP(H16,'BASE '!$I$112:$J$142,2,0))))))))))))))))</f>
        <v>0</v>
      </c>
      <c r="P16" s="52" t="b">
        <f t="shared" si="1"/>
        <v>0</v>
      </c>
      <c r="Q16" s="53" t="b">
        <f t="shared" si="2"/>
        <v>0</v>
      </c>
      <c r="R16" s="152" t="s">
        <v>175</v>
      </c>
      <c r="S16" s="184">
        <f t="shared" si="6"/>
        <v>0</v>
      </c>
      <c r="T16" s="124"/>
      <c r="U16" s="41" t="s">
        <v>175</v>
      </c>
      <c r="V16" s="70" t="e">
        <f>VLOOKUP(U16,'BASE '!$A$4:$H$144,2,0)</f>
        <v>#N/A</v>
      </c>
      <c r="W16" s="159"/>
      <c r="X16" s="159"/>
      <c r="Y16" s="160"/>
      <c r="Z16" s="158" t="e">
        <f>VLOOKUP(U16,'BASE '!$A$4:$H$144,3,0)</f>
        <v>#N/A</v>
      </c>
      <c r="AA16" s="94" t="e">
        <f t="shared" si="3"/>
        <v>#N/A</v>
      </c>
      <c r="AB16" s="95" t="e">
        <f>VLOOKUP(U16,'BASE '!$A$4:$H$144,6,0)*Y16/100</f>
        <v>#N/A</v>
      </c>
      <c r="AC16" s="95" t="e">
        <f>VLOOKUP(U16,'BASE '!$A$4:$H$144,7,0)*Y16/100</f>
        <v>#N/A</v>
      </c>
      <c r="AD16" s="95" t="e">
        <f>VLOOKUP(U16,'BASE '!$A$4:$H$144,8,0)*Y16/100</f>
        <v>#N/A</v>
      </c>
      <c r="AE16" s="96" t="e">
        <f t="shared" si="7"/>
        <v>#N/A</v>
      </c>
      <c r="AF16" s="435"/>
      <c r="AG16" s="1" t="s">
        <v>155</v>
      </c>
      <c r="AH16" s="36" t="e">
        <f>SUMIFS($H$6:$H$165,$D$6:$D$165,AF15,CHOIX,AG16)</f>
        <v>#NAME?</v>
      </c>
      <c r="AI16" s="36" t="e">
        <f>SUMIFS($I$6:$I$165,$D$6:$D$165,AF15,CHOIX,AG16)</f>
        <v>#NAME?</v>
      </c>
      <c r="AJ16" s="36" t="e">
        <f>SUMIFS($J$6:$J$165,$D$6:$D$165,AF15,CHOIX,AG16)</f>
        <v>#NAME?</v>
      </c>
      <c r="AK16" s="36" t="e">
        <f>SUMIFS($K$6:$K$165,$D$6:$D$165,AF15,CHOIX,AG16)</f>
        <v>#NAME?</v>
      </c>
      <c r="AL16" s="36" t="e">
        <f>SUMIFS($L$6:$L$165,$D$6:$D$165,AF15,CHOIX,AG16)</f>
        <v>#NAME?</v>
      </c>
      <c r="AM16" s="36" t="e">
        <f>SUMIFS($M$6:$M$165,$D$6:$D$165,AF15,CHOIX,AG16)</f>
        <v>#NAME?</v>
      </c>
      <c r="AN16" s="1" t="s">
        <v>155</v>
      </c>
      <c r="AO16" s="83"/>
      <c r="AP16" s="63"/>
      <c r="AQ16" s="63"/>
      <c r="AR16" s="63"/>
      <c r="AS16" s="79"/>
      <c r="AT16" s="79"/>
      <c r="AU16" s="55" t="e">
        <f>SUMIFS($O$6:$O$165,$D$6:$D$165,AF15,CHOIX,AG16)</f>
        <v>#NAME?</v>
      </c>
      <c r="AV16" s="80" t="e">
        <f>SUMIFS($Q$6:$Q$165,$D$6:$D$165,AF15,CHOIX,AG16)</f>
        <v>#NAME?</v>
      </c>
      <c r="AW16" s="12"/>
      <c r="AX16" s="12"/>
      <c r="AY16" s="12"/>
      <c r="AZ16" s="8"/>
      <c r="BA16" s="148"/>
      <c r="BB16" s="148"/>
      <c r="BC16" s="148"/>
      <c r="BD16" s="10"/>
      <c r="BE16" s="10"/>
      <c r="BF16" s="10"/>
      <c r="BG16" s="10"/>
      <c r="BH16" s="10"/>
      <c r="BI16" s="10"/>
      <c r="BJ16" s="10"/>
      <c r="BK16" s="10"/>
      <c r="BL16" s="10"/>
      <c r="BM16" s="147">
        <f t="shared" si="8"/>
        <v>0</v>
      </c>
      <c r="BN16" s="147">
        <f t="shared" si="9"/>
        <v>0</v>
      </c>
      <c r="BO16" s="149"/>
      <c r="BP16" s="166"/>
      <c r="BQ16" s="12"/>
      <c r="BR16" s="12"/>
      <c r="BS16" s="431"/>
      <c r="BT16" s="481"/>
      <c r="BU16" s="477"/>
      <c r="BV16" s="545"/>
      <c r="BW16" s="581"/>
      <c r="BX16" s="585"/>
      <c r="BY16" s="497"/>
      <c r="BZ16" s="497"/>
      <c r="CA16" s="543"/>
      <c r="CB16" s="477"/>
      <c r="CC16" s="544"/>
      <c r="CV16" s="64"/>
      <c r="CW16" s="148"/>
      <c r="CX16" s="109"/>
      <c r="CY16" s="132"/>
      <c r="CZ16" s="143"/>
      <c r="DA16" s="63"/>
      <c r="DB16" s="50"/>
      <c r="DC16" s="10"/>
      <c r="DD16" s="10"/>
      <c r="DE16" s="10"/>
      <c r="DF16" s="10"/>
      <c r="DG16" s="10"/>
      <c r="DH16" s="39"/>
      <c r="DI16" s="33">
        <f t="shared" si="4"/>
        <v>0</v>
      </c>
      <c r="DJ16" s="52" t="b">
        <f>IF(AND(CZ16="CLIENT S+L",DA16="HUILE"),(DN16*3333.33+(VLOOKUP(DC16,'BASE '!$I$112:$J$142,2,0)))-((DN16*3333.33)*DB16),IF(AND(CZ16="CLIENT S+L",DA16="LAIT"),((DN16*952.4)-(DN16*952.4)*DB16),IF(CZ16="CLIENT O","OFFERT",IF(AND(DA16="HUILE",CZ16="CLIENT L"),(((VLOOKUP(DC16,'BASE '!$I$112:$J$142,2,0))+(VLOOKUP(DN16,'BASE '!#REF!,2,0)))),IF(AND(DA16="LAIT",CZ16="CLIENT L"),(DN16*952.4),IF(AND(DA16="HUILE",CZ16="CLIENT D"),(DN16*3809.53+(VLOOKUP(DC16,'BASE '!$I$112:$J$142,2,0))),IF(AND(DA16="LAIT",CZ16="CLIENT D"),(DN16*952.4),IF(AND(DA16="HUILE",CZ16="CLIENT S+D"),((DN16*3809.53+(VLOOKUP(DC16,'BASE '!$I$112:$J$142,2,0)))-((DN16*3809.53)*DB16)),IF(AND(DA16="LAIT",CZ16="CLIENT S+D"),((DN16*952.4)-((DN16*952.4)*DB16)),IF(AND(CZ16="CLIENT S",DA16="LAIT"),((DN16*952.4)-((DN16*952.4)*DB16)),IF(AND(DA16="HUILE",CZ16="CLIENT S"),(VLOOKUP(DC16,'BASE '!$I$112:$J$142,2,0)+(VLOOKUP(DN16,'BASE '!#REF!,2,0)))-(DB16*((VLOOKUP(DN16,'BASE '!#REF!,2,0)+(VLOOKUP(DC16,'BASE '!$I$112:$J$142,2,0))))))))))))))))</f>
        <v>0</v>
      </c>
      <c r="DK16" s="52" t="b">
        <f t="shared" si="5"/>
        <v>0</v>
      </c>
      <c r="DL16" s="53" t="b">
        <f t="shared" si="12"/>
        <v>0</v>
      </c>
      <c r="DM16" s="149" t="s">
        <v>175</v>
      </c>
      <c r="DN16" s="116">
        <f t="shared" si="13"/>
        <v>0</v>
      </c>
      <c r="DO16" s="124"/>
      <c r="DP16" s="42"/>
      <c r="DQ16" s="70"/>
      <c r="DR16" s="159"/>
      <c r="DS16" s="159"/>
      <c r="DT16" s="159"/>
      <c r="DU16" s="160"/>
      <c r="DV16" s="95"/>
      <c r="DW16" s="95"/>
      <c r="DX16" s="95"/>
      <c r="DY16" s="96"/>
    </row>
    <row r="17" spans="2:129" ht="15" customHeight="1" x14ac:dyDescent="0.3">
      <c r="B17" s="64"/>
      <c r="C17" s="148"/>
      <c r="D17" s="109"/>
      <c r="E17" s="63"/>
      <c r="F17" s="127"/>
      <c r="G17" s="50"/>
      <c r="H17" s="10"/>
      <c r="I17" s="10"/>
      <c r="J17" s="10"/>
      <c r="K17" s="10"/>
      <c r="L17" s="10"/>
      <c r="M17" s="39"/>
      <c r="N17" s="33">
        <f t="shared" si="0"/>
        <v>0</v>
      </c>
      <c r="O17" s="52" t="b">
        <f>IF(AND(E17="CLIENT S+L",F17="HUILE"),(S17*3333.33+(VLOOKUP(H17,'BASE '!$I$112:$J$142,2,0)))-((S17*3333.33)*G17),IF(AND(E17="CLIENT S+L",F17="LAIT"),((S17*952.4)-(S17*952.4)*G17),IF(E17="CLIENT O","OFFERT",IF(AND(F17="HUILE",E17="CLIENT L"),(((VLOOKUP(H17,'BASE '!$I$112:$J$142,2,0))+(VLOOKUP(S17,'BASE '!#REF!,2,0)))),IF(AND(F17="LAIT",E17="CLIENT L"),(S17*952.4),IF(AND(F17="HUILE",E17="CLIENT D"),(S17*3809.53+(VLOOKUP(H17,'BASE '!$I$112:$J$142,2,0))),IF(AND(F17="LAIT",E17="CLIENT D"),(S17*952.4),IF(AND(F17="HUILE",E17="CLIENT S+D"),((S17*3809.53+(VLOOKUP(H17,'BASE '!$I$112:$J$142,2,0)))-((S17*3809.53)*G17)),IF(AND(F17="LAIT",E17="CLIENT S+D"),((S17*952.4)-((S17*952.4)*G17)),IF(AND(E17="CLIENT S",F17="LAIT"),((S17*952.4)-((S17*952.4)*G17)),IF(AND(F17="HUILE",E17="CLIENT S"),(VLOOKUP(H17,'BASE '!$I$112:$J$142,2,0)+(VLOOKUP(S17,'BASE '!#REF!,2,0)))-(G17*((VLOOKUP(S17,'BASE '!#REF!,2,0)+(VLOOKUP(H17,'BASE '!$I$112:$J$142,2,0))))))))))))))))</f>
        <v>0</v>
      </c>
      <c r="P17" s="52" t="b">
        <f t="shared" si="1"/>
        <v>0</v>
      </c>
      <c r="Q17" s="53" t="b">
        <f t="shared" si="2"/>
        <v>0</v>
      </c>
      <c r="R17" s="152" t="s">
        <v>175</v>
      </c>
      <c r="S17" s="184">
        <f t="shared" si="6"/>
        <v>0</v>
      </c>
      <c r="T17" s="124"/>
      <c r="U17" s="41" t="s">
        <v>175</v>
      </c>
      <c r="V17" s="70" t="e">
        <f>VLOOKUP(U17,'BASE '!$A$4:$H$144,2,0)</f>
        <v>#N/A</v>
      </c>
      <c r="W17" s="159"/>
      <c r="X17" s="159"/>
      <c r="Y17" s="160"/>
      <c r="Z17" s="158" t="e">
        <f>VLOOKUP(U17,'BASE '!$A$4:$H$144,3,0)</f>
        <v>#N/A</v>
      </c>
      <c r="AA17" s="94" t="e">
        <f t="shared" si="3"/>
        <v>#N/A</v>
      </c>
      <c r="AB17" s="95" t="e">
        <f>VLOOKUP(U17,'BASE '!$A$4:$H$144,6,0)*Y17/100</f>
        <v>#N/A</v>
      </c>
      <c r="AC17" s="95" t="e">
        <f>VLOOKUP(U17,'BASE '!$A$4:$H$144,7,0)*Y17/100</f>
        <v>#N/A</v>
      </c>
      <c r="AD17" s="95" t="e">
        <f>VLOOKUP(U17,'BASE '!$A$4:$H$144,8,0)*Y17/100</f>
        <v>#N/A</v>
      </c>
      <c r="AE17" s="96" t="e">
        <f t="shared" si="7"/>
        <v>#N/A</v>
      </c>
      <c r="AF17" s="435" t="s">
        <v>131</v>
      </c>
      <c r="AG17" s="91" t="s">
        <v>157</v>
      </c>
      <c r="AH17" s="36" t="e">
        <f>SUMIFS($H$6:$H$165,$D$6:$D$165,AF17,CHOIX,AG17)</f>
        <v>#NAME?</v>
      </c>
      <c r="AI17" s="36" t="e">
        <f>SUMIFS($I$6:$I$165,$D$6:$D$165,AF17,CHOIX,AG17)</f>
        <v>#NAME?</v>
      </c>
      <c r="AJ17" s="36" t="e">
        <f>SUMIFS($J$6:$J$165,$D$6:$D$165,AF17,CHOIX,AG17)</f>
        <v>#NAME?</v>
      </c>
      <c r="AK17" s="36" t="e">
        <f>SUMIFS($K$6:$K$165,$D$6:$D$165,AF17,CHOIX,AG17)</f>
        <v>#NAME?</v>
      </c>
      <c r="AL17" s="36" t="e">
        <f>SUMIFS($L$6:$L$165,$D$6:$D$165,AF17,CHOIX,AG17)</f>
        <v>#NAME?</v>
      </c>
      <c r="AM17" s="36" t="e">
        <f>SUMIFS($M$6:$M$165,$D$6:$D$165,AF17,CHOIX,AG17)</f>
        <v>#NAME?</v>
      </c>
      <c r="AN17" s="91" t="s">
        <v>157</v>
      </c>
      <c r="AO17" s="83"/>
      <c r="AP17" s="63"/>
      <c r="AQ17" s="63"/>
      <c r="AR17" s="63"/>
      <c r="AS17" s="79"/>
      <c r="AT17" s="79"/>
      <c r="AU17" s="55" t="e">
        <f>SUMIFS($O$6:$O$165,$D$6:$D$165,AF17,CHOIX,AG17)</f>
        <v>#NAME?</v>
      </c>
      <c r="AV17" s="80" t="e">
        <f>SUMIFS($Q$6:$Q$165,$D$6:$D$165,AF17,CHOIX,AG17)</f>
        <v>#NAME?</v>
      </c>
      <c r="AW17" s="12"/>
      <c r="AX17" s="12"/>
      <c r="AY17" s="12"/>
      <c r="AZ17" s="8"/>
      <c r="BA17" s="148"/>
      <c r="BB17" s="148"/>
      <c r="BC17" s="148"/>
      <c r="BD17" s="10"/>
      <c r="BE17" s="10"/>
      <c r="BF17" s="10"/>
      <c r="BG17" s="10"/>
      <c r="BH17" s="10"/>
      <c r="BI17" s="10"/>
      <c r="BJ17" s="10"/>
      <c r="BK17" s="10"/>
      <c r="BL17" s="10"/>
      <c r="BM17" s="147">
        <f t="shared" si="8"/>
        <v>0</v>
      </c>
      <c r="BN17" s="147">
        <f t="shared" si="9"/>
        <v>0</v>
      </c>
      <c r="BO17" s="149"/>
      <c r="BP17" s="166"/>
      <c r="BQ17" s="12"/>
      <c r="BR17" s="12"/>
      <c r="BS17" s="476" t="s">
        <v>122</v>
      </c>
      <c r="BT17" s="481"/>
      <c r="BU17" s="477"/>
      <c r="BV17" s="545">
        <f t="shared" ref="BV17" si="22">BU17*BT17</f>
        <v>0</v>
      </c>
      <c r="BW17" s="591" t="s">
        <v>155</v>
      </c>
      <c r="BX17" s="576">
        <v>25</v>
      </c>
      <c r="BY17" s="497">
        <f>BJ71</f>
        <v>0</v>
      </c>
      <c r="BZ17" s="496" t="e">
        <f>I168</f>
        <v>#NAME?</v>
      </c>
      <c r="CA17" s="542"/>
      <c r="CB17" s="477">
        <v>250</v>
      </c>
      <c r="CC17" s="544">
        <f t="shared" ref="CC17" si="23">BY17*CB17</f>
        <v>0</v>
      </c>
      <c r="CV17" s="64"/>
      <c r="CW17" s="148"/>
      <c r="CX17" s="109"/>
      <c r="CY17" s="132"/>
      <c r="CZ17" s="143"/>
      <c r="DA17" s="63"/>
      <c r="DB17" s="50"/>
      <c r="DC17" s="10"/>
      <c r="DD17" s="10"/>
      <c r="DE17" s="10"/>
      <c r="DF17" s="10"/>
      <c r="DG17" s="10"/>
      <c r="DH17" s="39"/>
      <c r="DI17" s="33">
        <f t="shared" si="4"/>
        <v>0</v>
      </c>
      <c r="DJ17" s="52" t="b">
        <f>IF(AND(CZ17="CLIENT S+L",DA17="HUILE"),(DN17*3333.33+(VLOOKUP(DC17,'BASE '!$I$112:$J$142,2,0)))-((DN17*3333.33)*DB17),IF(AND(CZ17="CLIENT S+L",DA17="LAIT"),((DN17*952.4)-(DN17*952.4)*DB17),IF(CZ17="CLIENT O","OFFERT",IF(AND(DA17="HUILE",CZ17="CLIENT L"),(((VLOOKUP(DC17,'BASE '!$I$112:$J$142,2,0))+(VLOOKUP(DN17,'BASE '!#REF!,2,0)))),IF(AND(DA17="LAIT",CZ17="CLIENT L"),(DN17*952.4),IF(AND(DA17="HUILE",CZ17="CLIENT D"),(DN17*3809.53+(VLOOKUP(DC17,'BASE '!$I$112:$J$142,2,0))),IF(AND(DA17="LAIT",CZ17="CLIENT D"),(DN17*952.4),IF(AND(DA17="HUILE",CZ17="CLIENT S+D"),((DN17*3809.53+(VLOOKUP(DC17,'BASE '!$I$112:$J$142,2,0)))-((DN17*3809.53)*DB17)),IF(AND(DA17="LAIT",CZ17="CLIENT S+D"),((DN17*952.4)-((DN17*952.4)*DB17)),IF(AND(CZ17="CLIENT S",DA17="LAIT"),((DN17*952.4)-((DN17*952.4)*DB17)),IF(AND(DA17="HUILE",CZ17="CLIENT S"),(VLOOKUP(DC17,'BASE '!$I$112:$J$142,2,0)+(VLOOKUP(DN17,'BASE '!#REF!,2,0)))-(DB17*((VLOOKUP(DN17,'BASE '!#REF!,2,0)+(VLOOKUP(DC17,'BASE '!$I$112:$J$142,2,0))))))))))))))))</f>
        <v>0</v>
      </c>
      <c r="DK17" s="52" t="b">
        <f t="shared" si="5"/>
        <v>0</v>
      </c>
      <c r="DL17" s="53" t="b">
        <f t="shared" si="12"/>
        <v>0</v>
      </c>
      <c r="DM17" s="149"/>
      <c r="DN17" s="116">
        <f t="shared" si="13"/>
        <v>0</v>
      </c>
      <c r="DO17" s="124"/>
      <c r="DP17" s="42"/>
      <c r="DQ17" s="70"/>
      <c r="DR17" s="159"/>
      <c r="DS17" s="159"/>
      <c r="DT17" s="159"/>
      <c r="DU17" s="160"/>
      <c r="DV17" s="95"/>
      <c r="DW17" s="95"/>
      <c r="DX17" s="95"/>
      <c r="DY17" s="96"/>
    </row>
    <row r="18" spans="2:129" ht="15" customHeight="1" x14ac:dyDescent="0.3">
      <c r="B18" s="64"/>
      <c r="C18" s="148"/>
      <c r="D18" s="109"/>
      <c r="E18" s="63"/>
      <c r="F18" s="127"/>
      <c r="G18" s="50"/>
      <c r="H18" s="10"/>
      <c r="I18" s="10"/>
      <c r="J18" s="10"/>
      <c r="K18" s="10"/>
      <c r="L18" s="10"/>
      <c r="M18" s="39"/>
      <c r="N18" s="33">
        <f t="shared" si="0"/>
        <v>0</v>
      </c>
      <c r="O18" s="52" t="b">
        <f>IF(AND(E18="CLIENT S+L",F18="HUILE"),(S18*3333.33+(VLOOKUP(H18,'BASE '!$I$112:$J$142,2,0)))-((S18*3333.33)*G18),IF(AND(E18="CLIENT S+L",F18="LAIT"),((S18*952.4)-(S18*952.4)*G18),IF(E18="CLIENT O","OFFERT",IF(AND(F18="HUILE",E18="CLIENT L"),(((VLOOKUP(H18,'BASE '!$I$112:$J$142,2,0))+(VLOOKUP(S18,'BASE '!#REF!,2,0)))),IF(AND(F18="LAIT",E18="CLIENT L"),(S18*952.4),IF(AND(F18="HUILE",E18="CLIENT D"),(S18*3809.53+(VLOOKUP(H18,'BASE '!$I$112:$J$142,2,0))),IF(AND(F18="LAIT",E18="CLIENT D"),(S18*952.4),IF(AND(F18="HUILE",E18="CLIENT S+D"),((S18*3809.53+(VLOOKUP(H18,'BASE '!$I$112:$J$142,2,0)))-((S18*3809.53)*G18)),IF(AND(F18="LAIT",E18="CLIENT S+D"),((S18*952.4)-((S18*952.4)*G18)),IF(AND(E18="CLIENT S",F18="LAIT"),((S18*952.4)-((S18*952.4)*G18)),IF(AND(F18="HUILE",E18="CLIENT S"),(VLOOKUP(H18,'BASE '!$I$112:$J$142,2,0)+(VLOOKUP(S18,'BASE '!#REF!,2,0)))-(G18*((VLOOKUP(S18,'BASE '!#REF!,2,0)+(VLOOKUP(H18,'BASE '!$I$112:$J$142,2,0))))))))))))))))</f>
        <v>0</v>
      </c>
      <c r="P18" s="52" t="b">
        <f t="shared" si="1"/>
        <v>0</v>
      </c>
      <c r="Q18" s="53" t="b">
        <f t="shared" si="2"/>
        <v>0</v>
      </c>
      <c r="R18" s="152" t="s">
        <v>175</v>
      </c>
      <c r="S18" s="184">
        <f t="shared" si="6"/>
        <v>0</v>
      </c>
      <c r="T18" s="124"/>
      <c r="U18" s="41" t="s">
        <v>175</v>
      </c>
      <c r="V18" s="70" t="e">
        <f>VLOOKUP(U18,'BASE '!$A$4:$H$144,2,0)</f>
        <v>#N/A</v>
      </c>
      <c r="W18" s="159"/>
      <c r="X18" s="159"/>
      <c r="Y18" s="160"/>
      <c r="Z18" s="158" t="e">
        <f>VLOOKUP(U18,'BASE '!$A$4:$H$144,3,0)</f>
        <v>#N/A</v>
      </c>
      <c r="AA18" s="94" t="e">
        <f t="shared" si="3"/>
        <v>#N/A</v>
      </c>
      <c r="AB18" s="95" t="e">
        <f>VLOOKUP(U18,'BASE '!$A$4:$H$144,6,0)*Y18/100</f>
        <v>#N/A</v>
      </c>
      <c r="AC18" s="95" t="e">
        <f>VLOOKUP(U18,'BASE '!$A$4:$H$144,7,0)*Y18/100</f>
        <v>#N/A</v>
      </c>
      <c r="AD18" s="95" t="e">
        <f>VLOOKUP(U18,'BASE '!$A$4:$H$144,8,0)*Y18/100</f>
        <v>#N/A</v>
      </c>
      <c r="AE18" s="96" t="e">
        <f t="shared" si="7"/>
        <v>#N/A</v>
      </c>
      <c r="AF18" s="435"/>
      <c r="AG18" s="1" t="s">
        <v>155</v>
      </c>
      <c r="AH18" s="36" t="e">
        <f>SUMIFS($H$6:$H$165,$D$6:$D$165,AF17,CHOIX,AG18)</f>
        <v>#NAME?</v>
      </c>
      <c r="AI18" s="36" t="e">
        <f>SUMIFS($I$6:$I$165,$D$6:$D$165,AF17,CHOIX,AG18)</f>
        <v>#NAME?</v>
      </c>
      <c r="AJ18" s="36" t="e">
        <f>SUMIFS($J$6:$J$165,$D$6:$D$165,AF17,CHOIX,AG18)</f>
        <v>#NAME?</v>
      </c>
      <c r="AK18" s="36" t="e">
        <f>SUMIFS($K$6:$K$165,$D$6:$D$165,AF17,CHOIX,AG18)</f>
        <v>#NAME?</v>
      </c>
      <c r="AL18" s="36" t="e">
        <f>SUMIFS($L$6:$L$165,$D$6:$D$165,AF17,CHOIX,AG18)</f>
        <v>#NAME?</v>
      </c>
      <c r="AM18" s="36" t="e">
        <f>SUMIFS($M$6:$M$165,$D$6:$D$165,AF17,CHOIX,AG18)</f>
        <v>#NAME?</v>
      </c>
      <c r="AN18" s="1" t="s">
        <v>155</v>
      </c>
      <c r="AO18" s="83"/>
      <c r="AP18" s="63"/>
      <c r="AQ18" s="63"/>
      <c r="AR18" s="63"/>
      <c r="AS18" s="79"/>
      <c r="AT18" s="79"/>
      <c r="AU18" s="55" t="e">
        <f>SUMIFS($O$6:$O$165,$D$6:$D$165,AF17,CHOIX,AG18)</f>
        <v>#NAME?</v>
      </c>
      <c r="AV18" s="80" t="e">
        <f>SUMIFS($Q$6:$Q$165,$D$6:$D$165,AF17,CHOIX,AG18)</f>
        <v>#NAME?</v>
      </c>
      <c r="AW18" s="12"/>
      <c r="AX18" s="12"/>
      <c r="AY18" s="12"/>
      <c r="AZ18" s="8"/>
      <c r="BA18" s="148"/>
      <c r="BB18" s="148"/>
      <c r="BC18" s="148"/>
      <c r="BD18" s="10"/>
      <c r="BE18" s="10"/>
      <c r="BF18" s="10"/>
      <c r="BG18" s="10"/>
      <c r="BH18" s="10"/>
      <c r="BI18" s="10"/>
      <c r="BJ18" s="10"/>
      <c r="BK18" s="10"/>
      <c r="BL18" s="10"/>
      <c r="BM18" s="147">
        <f t="shared" si="8"/>
        <v>0</v>
      </c>
      <c r="BN18" s="147">
        <f t="shared" si="9"/>
        <v>0</v>
      </c>
      <c r="BO18" s="149"/>
      <c r="BP18" s="166"/>
      <c r="BQ18" s="12"/>
      <c r="BR18" s="12"/>
      <c r="BS18" s="476"/>
      <c r="BT18" s="481"/>
      <c r="BU18" s="477"/>
      <c r="BV18" s="545"/>
      <c r="BW18" s="580"/>
      <c r="BX18" s="576"/>
      <c r="BY18" s="497"/>
      <c r="BZ18" s="497"/>
      <c r="CA18" s="543"/>
      <c r="CB18" s="477"/>
      <c r="CC18" s="544"/>
      <c r="CV18" s="64"/>
      <c r="CW18" s="148"/>
      <c r="CX18" s="109"/>
      <c r="CY18" s="132"/>
      <c r="CZ18" s="143"/>
      <c r="DA18" s="63"/>
      <c r="DB18" s="50"/>
      <c r="DC18" s="10"/>
      <c r="DD18" s="10"/>
      <c r="DE18" s="10"/>
      <c r="DF18" s="10"/>
      <c r="DG18" s="10"/>
      <c r="DH18" s="39"/>
      <c r="DI18" s="33">
        <f t="shared" si="4"/>
        <v>0</v>
      </c>
      <c r="DJ18" s="52" t="b">
        <f>IF(AND(CZ18="CLIENT S+L",DA18="HUILE"),(DN18*3333.33+(VLOOKUP(DC18,'BASE '!$I$112:$J$142,2,0)))-((DN18*3333.33)*DB18),IF(AND(CZ18="CLIENT S+L",DA18="LAIT"),((DN18*952.4)-(DN18*952.4)*DB18),IF(CZ18="CLIENT O","OFFERT",IF(AND(DA18="HUILE",CZ18="CLIENT L"),(((VLOOKUP(DC18,'BASE '!$I$112:$J$142,2,0))+(VLOOKUP(DN18,'BASE '!#REF!,2,0)))),IF(AND(DA18="LAIT",CZ18="CLIENT L"),(DN18*952.4),IF(AND(DA18="HUILE",CZ18="CLIENT D"),(DN18*3809.53+(VLOOKUP(DC18,'BASE '!$I$112:$J$142,2,0))),IF(AND(DA18="LAIT",CZ18="CLIENT D"),(DN18*952.4),IF(AND(DA18="HUILE",CZ18="CLIENT S+D"),((DN18*3809.53+(VLOOKUP(DC18,'BASE '!$I$112:$J$142,2,0)))-((DN18*3809.53)*DB18)),IF(AND(DA18="LAIT",CZ18="CLIENT S+D"),((DN18*952.4)-((DN18*952.4)*DB18)),IF(AND(CZ18="CLIENT S",DA18="LAIT"),((DN18*952.4)-((DN18*952.4)*DB18)),IF(AND(DA18="HUILE",CZ18="CLIENT S"),(VLOOKUP(DC18,'BASE '!$I$112:$J$142,2,0)+(VLOOKUP(DN18,'BASE '!#REF!,2,0)))-(DB18*((VLOOKUP(DN18,'BASE '!#REF!,2,0)+(VLOOKUP(DC18,'BASE '!$I$112:$J$142,2,0))))))))))))))))</f>
        <v>0</v>
      </c>
      <c r="DK18" s="52" t="b">
        <f t="shared" si="5"/>
        <v>0</v>
      </c>
      <c r="DL18" s="53" t="b">
        <f t="shared" si="12"/>
        <v>0</v>
      </c>
      <c r="DM18" s="149"/>
      <c r="DN18" s="116">
        <f t="shared" si="13"/>
        <v>0</v>
      </c>
      <c r="DO18" s="124"/>
      <c r="DP18" s="42"/>
      <c r="DQ18" s="70"/>
      <c r="DR18" s="159"/>
      <c r="DS18" s="159"/>
      <c r="DT18" s="159"/>
      <c r="DU18" s="160"/>
      <c r="DV18" s="95"/>
      <c r="DW18" s="95"/>
      <c r="DX18" s="95"/>
      <c r="DY18" s="96"/>
    </row>
    <row r="19" spans="2:129" ht="15" customHeight="1" x14ac:dyDescent="0.3">
      <c r="B19" s="64"/>
      <c r="C19" s="148"/>
      <c r="D19" s="109"/>
      <c r="E19" s="63"/>
      <c r="F19" s="127"/>
      <c r="G19" s="50"/>
      <c r="H19" s="10"/>
      <c r="I19" s="10"/>
      <c r="J19" s="10"/>
      <c r="K19" s="10"/>
      <c r="L19" s="10"/>
      <c r="M19" s="39"/>
      <c r="N19" s="33">
        <f t="shared" si="0"/>
        <v>0</v>
      </c>
      <c r="O19" s="52" t="b">
        <f>IF(AND(E19="CLIENT S+L",F19="HUILE"),(S19*3333.33+(VLOOKUP(H19,'BASE '!$I$112:$J$142,2,0)))-((S19*3333.33)*G19),IF(AND(E19="CLIENT S+L",F19="LAIT"),((S19*952.4)-(S19*952.4)*G19),IF(E19="CLIENT O","OFFERT",IF(AND(F19="HUILE",E19="CLIENT L"),(((VLOOKUP(H19,'BASE '!$I$112:$J$142,2,0))+(VLOOKUP(S19,'BASE '!#REF!,2,0)))),IF(AND(F19="LAIT",E19="CLIENT L"),(S19*952.4),IF(AND(F19="HUILE",E19="CLIENT D"),(S19*3809.53+(VLOOKUP(H19,'BASE '!$I$112:$J$142,2,0))),IF(AND(F19="LAIT",E19="CLIENT D"),(S19*952.4),IF(AND(F19="HUILE",E19="CLIENT S+D"),((S19*3809.53+(VLOOKUP(H19,'BASE '!$I$112:$J$142,2,0)))-((S19*3809.53)*G19)),IF(AND(F19="LAIT",E19="CLIENT S+D"),((S19*952.4)-((S19*952.4)*G19)),IF(AND(E19="CLIENT S",F19="LAIT"),((S19*952.4)-((S19*952.4)*G19)),IF(AND(F19="HUILE",E19="CLIENT S"),(VLOOKUP(H19,'BASE '!$I$112:$J$142,2,0)+(VLOOKUP(S19,'BASE '!#REF!,2,0)))-(G19*((VLOOKUP(S19,'BASE '!#REF!,2,0)+(VLOOKUP(H19,'BASE '!$I$112:$J$142,2,0))))))))))))))))</f>
        <v>0</v>
      </c>
      <c r="P19" s="52" t="b">
        <f t="shared" si="1"/>
        <v>0</v>
      </c>
      <c r="Q19" s="53" t="b">
        <f t="shared" si="2"/>
        <v>0</v>
      </c>
      <c r="R19" s="152" t="s">
        <v>175</v>
      </c>
      <c r="S19" s="184">
        <f t="shared" si="6"/>
        <v>0</v>
      </c>
      <c r="T19" s="124"/>
      <c r="U19" s="41" t="s">
        <v>175</v>
      </c>
      <c r="V19" s="70" t="e">
        <f>VLOOKUP(U19,'BASE '!$A$4:$H$144,2,0)</f>
        <v>#N/A</v>
      </c>
      <c r="W19" s="159"/>
      <c r="X19" s="159"/>
      <c r="Y19" s="160"/>
      <c r="Z19" s="158" t="e">
        <f>VLOOKUP(U19,'BASE '!$A$4:$H$144,3,0)</f>
        <v>#N/A</v>
      </c>
      <c r="AA19" s="94" t="e">
        <f t="shared" si="3"/>
        <v>#N/A</v>
      </c>
      <c r="AB19" s="95" t="e">
        <f>VLOOKUP(U19,'BASE '!$A$4:$H$144,6,0)*Y19/100</f>
        <v>#N/A</v>
      </c>
      <c r="AC19" s="95" t="e">
        <f>VLOOKUP(U19,'BASE '!$A$4:$H$144,7,0)*Y19/100</f>
        <v>#N/A</v>
      </c>
      <c r="AD19" s="95" t="e">
        <f>VLOOKUP(U19,'BASE '!$A$4:$H$144,8,0)*Y19/100</f>
        <v>#N/A</v>
      </c>
      <c r="AE19" s="96" t="e">
        <f t="shared" si="7"/>
        <v>#N/A</v>
      </c>
      <c r="AF19" s="435" t="s">
        <v>20</v>
      </c>
      <c r="AG19" s="91" t="s">
        <v>157</v>
      </c>
      <c r="AH19" s="36" t="e">
        <f>SUMIFS($H$6:$H$165,$D$6:$D$165,AF19,CHOIX,AG19)</f>
        <v>#NAME?</v>
      </c>
      <c r="AI19" s="36" t="e">
        <f>SUMIFS($I$6:$I$165,$D$6:$D$165,AF19,CHOIX,AG19)</f>
        <v>#NAME?</v>
      </c>
      <c r="AJ19" s="36" t="e">
        <f>SUMIFS($J$6:$J$165,$D$6:$D$165,AF19,CHOIX,AG19)</f>
        <v>#NAME?</v>
      </c>
      <c r="AK19" s="36" t="e">
        <f>SUMIFS($K$6:$K$165,$D$6:$D$165,AF19,CHOIX,AG19)</f>
        <v>#NAME?</v>
      </c>
      <c r="AL19" s="36" t="e">
        <f>SUMIFS($L$6:$L$165,$D$6:$D$165,AF19,CHOIX,AG19)</f>
        <v>#NAME?</v>
      </c>
      <c r="AM19" s="36" t="e">
        <f>SUMIFS($M$6:$M$165,$D$6:$D$165,AF19,CHOIX,AG19)</f>
        <v>#NAME?</v>
      </c>
      <c r="AN19" s="91" t="s">
        <v>157</v>
      </c>
      <c r="AO19" s="83"/>
      <c r="AP19" s="63"/>
      <c r="AQ19" s="63"/>
      <c r="AR19" s="63"/>
      <c r="AS19" s="79"/>
      <c r="AT19" s="79"/>
      <c r="AU19" s="55" t="e">
        <f>SUMIFS($O$6:$O$165,$D$6:$D$165,AF19,CHOIX,AG19)</f>
        <v>#NAME?</v>
      </c>
      <c r="AV19" s="80" t="e">
        <f>SUMIFS($Q$6:$Q$165,$D$6:$D$165,AF19,CHOIX,AG19)</f>
        <v>#NAME?</v>
      </c>
      <c r="AW19" s="12"/>
      <c r="AX19" s="12"/>
      <c r="AY19" s="12"/>
      <c r="AZ19" s="8"/>
      <c r="BA19" s="148"/>
      <c r="BB19" s="148"/>
      <c r="BC19" s="148"/>
      <c r="BD19" s="10"/>
      <c r="BE19" s="10"/>
      <c r="BF19" s="10"/>
      <c r="BG19" s="10"/>
      <c r="BH19" s="10"/>
      <c r="BI19" s="10"/>
      <c r="BJ19" s="10"/>
      <c r="BK19" s="10"/>
      <c r="BL19" s="10"/>
      <c r="BM19" s="147">
        <f t="shared" si="8"/>
        <v>0</v>
      </c>
      <c r="BN19" s="147">
        <f t="shared" si="9"/>
        <v>0</v>
      </c>
      <c r="BO19" s="149"/>
      <c r="BP19" s="166"/>
      <c r="BQ19" s="12"/>
      <c r="BR19" s="12"/>
      <c r="BS19" s="476" t="s">
        <v>15</v>
      </c>
      <c r="BT19" s="481"/>
      <c r="BU19" s="475">
        <v>4.016</v>
      </c>
      <c r="BV19" s="545">
        <f t="shared" ref="BV19" si="24">BU19*BT19</f>
        <v>0</v>
      </c>
      <c r="BW19" s="580"/>
      <c r="BX19" s="576">
        <v>50</v>
      </c>
      <c r="BY19" s="497">
        <f>BK72</f>
        <v>0</v>
      </c>
      <c r="BZ19" s="496" t="e">
        <f>J168</f>
        <v>#NAME?</v>
      </c>
      <c r="CA19" s="542"/>
      <c r="CB19" s="475">
        <v>500</v>
      </c>
      <c r="CC19" s="544">
        <f t="shared" ref="CC19" si="25">BY19*CB19</f>
        <v>0</v>
      </c>
      <c r="CV19" s="64"/>
      <c r="CW19" s="148"/>
      <c r="CX19" s="109"/>
      <c r="CY19" s="132"/>
      <c r="CZ19" s="143"/>
      <c r="DA19" s="63"/>
      <c r="DB19" s="50"/>
      <c r="DC19" s="10"/>
      <c r="DD19" s="10"/>
      <c r="DE19" s="10"/>
      <c r="DF19" s="10"/>
      <c r="DG19" s="10"/>
      <c r="DH19" s="39"/>
      <c r="DI19" s="33">
        <f t="shared" si="4"/>
        <v>0</v>
      </c>
      <c r="DJ19" s="52" t="b">
        <f>IF(AND(CZ19="CLIENT S+L",DA19="HUILE"),(DN19*3333.33+(VLOOKUP(DC19,'BASE '!$I$112:$J$142,2,0)))-((DN19*3333.33)*DB19),IF(AND(CZ19="CLIENT S+L",DA19="LAIT"),((DN19*952.4)-(DN19*952.4)*DB19),IF(CZ19="CLIENT O","OFFERT",IF(AND(DA19="HUILE",CZ19="CLIENT L"),(((VLOOKUP(DC19,'BASE '!$I$112:$J$142,2,0))+(VLOOKUP(DN19,'BASE '!#REF!,2,0)))),IF(AND(DA19="LAIT",CZ19="CLIENT L"),(DN19*952.4),IF(AND(DA19="HUILE",CZ19="CLIENT D"),(DN19*3809.53+(VLOOKUP(DC19,'BASE '!$I$112:$J$142,2,0))),IF(AND(DA19="LAIT",CZ19="CLIENT D"),(DN19*952.4),IF(AND(DA19="HUILE",CZ19="CLIENT S+D"),((DN19*3809.53+(VLOOKUP(DC19,'BASE '!$I$112:$J$142,2,0)))-((DN19*3809.53)*DB19)),IF(AND(DA19="LAIT",CZ19="CLIENT S+D"),((DN19*952.4)-((DN19*952.4)*DB19)),IF(AND(CZ19="CLIENT S",DA19="LAIT"),((DN19*952.4)-((DN19*952.4)*DB19)),IF(AND(DA19="HUILE",CZ19="CLIENT S"),(VLOOKUP(DC19,'BASE '!$I$112:$J$142,2,0)+(VLOOKUP(DN19,'BASE '!#REF!,2,0)))-(DB19*((VLOOKUP(DN19,'BASE '!#REF!,2,0)+(VLOOKUP(DC19,'BASE '!$I$112:$J$142,2,0))))))))))))))))</f>
        <v>0</v>
      </c>
      <c r="DK19" s="52" t="b">
        <f t="shared" si="5"/>
        <v>0</v>
      </c>
      <c r="DL19" s="53" t="b">
        <f t="shared" si="12"/>
        <v>0</v>
      </c>
      <c r="DM19" s="149"/>
      <c r="DN19" s="116">
        <f t="shared" si="13"/>
        <v>0</v>
      </c>
      <c r="DO19" s="124"/>
      <c r="DP19" s="42"/>
      <c r="DQ19" s="70"/>
      <c r="DR19" s="159"/>
      <c r="DS19" s="159"/>
      <c r="DT19" s="159"/>
      <c r="DU19" s="160"/>
      <c r="DV19" s="95"/>
      <c r="DW19" s="95"/>
      <c r="DX19" s="95"/>
      <c r="DY19" s="96"/>
    </row>
    <row r="20" spans="2:129" ht="15" customHeight="1" x14ac:dyDescent="0.3">
      <c r="B20" s="64"/>
      <c r="C20" s="148"/>
      <c r="D20" s="109"/>
      <c r="E20" s="63"/>
      <c r="F20" s="127"/>
      <c r="G20" s="50"/>
      <c r="H20" s="10"/>
      <c r="I20" s="10"/>
      <c r="J20" s="10"/>
      <c r="K20" s="10"/>
      <c r="L20" s="10"/>
      <c r="M20" s="39"/>
      <c r="N20" s="33">
        <f t="shared" si="0"/>
        <v>0</v>
      </c>
      <c r="O20" s="52" t="b">
        <f>IF(AND(E20="CLIENT S+L",F20="HUILE"),(S20*3333.33+(VLOOKUP(H20,'BASE '!$I$112:$J$142,2,0)))-((S20*3333.33)*G20),IF(AND(E20="CLIENT S+L",F20="LAIT"),((S20*952.4)-(S20*952.4)*G20),IF(E20="CLIENT O","OFFERT",IF(AND(F20="HUILE",E20="CLIENT L"),(((VLOOKUP(H20,'BASE '!$I$112:$J$142,2,0))+(VLOOKUP(S20,'BASE '!#REF!,2,0)))),IF(AND(F20="LAIT",E20="CLIENT L"),(S20*952.4),IF(AND(F20="HUILE",E20="CLIENT D"),(S20*3809.53+(VLOOKUP(H20,'BASE '!$I$112:$J$142,2,0))),IF(AND(F20="LAIT",E20="CLIENT D"),(S20*952.4),IF(AND(F20="HUILE",E20="CLIENT S+D"),((S20*3809.53+(VLOOKUP(H20,'BASE '!$I$112:$J$142,2,0)))-((S20*3809.53)*G20)),IF(AND(F20="LAIT",E20="CLIENT S+D"),((S20*952.4)-((S20*952.4)*G20)),IF(AND(E20="CLIENT S",F20="LAIT"),((S20*952.4)-((S20*952.4)*G20)),IF(AND(F20="HUILE",E20="CLIENT S"),(VLOOKUP(H20,'BASE '!$I$112:$J$142,2,0)+(VLOOKUP(S20,'BASE '!#REF!,2,0)))-(G20*((VLOOKUP(S20,'BASE '!#REF!,2,0)+(VLOOKUP(H20,'BASE '!$I$112:$J$142,2,0))))))))))))))))</f>
        <v>0</v>
      </c>
      <c r="P20" s="52" t="b">
        <f t="shared" si="1"/>
        <v>0</v>
      </c>
      <c r="Q20" s="53" t="b">
        <f t="shared" si="2"/>
        <v>0</v>
      </c>
      <c r="R20" s="152" t="s">
        <v>175</v>
      </c>
      <c r="S20" s="184">
        <f t="shared" si="6"/>
        <v>0</v>
      </c>
      <c r="T20" s="124"/>
      <c r="U20" s="41" t="s">
        <v>175</v>
      </c>
      <c r="V20" s="70" t="e">
        <f>VLOOKUP(U20,'BASE '!$A$4:$H$144,2,0)</f>
        <v>#N/A</v>
      </c>
      <c r="W20" s="159"/>
      <c r="X20" s="159"/>
      <c r="Y20" s="160"/>
      <c r="Z20" s="158" t="e">
        <f>VLOOKUP(U20,'BASE '!$A$4:$H$144,3,0)</f>
        <v>#N/A</v>
      </c>
      <c r="AA20" s="94" t="e">
        <f t="shared" si="3"/>
        <v>#N/A</v>
      </c>
      <c r="AB20" s="95" t="e">
        <f>VLOOKUP(U20,'BASE '!$A$4:$H$144,6,0)*Y20/100</f>
        <v>#N/A</v>
      </c>
      <c r="AC20" s="95" t="e">
        <f>VLOOKUP(U20,'BASE '!$A$4:$H$144,7,0)*Y20/100</f>
        <v>#N/A</v>
      </c>
      <c r="AD20" s="95" t="e">
        <f>VLOOKUP(U20,'BASE '!$A$4:$H$144,8,0)*Y20/100</f>
        <v>#N/A</v>
      </c>
      <c r="AE20" s="96" t="e">
        <f t="shared" si="7"/>
        <v>#N/A</v>
      </c>
      <c r="AF20" s="435"/>
      <c r="AG20" s="1" t="s">
        <v>155</v>
      </c>
      <c r="AH20" s="36" t="e">
        <f>SUMIFS($H$6:$H$165,$D$6:$D$165,AF19,CHOIX,AG20)</f>
        <v>#NAME?</v>
      </c>
      <c r="AI20" s="36" t="e">
        <f>SUMIFS($I$6:$I$165,$D$6:$D$165,AF19,CHOIX,AG20)</f>
        <v>#NAME?</v>
      </c>
      <c r="AJ20" s="36" t="e">
        <f>SUMIFS($J$6:$J$165,$D$6:$D$165,AF19,CHOIX,AG20)</f>
        <v>#NAME?</v>
      </c>
      <c r="AK20" s="36" t="e">
        <f>SUMIFS($K$6:$K$165,$D$6:$D$165,AF19,CHOIX,AG20)</f>
        <v>#NAME?</v>
      </c>
      <c r="AL20" s="36" t="e">
        <f>SUMIFS($L$6:$L$165,$D$6:$D$165,AF19,CHOIX,AG20)</f>
        <v>#NAME?</v>
      </c>
      <c r="AM20" s="36" t="e">
        <f>SUMIFS($M$6:$M$165,$D$6:$D$165,AF19,CHOIX,AG20)</f>
        <v>#NAME?</v>
      </c>
      <c r="AN20" s="1" t="s">
        <v>155</v>
      </c>
      <c r="AO20" s="83"/>
      <c r="AP20" s="63"/>
      <c r="AQ20" s="63"/>
      <c r="AR20" s="63"/>
      <c r="AS20" s="79"/>
      <c r="AT20" s="79"/>
      <c r="AU20" s="55" t="e">
        <f>SUMIFS($O$6:$O$165,$D$6:$D$165,AF19,CHOIX,AG20)</f>
        <v>#NAME?</v>
      </c>
      <c r="AV20" s="80" t="e">
        <f>SUMIFS($Q$6:$Q$165,$D$6:$D$165,AF19,CHOIX,AG20)</f>
        <v>#NAME?</v>
      </c>
      <c r="AW20" s="12"/>
      <c r="AX20" s="12"/>
      <c r="AY20" s="12"/>
      <c r="AZ20" s="8"/>
      <c r="BA20" s="148"/>
      <c r="BB20" s="148"/>
      <c r="BC20" s="148"/>
      <c r="BD20" s="10"/>
      <c r="BE20" s="10"/>
      <c r="BF20" s="10"/>
      <c r="BG20" s="10"/>
      <c r="BH20" s="10"/>
      <c r="BI20" s="10"/>
      <c r="BJ20" s="10"/>
      <c r="BK20" s="10"/>
      <c r="BL20" s="10"/>
      <c r="BM20" s="147">
        <f t="shared" si="8"/>
        <v>0</v>
      </c>
      <c r="BN20" s="147">
        <f t="shared" si="9"/>
        <v>0</v>
      </c>
      <c r="BO20" s="149"/>
      <c r="BP20" s="166"/>
      <c r="BQ20" s="12"/>
      <c r="BR20" s="12"/>
      <c r="BS20" s="476"/>
      <c r="BT20" s="481"/>
      <c r="BU20" s="475"/>
      <c r="BV20" s="545"/>
      <c r="BW20" s="580"/>
      <c r="BX20" s="576"/>
      <c r="BY20" s="497"/>
      <c r="BZ20" s="497"/>
      <c r="CA20" s="543"/>
      <c r="CB20" s="475"/>
      <c r="CC20" s="544"/>
      <c r="CV20" s="64"/>
      <c r="CW20" s="148"/>
      <c r="CX20" s="109"/>
      <c r="CY20" s="132"/>
      <c r="CZ20" s="143"/>
      <c r="DA20" s="63"/>
      <c r="DB20" s="50"/>
      <c r="DC20" s="10"/>
      <c r="DD20" s="10"/>
      <c r="DE20" s="10"/>
      <c r="DF20" s="10"/>
      <c r="DG20" s="10"/>
      <c r="DH20" s="39"/>
      <c r="DI20" s="33">
        <f t="shared" si="4"/>
        <v>0</v>
      </c>
      <c r="DJ20" s="52" t="b">
        <f>IF(AND(CZ20="CLIENT S+L",DA20="HUILE"),(DN20*3333.33+(VLOOKUP(DC20,'BASE '!$I$112:$J$142,2,0)))-((DN20*3333.33)*DB20),IF(AND(CZ20="CLIENT S+L",DA20="LAIT"),((DN20*952.4)-(DN20*952.4)*DB20),IF(CZ20="CLIENT O","OFFERT",IF(AND(DA20="HUILE",CZ20="CLIENT L"),(((VLOOKUP(DC20,'BASE '!$I$112:$J$142,2,0))+(VLOOKUP(DN20,'BASE '!#REF!,2,0)))),IF(AND(DA20="LAIT",CZ20="CLIENT L"),(DN20*952.4),IF(AND(DA20="HUILE",CZ20="CLIENT D"),(DN20*3809.53+(VLOOKUP(DC20,'BASE '!$I$112:$J$142,2,0))),IF(AND(DA20="LAIT",CZ20="CLIENT D"),(DN20*952.4),IF(AND(DA20="HUILE",CZ20="CLIENT S+D"),((DN20*3809.53+(VLOOKUP(DC20,'BASE '!$I$112:$J$142,2,0)))-((DN20*3809.53)*DB20)),IF(AND(DA20="LAIT",CZ20="CLIENT S+D"),((DN20*952.4)-((DN20*952.4)*DB20)),IF(AND(CZ20="CLIENT S",DA20="LAIT"),((DN20*952.4)-((DN20*952.4)*DB20)),IF(AND(DA20="HUILE",CZ20="CLIENT S"),(VLOOKUP(DC20,'BASE '!$I$112:$J$142,2,0)+(VLOOKUP(DN20,'BASE '!#REF!,2,0)))-(DB20*((VLOOKUP(DN20,'BASE '!#REF!,2,0)+(VLOOKUP(DC20,'BASE '!$I$112:$J$142,2,0))))))))))))))))</f>
        <v>0</v>
      </c>
      <c r="DK20" s="52" t="b">
        <f t="shared" si="5"/>
        <v>0</v>
      </c>
      <c r="DL20" s="53" t="b">
        <f t="shared" si="12"/>
        <v>0</v>
      </c>
      <c r="DM20" s="149"/>
      <c r="DN20" s="116">
        <f t="shared" si="13"/>
        <v>0</v>
      </c>
      <c r="DO20" s="124"/>
      <c r="DP20" s="42"/>
      <c r="DQ20" s="70"/>
      <c r="DR20" s="159"/>
      <c r="DS20" s="159"/>
      <c r="DT20" s="159"/>
      <c r="DU20" s="160"/>
      <c r="DV20" s="95"/>
      <c r="DW20" s="95"/>
      <c r="DX20" s="95"/>
      <c r="DY20" s="96"/>
    </row>
    <row r="21" spans="2:129" ht="15" customHeight="1" x14ac:dyDescent="0.3">
      <c r="B21" s="64"/>
      <c r="C21" s="148"/>
      <c r="D21" s="109"/>
      <c r="E21" s="63"/>
      <c r="F21" s="127"/>
      <c r="G21" s="50"/>
      <c r="H21" s="10"/>
      <c r="I21" s="10"/>
      <c r="J21" s="10"/>
      <c r="K21" s="10"/>
      <c r="L21" s="10"/>
      <c r="M21" s="39"/>
      <c r="N21" s="33">
        <f t="shared" si="0"/>
        <v>0</v>
      </c>
      <c r="O21" s="52" t="b">
        <f>IF(AND(E21="CLIENT S+L",F21="HUILE"),(S21*3333.33+(VLOOKUP(H21,'BASE '!$I$112:$J$142,2,0)))-((S21*3333.33)*G21),IF(AND(E21="CLIENT S+L",F21="LAIT"),((S21*952.4)-(S21*952.4)*G21),IF(E21="CLIENT O","OFFERT",IF(AND(F21="HUILE",E21="CLIENT L"),(((VLOOKUP(H21,'BASE '!$I$112:$J$142,2,0))+(VLOOKUP(S21,'BASE '!#REF!,2,0)))),IF(AND(F21="LAIT",E21="CLIENT L"),(S21*952.4),IF(AND(F21="HUILE",E21="CLIENT D"),(S21*3809.53+(VLOOKUP(H21,'BASE '!$I$112:$J$142,2,0))),IF(AND(F21="LAIT",E21="CLIENT D"),(S21*952.4),IF(AND(F21="HUILE",E21="CLIENT S+D"),((S21*3809.53+(VLOOKUP(H21,'BASE '!$I$112:$J$142,2,0)))-((S21*3809.53)*G21)),IF(AND(F21="LAIT",E21="CLIENT S+D"),((S21*952.4)-((S21*952.4)*G21)),IF(AND(E21="CLIENT S",F21="LAIT"),((S21*952.4)-((S21*952.4)*G21)),IF(AND(F21="HUILE",E21="CLIENT S"),(VLOOKUP(H21,'BASE '!$I$112:$J$142,2,0)+(VLOOKUP(S21,'BASE '!#REF!,2,0)))-(G21*((VLOOKUP(S21,'BASE '!#REF!,2,0)+(VLOOKUP(H21,'BASE '!$I$112:$J$142,2,0))))))))))))))))</f>
        <v>0</v>
      </c>
      <c r="P21" s="52" t="b">
        <f t="shared" si="1"/>
        <v>0</v>
      </c>
      <c r="Q21" s="53" t="b">
        <f t="shared" si="2"/>
        <v>0</v>
      </c>
      <c r="R21" s="152" t="s">
        <v>175</v>
      </c>
      <c r="S21" s="184">
        <f t="shared" si="6"/>
        <v>0</v>
      </c>
      <c r="T21" s="124"/>
      <c r="U21" s="41" t="s">
        <v>175</v>
      </c>
      <c r="V21" s="70" t="e">
        <f>VLOOKUP(U21,'BASE '!$A$4:$H$144,2,0)</f>
        <v>#N/A</v>
      </c>
      <c r="W21" s="159"/>
      <c r="X21" s="159"/>
      <c r="Y21" s="160"/>
      <c r="Z21" s="158" t="e">
        <f>VLOOKUP(U21,'BASE '!$A$4:$H$144,3,0)</f>
        <v>#N/A</v>
      </c>
      <c r="AA21" s="94" t="e">
        <f t="shared" si="3"/>
        <v>#N/A</v>
      </c>
      <c r="AB21" s="95" t="e">
        <f>VLOOKUP(U21,'BASE '!$A$4:$H$144,6,0)*Y21/100</f>
        <v>#N/A</v>
      </c>
      <c r="AC21" s="95" t="e">
        <f>VLOOKUP(U21,'BASE '!$A$4:$H$144,7,0)*Y21/100</f>
        <v>#N/A</v>
      </c>
      <c r="AD21" s="95" t="e">
        <f>VLOOKUP(U21,'BASE '!$A$4:$H$144,8,0)*Y21/100</f>
        <v>#N/A</v>
      </c>
      <c r="AE21" s="96" t="e">
        <f t="shared" si="7"/>
        <v>#N/A</v>
      </c>
      <c r="AF21" s="435" t="s">
        <v>132</v>
      </c>
      <c r="AG21" s="91" t="s">
        <v>157</v>
      </c>
      <c r="AH21" s="36" t="e">
        <f>SUMIFS($H$6:$H$165,$D$6:$D$165,AF21,CHOIX,AG21)</f>
        <v>#NAME?</v>
      </c>
      <c r="AI21" s="36" t="e">
        <f>SUMIFS($I$6:$I$165,$D$6:$D$165,AF21,CHOIX,AG21)</f>
        <v>#NAME?</v>
      </c>
      <c r="AJ21" s="36" t="e">
        <f>SUMIFS($J$6:$J$165,$D$6:$D$165,AF21,CHOIX,AG21)</f>
        <v>#NAME?</v>
      </c>
      <c r="AK21" s="36" t="e">
        <f>SUMIFS($K$6:$K$165,$D$6:$D$165,AF21,CHOIX,AG21)</f>
        <v>#NAME?</v>
      </c>
      <c r="AL21" s="36" t="e">
        <f>SUMIFS($L$6:$L$165,$D$6:$D$165,AF21,CHOIX,AG21)</f>
        <v>#NAME?</v>
      </c>
      <c r="AM21" s="36" t="e">
        <f>SUMIFS($M$6:$M$165,$D$6:$D$165,AF21,CHOIX,AG21)</f>
        <v>#NAME?</v>
      </c>
      <c r="AN21" s="91" t="s">
        <v>157</v>
      </c>
      <c r="AO21" s="83"/>
      <c r="AP21" s="63"/>
      <c r="AQ21" s="63"/>
      <c r="AR21" s="63"/>
      <c r="AS21" s="79"/>
      <c r="AT21" s="79"/>
      <c r="AU21" s="55" t="e">
        <f>SUMIFS($O$6:$O$165,$D$6:$D$165,AF21,CHOIX,AG21)</f>
        <v>#NAME?</v>
      </c>
      <c r="AV21" s="80" t="e">
        <f>SUMIFS($Q$6:$Q$165,$D$6:$D$165,AF21,CHOIX,AG21)</f>
        <v>#NAME?</v>
      </c>
      <c r="AW21" s="12"/>
      <c r="AX21" s="12"/>
      <c r="AY21" s="12"/>
      <c r="AZ21" s="8"/>
      <c r="BA21" s="148"/>
      <c r="BB21" s="148"/>
      <c r="BC21" s="148"/>
      <c r="BD21" s="10"/>
      <c r="BE21" s="10"/>
      <c r="BF21" s="10"/>
      <c r="BG21" s="10"/>
      <c r="BH21" s="10"/>
      <c r="BI21" s="10"/>
      <c r="BJ21" s="10"/>
      <c r="BK21" s="10"/>
      <c r="BL21" s="10"/>
      <c r="BM21" s="147">
        <f t="shared" si="8"/>
        <v>0</v>
      </c>
      <c r="BN21" s="147">
        <f t="shared" si="9"/>
        <v>0</v>
      </c>
      <c r="BO21" s="149"/>
      <c r="BP21" s="166"/>
      <c r="BQ21" s="12"/>
      <c r="BR21" s="12"/>
      <c r="BS21" s="476" t="s">
        <v>16</v>
      </c>
      <c r="BT21" s="481"/>
      <c r="BU21" s="475">
        <v>215</v>
      </c>
      <c r="BV21" s="545">
        <f t="shared" ref="BV21" si="26">BU21*BT21</f>
        <v>0</v>
      </c>
      <c r="BW21" s="580"/>
      <c r="BX21" s="576">
        <v>75</v>
      </c>
      <c r="BY21" s="497">
        <f>BL73</f>
        <v>0</v>
      </c>
      <c r="BZ21" s="588" t="e">
        <f>K168</f>
        <v>#NAME?</v>
      </c>
      <c r="CA21" s="542"/>
      <c r="CB21" s="475">
        <v>1000</v>
      </c>
      <c r="CC21" s="544">
        <f t="shared" ref="CC21" si="27">BY21*CB21</f>
        <v>0</v>
      </c>
      <c r="CV21" s="64"/>
      <c r="CW21" s="148"/>
      <c r="CX21" s="109"/>
      <c r="CY21" s="132"/>
      <c r="CZ21" s="143"/>
      <c r="DA21" s="63"/>
      <c r="DB21" s="50"/>
      <c r="DC21" s="10"/>
      <c r="DD21" s="10"/>
      <c r="DE21" s="10"/>
      <c r="DF21" s="10"/>
      <c r="DG21" s="10"/>
      <c r="DH21" s="39"/>
      <c r="DI21" s="33">
        <f t="shared" si="4"/>
        <v>0</v>
      </c>
      <c r="DJ21" s="52" t="b">
        <f>IF(AND(CZ21="CLIENT S+L",DA21="HUILE"),(DN21*3333.33+(VLOOKUP(DC21,'BASE '!$I$112:$J$142,2,0)))-((DN21*3333.33)*DB21),IF(AND(CZ21="CLIENT S+L",DA21="LAIT"),((DN21*952.4)-(DN21*952.4)*DB21),IF(CZ21="CLIENT O","OFFERT",IF(AND(DA21="HUILE",CZ21="CLIENT L"),(((VLOOKUP(DC21,'BASE '!$I$112:$J$142,2,0))+(VLOOKUP(DN21,'BASE '!#REF!,2,0)))),IF(AND(DA21="LAIT",CZ21="CLIENT L"),(DN21*952.4),IF(AND(DA21="HUILE",CZ21="CLIENT D"),(DN21*3809.53+(VLOOKUP(DC21,'BASE '!$I$112:$J$142,2,0))),IF(AND(DA21="LAIT",CZ21="CLIENT D"),(DN21*952.4),IF(AND(DA21="HUILE",CZ21="CLIENT S+D"),((DN21*3809.53+(VLOOKUP(DC21,'BASE '!$I$112:$J$142,2,0)))-((DN21*3809.53)*DB21)),IF(AND(DA21="LAIT",CZ21="CLIENT S+D"),((DN21*952.4)-((DN21*952.4)*DB21)),IF(AND(CZ21="CLIENT S",DA21="LAIT"),((DN21*952.4)-((DN21*952.4)*DB21)),IF(AND(DA21="HUILE",CZ21="CLIENT S"),(VLOOKUP(DC21,'BASE '!$I$112:$J$142,2,0)+(VLOOKUP(DN21,'BASE '!#REF!,2,0)))-(DB21*((VLOOKUP(DN21,'BASE '!#REF!,2,0)+(VLOOKUP(DC21,'BASE '!$I$112:$J$142,2,0))))))))))))))))</f>
        <v>0</v>
      </c>
      <c r="DK21" s="52" t="b">
        <f t="shared" si="5"/>
        <v>0</v>
      </c>
      <c r="DL21" s="53" t="b">
        <f t="shared" si="12"/>
        <v>0</v>
      </c>
      <c r="DM21" s="149"/>
      <c r="DN21" s="116">
        <f t="shared" si="13"/>
        <v>0</v>
      </c>
      <c r="DO21" s="124"/>
      <c r="DP21" s="42"/>
      <c r="DQ21" s="70"/>
      <c r="DR21" s="159"/>
      <c r="DS21" s="159"/>
      <c r="DT21" s="159"/>
      <c r="DU21" s="160"/>
      <c r="DV21" s="95"/>
      <c r="DW21" s="95"/>
      <c r="DX21" s="95"/>
      <c r="DY21" s="96"/>
    </row>
    <row r="22" spans="2:129" ht="15" customHeight="1" thickBot="1" x14ac:dyDescent="0.35">
      <c r="B22" s="64"/>
      <c r="C22" s="148"/>
      <c r="D22" s="109"/>
      <c r="E22" s="63"/>
      <c r="F22" s="127"/>
      <c r="G22" s="50"/>
      <c r="H22" s="10"/>
      <c r="I22" s="10"/>
      <c r="J22" s="10"/>
      <c r="K22" s="10"/>
      <c r="L22" s="10"/>
      <c r="M22" s="39"/>
      <c r="N22" s="33">
        <f t="shared" si="0"/>
        <v>0</v>
      </c>
      <c r="O22" s="52" t="b">
        <f>IF(AND(E22="CLIENT S+L",F22="HUILE"),(S22*3333.33+(VLOOKUP(H22,'BASE '!$I$112:$J$142,2,0)))-((S22*3333.33)*G22),IF(AND(E22="CLIENT S+L",F22="LAIT"),((S22*952.4)-(S22*952.4)*G22),IF(E22="CLIENT O","OFFERT",IF(AND(F22="HUILE",E22="CLIENT L"),(((VLOOKUP(H22,'BASE '!$I$112:$J$142,2,0))+(VLOOKUP(S22,'BASE '!#REF!,2,0)))),IF(AND(F22="LAIT",E22="CLIENT L"),(S22*952.4),IF(AND(F22="HUILE",E22="CLIENT D"),(S22*3809.53+(VLOOKUP(H22,'BASE '!$I$112:$J$142,2,0))),IF(AND(F22="LAIT",E22="CLIENT D"),(S22*952.4),IF(AND(F22="HUILE",E22="CLIENT S+D"),((S22*3809.53+(VLOOKUP(H22,'BASE '!$I$112:$J$142,2,0)))-((S22*3809.53)*G22)),IF(AND(F22="LAIT",E22="CLIENT S+D"),((S22*952.4)-((S22*952.4)*G22)),IF(AND(E22="CLIENT S",F22="LAIT"),((S22*952.4)-((S22*952.4)*G22)),IF(AND(F22="HUILE",E22="CLIENT S"),(VLOOKUP(H22,'BASE '!$I$112:$J$142,2,0)+(VLOOKUP(S22,'BASE '!#REF!,2,0)))-(G22*((VLOOKUP(S22,'BASE '!#REF!,2,0)+(VLOOKUP(H22,'BASE '!$I$112:$J$142,2,0))))))))))))))))</f>
        <v>0</v>
      </c>
      <c r="P22" s="52" t="b">
        <f t="shared" si="1"/>
        <v>0</v>
      </c>
      <c r="Q22" s="53" t="b">
        <f t="shared" si="2"/>
        <v>0</v>
      </c>
      <c r="R22" s="152" t="s">
        <v>175</v>
      </c>
      <c r="S22" s="184">
        <f t="shared" si="6"/>
        <v>0</v>
      </c>
      <c r="T22" s="124"/>
      <c r="U22" s="41" t="s">
        <v>175</v>
      </c>
      <c r="V22" s="70" t="e">
        <f>VLOOKUP(U22,'BASE '!$A$4:$H$144,2,0)</f>
        <v>#N/A</v>
      </c>
      <c r="W22" s="159"/>
      <c r="X22" s="159"/>
      <c r="Y22" s="160"/>
      <c r="Z22" s="158" t="e">
        <f>VLOOKUP(U22,'BASE '!$A$4:$H$144,3,0)</f>
        <v>#N/A</v>
      </c>
      <c r="AA22" s="94" t="e">
        <f t="shared" si="3"/>
        <v>#N/A</v>
      </c>
      <c r="AB22" s="95" t="e">
        <f>VLOOKUP(U22,'BASE '!$A$4:$H$144,6,0)*Y22/100</f>
        <v>#N/A</v>
      </c>
      <c r="AC22" s="95" t="e">
        <f>VLOOKUP(U22,'BASE '!$A$4:$H$144,7,0)*Y22/100</f>
        <v>#N/A</v>
      </c>
      <c r="AD22" s="95" t="e">
        <f>VLOOKUP(U22,'BASE '!$A$4:$H$144,8,0)*Y22/100</f>
        <v>#N/A</v>
      </c>
      <c r="AE22" s="96" t="e">
        <f t="shared" si="7"/>
        <v>#N/A</v>
      </c>
      <c r="AF22" s="435"/>
      <c r="AG22" s="1" t="s">
        <v>155</v>
      </c>
      <c r="AH22" s="36" t="e">
        <f>SUMIFS($H$6:$H$165,$D$6:$D$165,AF21,CHOIX,AG22)</f>
        <v>#NAME?</v>
      </c>
      <c r="AI22" s="36" t="e">
        <f>SUMIFS($I$6:$I$165,$D$6:$D$165,AF21,CHOIX,AG22)</f>
        <v>#NAME?</v>
      </c>
      <c r="AJ22" s="36" t="e">
        <f>SUMIFS($J$6:$J$165,$D$6:$D$165,AF21,CHOIX,AG22)</f>
        <v>#NAME?</v>
      </c>
      <c r="AK22" s="36" t="e">
        <f>SUMIFS($K$6:$K$165,$D$6:$D$165,AF21,CHOIX,AG22)</f>
        <v>#NAME?</v>
      </c>
      <c r="AL22" s="36" t="e">
        <f>SUMIFS($L$6:$L$165,$D$6:$D$165,AF21,CHOIX,AG22)</f>
        <v>#NAME?</v>
      </c>
      <c r="AM22" s="36" t="e">
        <f>SUMIFS($M$6:$M$165,$D$6:$D$165,AF21,CHOIX,AG22)</f>
        <v>#NAME?</v>
      </c>
      <c r="AN22" s="1" t="s">
        <v>155</v>
      </c>
      <c r="AO22" s="83"/>
      <c r="AP22" s="63"/>
      <c r="AQ22" s="63"/>
      <c r="AR22" s="63"/>
      <c r="AS22" s="79"/>
      <c r="AT22" s="79"/>
      <c r="AU22" s="55" t="e">
        <f>SUMIFS($O$6:$O$165,$D$6:$D$165,AF21,CHOIX,AG22)</f>
        <v>#NAME?</v>
      </c>
      <c r="AV22" s="80" t="e">
        <f>SUMIFS($Q$6:$Q$165,$D$6:$D$165,AF21,CHOIX,AG22)</f>
        <v>#NAME?</v>
      </c>
      <c r="AW22" s="12"/>
      <c r="AX22" s="12"/>
      <c r="AY22" s="12"/>
      <c r="AZ22" s="8"/>
      <c r="BA22" s="148"/>
      <c r="BB22" s="148"/>
      <c r="BC22" s="148"/>
      <c r="BD22" s="10"/>
      <c r="BE22" s="10"/>
      <c r="BF22" s="10"/>
      <c r="BG22" s="10"/>
      <c r="BH22" s="10"/>
      <c r="BI22" s="10"/>
      <c r="BJ22" s="10"/>
      <c r="BK22" s="10"/>
      <c r="BL22" s="10"/>
      <c r="BM22" s="147">
        <f t="shared" si="8"/>
        <v>0</v>
      </c>
      <c r="BN22" s="147">
        <f t="shared" si="9"/>
        <v>0</v>
      </c>
      <c r="BO22" s="149"/>
      <c r="BP22" s="166"/>
      <c r="BQ22" s="12"/>
      <c r="BR22" s="12"/>
      <c r="BS22" s="479"/>
      <c r="BT22" s="527"/>
      <c r="BU22" s="528"/>
      <c r="BV22" s="586"/>
      <c r="BW22" s="592"/>
      <c r="BX22" s="587"/>
      <c r="BY22" s="526"/>
      <c r="BZ22" s="589"/>
      <c r="CA22" s="590"/>
      <c r="CB22" s="528"/>
      <c r="CC22" s="595"/>
      <c r="CV22" s="64"/>
      <c r="CW22" s="148"/>
      <c r="CX22" s="109"/>
      <c r="CY22" s="132"/>
      <c r="CZ22" s="143"/>
      <c r="DA22" s="63"/>
      <c r="DB22" s="50"/>
      <c r="DC22" s="10"/>
      <c r="DD22" s="10"/>
      <c r="DE22" s="10"/>
      <c r="DF22" s="10"/>
      <c r="DG22" s="10"/>
      <c r="DH22" s="39"/>
      <c r="DI22" s="33">
        <f t="shared" si="4"/>
        <v>0</v>
      </c>
      <c r="DJ22" s="52" t="b">
        <f>IF(AND(CZ22="CLIENT S+L",DA22="HUILE"),(DN22*3333.33+(VLOOKUP(DC22,'BASE '!$I$112:$J$142,2,0)))-((DN22*3333.33)*DB22),IF(AND(CZ22="CLIENT S+L",DA22="LAIT"),((DN22*952.4)-(DN22*952.4)*DB22),IF(CZ22="CLIENT O","OFFERT",IF(AND(DA22="HUILE",CZ22="CLIENT L"),(((VLOOKUP(DC22,'BASE '!$I$112:$J$142,2,0))+(VLOOKUP(DN22,'BASE '!#REF!,2,0)))),IF(AND(DA22="LAIT",CZ22="CLIENT L"),(DN22*952.4),IF(AND(DA22="HUILE",CZ22="CLIENT D"),(DN22*3809.53+(VLOOKUP(DC22,'BASE '!$I$112:$J$142,2,0))),IF(AND(DA22="LAIT",CZ22="CLIENT D"),(DN22*952.4),IF(AND(DA22="HUILE",CZ22="CLIENT S+D"),((DN22*3809.53+(VLOOKUP(DC22,'BASE '!$I$112:$J$142,2,0)))-((DN22*3809.53)*DB22)),IF(AND(DA22="LAIT",CZ22="CLIENT S+D"),((DN22*952.4)-((DN22*952.4)*DB22)),IF(AND(CZ22="CLIENT S",DA22="LAIT"),((DN22*952.4)-((DN22*952.4)*DB22)),IF(AND(DA22="HUILE",CZ22="CLIENT S"),(VLOOKUP(DC22,'BASE '!$I$112:$J$142,2,0)+(VLOOKUP(DN22,'BASE '!#REF!,2,0)))-(DB22*((VLOOKUP(DN22,'BASE '!#REF!,2,0)+(VLOOKUP(DC22,'BASE '!$I$112:$J$142,2,0))))))))))))))))</f>
        <v>0</v>
      </c>
      <c r="DK22" s="52" t="b">
        <f t="shared" si="5"/>
        <v>0</v>
      </c>
      <c r="DL22" s="53" t="b">
        <f t="shared" si="12"/>
        <v>0</v>
      </c>
      <c r="DM22" s="149"/>
      <c r="DN22" s="116">
        <f t="shared" si="13"/>
        <v>0</v>
      </c>
      <c r="DO22" s="124"/>
      <c r="DP22" s="42"/>
      <c r="DQ22" s="70"/>
      <c r="DR22" s="159"/>
      <c r="DS22" s="159"/>
      <c r="DT22" s="159"/>
      <c r="DU22" s="160"/>
      <c r="DV22" s="95"/>
      <c r="DW22" s="95"/>
      <c r="DX22" s="95"/>
      <c r="DY22" s="96"/>
    </row>
    <row r="23" spans="2:129" ht="15" customHeight="1" x14ac:dyDescent="0.3">
      <c r="B23" s="64"/>
      <c r="C23" s="148"/>
      <c r="D23" s="109"/>
      <c r="E23" s="63"/>
      <c r="F23" s="127"/>
      <c r="G23" s="50"/>
      <c r="H23" s="10"/>
      <c r="I23" s="10"/>
      <c r="J23" s="10"/>
      <c r="K23" s="10"/>
      <c r="L23" s="10"/>
      <c r="M23" s="39"/>
      <c r="N23" s="33">
        <f t="shared" si="0"/>
        <v>0</v>
      </c>
      <c r="O23" s="52" t="b">
        <f>IF(AND(E23="CLIENT S+L",F23="HUILE"),(S23*3333.33+(VLOOKUP(H23,'BASE '!$I$112:$J$142,2,0)))-((S23*3333.33)*G23),IF(AND(E23="CLIENT S+L",F23="LAIT"),((S23*952.4)-(S23*952.4)*G23),IF(E23="CLIENT O","OFFERT",IF(AND(F23="HUILE",E23="CLIENT L"),(((VLOOKUP(H23,'BASE '!$I$112:$J$142,2,0))+(VLOOKUP(S23,'BASE '!#REF!,2,0)))),IF(AND(F23="LAIT",E23="CLIENT L"),(S23*952.4),IF(AND(F23="HUILE",E23="CLIENT D"),(S23*3809.53+(VLOOKUP(H23,'BASE '!$I$112:$J$142,2,0))),IF(AND(F23="LAIT",E23="CLIENT D"),(S23*952.4),IF(AND(F23="HUILE",E23="CLIENT S+D"),((S23*3809.53+(VLOOKUP(H23,'BASE '!$I$112:$J$142,2,0)))-((S23*3809.53)*G23)),IF(AND(F23="LAIT",E23="CLIENT S+D"),((S23*952.4)-((S23*952.4)*G23)),IF(AND(E23="CLIENT S",F23="LAIT"),((S23*952.4)-((S23*952.4)*G23)),IF(AND(F23="HUILE",E23="CLIENT S"),(VLOOKUP(H23,'BASE '!$I$112:$J$142,2,0)+(VLOOKUP(S23,'BASE '!#REF!,2,0)))-(G23*((VLOOKUP(S23,'BASE '!#REF!,2,0)+(VLOOKUP(H23,'BASE '!$I$112:$J$142,2,0))))))))))))))))</f>
        <v>0</v>
      </c>
      <c r="P23" s="52" t="b">
        <f t="shared" si="1"/>
        <v>0</v>
      </c>
      <c r="Q23" s="53" t="b">
        <f t="shared" si="2"/>
        <v>0</v>
      </c>
      <c r="R23" s="152" t="s">
        <v>175</v>
      </c>
      <c r="S23" s="184">
        <f t="shared" si="6"/>
        <v>0</v>
      </c>
      <c r="T23" s="124"/>
      <c r="U23" s="41" t="s">
        <v>175</v>
      </c>
      <c r="V23" s="70" t="e">
        <f>VLOOKUP(U23,'BASE '!$A$4:$H$144,2,0)</f>
        <v>#N/A</v>
      </c>
      <c r="W23" s="159"/>
      <c r="X23" s="159"/>
      <c r="Y23" s="160"/>
      <c r="Z23" s="158" t="e">
        <f>VLOOKUP(U23,'BASE '!$A$4:$H$144,3,0)</f>
        <v>#N/A</v>
      </c>
      <c r="AA23" s="94" t="e">
        <f t="shared" si="3"/>
        <v>#N/A</v>
      </c>
      <c r="AB23" s="95" t="e">
        <f>VLOOKUP(U23,'BASE '!$A$4:$H$144,6,0)*Y23/100</f>
        <v>#N/A</v>
      </c>
      <c r="AC23" s="95" t="e">
        <f>VLOOKUP(U23,'BASE '!$A$4:$H$144,7,0)*Y23/100</f>
        <v>#N/A</v>
      </c>
      <c r="AD23" s="95" t="e">
        <f>VLOOKUP(U23,'BASE '!$A$4:$H$144,8,0)*Y23/100</f>
        <v>#N/A</v>
      </c>
      <c r="AE23" s="96" t="e">
        <f t="shared" si="7"/>
        <v>#N/A</v>
      </c>
      <c r="AF23" s="435" t="s">
        <v>9</v>
      </c>
      <c r="AG23" s="91" t="s">
        <v>157</v>
      </c>
      <c r="AH23" s="36" t="e">
        <f>SUMIFS($H$6:$H$165,$D$6:$D$165,AF23,CHOIX,AG23)</f>
        <v>#NAME?</v>
      </c>
      <c r="AI23" s="36" t="e">
        <f>SUMIFS($I$6:$I$165,$D$6:$D$165,AF23,CHOIX,AG23)</f>
        <v>#NAME?</v>
      </c>
      <c r="AJ23" s="36" t="e">
        <f>SUMIFS($J$6:$J$165,$D$6:$D$165,AF23,CHOIX,AG23)</f>
        <v>#NAME?</v>
      </c>
      <c r="AK23" s="36" t="e">
        <f>SUMIFS($K$6:$K$165,$D$6:$D$165,AF23,CHOIX,AG23)</f>
        <v>#NAME?</v>
      </c>
      <c r="AL23" s="36" t="e">
        <f>SUMIFS($L$6:$L$165,$D$6:$D$165,AF23,CHOIX,AG23)</f>
        <v>#NAME?</v>
      </c>
      <c r="AM23" s="36" t="e">
        <f>SUMIFS($M$6:$M$165,$D$6:$D$165,AF23,CHOIX,AG23)</f>
        <v>#NAME?</v>
      </c>
      <c r="AN23" s="91" t="s">
        <v>157</v>
      </c>
      <c r="AO23" s="83"/>
      <c r="AP23" s="63"/>
      <c r="AQ23" s="63"/>
      <c r="AR23" s="63"/>
      <c r="AS23" s="79"/>
      <c r="AT23" s="79"/>
      <c r="AU23" s="55" t="e">
        <f>SUMIFS($O$6:$O$165,$D$6:$D$165,AF23,CHOIX,AG23)</f>
        <v>#NAME?</v>
      </c>
      <c r="AV23" s="80" t="e">
        <f>SUMIFS($Q$6:$Q$165,$D$6:$D$165,AF23,CHOIX,AG23)</f>
        <v>#NAME?</v>
      </c>
      <c r="AW23" s="12"/>
      <c r="AX23" s="12"/>
      <c r="AY23" s="12"/>
      <c r="AZ23" s="8"/>
      <c r="BA23" s="148"/>
      <c r="BB23" s="148"/>
      <c r="BC23" s="148"/>
      <c r="BD23" s="10"/>
      <c r="BE23" s="10"/>
      <c r="BF23" s="10"/>
      <c r="BG23" s="10"/>
      <c r="BH23" s="10"/>
      <c r="BI23" s="10"/>
      <c r="BJ23" s="10"/>
      <c r="BK23" s="10"/>
      <c r="BL23" s="10"/>
      <c r="BM23" s="147">
        <f t="shared" si="8"/>
        <v>0</v>
      </c>
      <c r="BN23" s="147">
        <f t="shared" si="9"/>
        <v>0</v>
      </c>
      <c r="BO23" s="149"/>
      <c r="BP23" s="166"/>
      <c r="BQ23" s="12"/>
      <c r="BR23" s="12"/>
      <c r="BS23" s="514" t="s">
        <v>177</v>
      </c>
      <c r="BT23" s="516"/>
      <c r="BU23" s="516"/>
      <c r="BV23" s="520">
        <f>SUM(BV5:BV22)</f>
        <v>0</v>
      </c>
      <c r="BW23" s="134"/>
      <c r="BX23" s="522" t="s">
        <v>146</v>
      </c>
      <c r="BY23" s="522"/>
      <c r="BZ23" s="522"/>
      <c r="CA23" s="522"/>
      <c r="CB23" s="515"/>
      <c r="CC23" s="512">
        <f>SUM(CC5:CC22)</f>
        <v>0</v>
      </c>
      <c r="CV23" s="64"/>
      <c r="CW23" s="148"/>
      <c r="CX23" s="109"/>
      <c r="CY23" s="132"/>
      <c r="CZ23" s="143"/>
      <c r="DA23" s="63"/>
      <c r="DB23" s="50"/>
      <c r="DC23" s="10"/>
      <c r="DD23" s="10"/>
      <c r="DE23" s="10"/>
      <c r="DF23" s="10"/>
      <c r="DG23" s="10"/>
      <c r="DH23" s="39"/>
      <c r="DI23" s="33">
        <f t="shared" si="4"/>
        <v>0</v>
      </c>
      <c r="DJ23" s="52" t="b">
        <f>IF(AND(CZ23="CLIENT S+L",DA23="HUILE"),(DN23*3333.33+(VLOOKUP(DC23,'BASE '!$I$112:$J$142,2,0)))-((DN23*3333.33)*DB23),IF(AND(CZ23="CLIENT S+L",DA23="LAIT"),((DN23*952.4)-(DN23*952.4)*DB23),IF(CZ23="CLIENT O","OFFERT",IF(AND(DA23="HUILE",CZ23="CLIENT L"),(((VLOOKUP(DC23,'BASE '!$I$112:$J$142,2,0))+(VLOOKUP(DN23,'BASE '!#REF!,2,0)))),IF(AND(DA23="LAIT",CZ23="CLIENT L"),(DN23*952.4),IF(AND(DA23="HUILE",CZ23="CLIENT D"),(DN23*3809.53+(VLOOKUP(DC23,'BASE '!$I$112:$J$142,2,0))),IF(AND(DA23="LAIT",CZ23="CLIENT D"),(DN23*952.4),IF(AND(DA23="HUILE",CZ23="CLIENT S+D"),((DN23*3809.53+(VLOOKUP(DC23,'BASE '!$I$112:$J$142,2,0)))-((DN23*3809.53)*DB23)),IF(AND(DA23="LAIT",CZ23="CLIENT S+D"),((DN23*952.4)-((DN23*952.4)*DB23)),IF(AND(CZ23="CLIENT S",DA23="LAIT"),((DN23*952.4)-((DN23*952.4)*DB23)),IF(AND(DA23="HUILE",CZ23="CLIENT S"),(VLOOKUP(DC23,'BASE '!$I$112:$J$142,2,0)+(VLOOKUP(DN23,'BASE '!#REF!,2,0)))-(DB23*((VLOOKUP(DN23,'BASE '!#REF!,2,0)+(VLOOKUP(DC23,'BASE '!$I$112:$J$142,2,0))))))))))))))))</f>
        <v>0</v>
      </c>
      <c r="DK23" s="52" t="b">
        <f t="shared" si="5"/>
        <v>0</v>
      </c>
      <c r="DL23" s="53" t="b">
        <f t="shared" si="12"/>
        <v>0</v>
      </c>
      <c r="DM23" s="149"/>
      <c r="DN23" s="116">
        <f t="shared" si="13"/>
        <v>0</v>
      </c>
      <c r="DO23" s="124"/>
      <c r="DP23" s="42"/>
      <c r="DQ23" s="70"/>
      <c r="DR23" s="159"/>
      <c r="DS23" s="159"/>
      <c r="DT23" s="159"/>
      <c r="DU23" s="160"/>
      <c r="DV23" s="95"/>
      <c r="DW23" s="95"/>
      <c r="DX23" s="95"/>
      <c r="DY23" s="96"/>
    </row>
    <row r="24" spans="2:129" ht="15" customHeight="1" thickBot="1" x14ac:dyDescent="0.35">
      <c r="B24" s="64"/>
      <c r="C24" s="148"/>
      <c r="D24" s="109"/>
      <c r="E24" s="63"/>
      <c r="F24" s="127"/>
      <c r="G24" s="50"/>
      <c r="H24" s="10"/>
      <c r="I24" s="10"/>
      <c r="J24" s="10"/>
      <c r="K24" s="10"/>
      <c r="L24" s="10"/>
      <c r="M24" s="39"/>
      <c r="N24" s="33">
        <f t="shared" si="0"/>
        <v>0</v>
      </c>
      <c r="O24" s="52" t="b">
        <f>IF(AND(E24="CLIENT S+L",F24="HUILE"),(S24*3333.33+(VLOOKUP(H24,'BASE '!$I$112:$J$142,2,0)))-((S24*3333.33)*G24),IF(AND(E24="CLIENT S+L",F24="LAIT"),((S24*952.4)-(S24*952.4)*G24),IF(E24="CLIENT O","OFFERT",IF(AND(F24="HUILE",E24="CLIENT L"),(((VLOOKUP(H24,'BASE '!$I$112:$J$142,2,0))+(VLOOKUP(S24,'BASE '!#REF!,2,0)))),IF(AND(F24="LAIT",E24="CLIENT L"),(S24*952.4),IF(AND(F24="HUILE",E24="CLIENT D"),(S24*3809.53+(VLOOKUP(H24,'BASE '!$I$112:$J$142,2,0))),IF(AND(F24="LAIT",E24="CLIENT D"),(S24*952.4),IF(AND(F24="HUILE",E24="CLIENT S+D"),((S24*3809.53+(VLOOKUP(H24,'BASE '!$I$112:$J$142,2,0)))-((S24*3809.53)*G24)),IF(AND(F24="LAIT",E24="CLIENT S+D"),((S24*952.4)-((S24*952.4)*G24)),IF(AND(E24="CLIENT S",F24="LAIT"),((S24*952.4)-((S24*952.4)*G24)),IF(AND(F24="HUILE",E24="CLIENT S"),(VLOOKUP(H24,'BASE '!$I$112:$J$142,2,0)+(VLOOKUP(S24,'BASE '!#REF!,2,0)))-(G24*((VLOOKUP(S24,'BASE '!#REF!,2,0)+(VLOOKUP(H24,'BASE '!$I$112:$J$142,2,0))))))))))))))))</f>
        <v>0</v>
      </c>
      <c r="P24" s="52" t="b">
        <f t="shared" si="1"/>
        <v>0</v>
      </c>
      <c r="Q24" s="53" t="b">
        <f t="shared" si="2"/>
        <v>0</v>
      </c>
      <c r="R24" s="152" t="s">
        <v>175</v>
      </c>
      <c r="S24" s="184">
        <f t="shared" si="6"/>
        <v>0</v>
      </c>
      <c r="T24" s="124"/>
      <c r="U24" s="41" t="s">
        <v>175</v>
      </c>
      <c r="V24" s="70" t="e">
        <f>VLOOKUP(U24,'BASE '!$A$4:$H$144,2,0)</f>
        <v>#N/A</v>
      </c>
      <c r="W24" s="159"/>
      <c r="X24" s="159"/>
      <c r="Y24" s="160"/>
      <c r="Z24" s="158" t="e">
        <f>VLOOKUP(U24,'BASE '!$A$4:$H$144,3,0)</f>
        <v>#N/A</v>
      </c>
      <c r="AA24" s="94" t="e">
        <f t="shared" si="3"/>
        <v>#N/A</v>
      </c>
      <c r="AB24" s="95" t="e">
        <f>VLOOKUP(U24,'BASE '!$A$4:$H$144,6,0)*Y24/100</f>
        <v>#N/A</v>
      </c>
      <c r="AC24" s="95" t="e">
        <f>VLOOKUP(U24,'BASE '!$A$4:$H$144,7,0)*Y24/100</f>
        <v>#N/A</v>
      </c>
      <c r="AD24" s="95" t="e">
        <f>VLOOKUP(U24,'BASE '!$A$4:$H$144,8,0)*Y24/100</f>
        <v>#N/A</v>
      </c>
      <c r="AE24" s="96" t="e">
        <f t="shared" si="7"/>
        <v>#N/A</v>
      </c>
      <c r="AF24" s="435"/>
      <c r="AG24" s="1" t="s">
        <v>155</v>
      </c>
      <c r="AH24" s="36" t="e">
        <f>SUMIFS($H$6:$H$165,$D$6:$D$165,AF23,CHOIX,AG24)</f>
        <v>#NAME?</v>
      </c>
      <c r="AI24" s="36" t="e">
        <f>SUMIFS($I$6:$I$165,$D$6:$D$165,AF23,CHOIX,AG24)</f>
        <v>#NAME?</v>
      </c>
      <c r="AJ24" s="36" t="e">
        <f>SUMIFS($J$6:$J$165,$D$6:$D$165,AF23,CHOIX,AG24)</f>
        <v>#NAME?</v>
      </c>
      <c r="AK24" s="36" t="e">
        <f>SUMIFS($K$6:$K$165,$D$6:$D$165,AF23,CHOIX,AG24)</f>
        <v>#NAME?</v>
      </c>
      <c r="AL24" s="36" t="e">
        <f>SUMIFS($L$6:$L$165,$D$6:$D$165,AF23,CHOIX,AG24)</f>
        <v>#NAME?</v>
      </c>
      <c r="AM24" s="36" t="e">
        <f>SUMIFS($M$6:$M$165,$D$6:$D$165,AF23,CHOIX,AG24)</f>
        <v>#NAME?</v>
      </c>
      <c r="AN24" s="1" t="s">
        <v>155</v>
      </c>
      <c r="AO24" s="83"/>
      <c r="AP24" s="63"/>
      <c r="AQ24" s="63"/>
      <c r="AR24" s="63"/>
      <c r="AS24" s="79"/>
      <c r="AT24" s="79"/>
      <c r="AU24" s="55" t="e">
        <f>SUMIFS($O$6:$O$165,$D$6:$D$165,AF23,CHOIX,AG24)</f>
        <v>#NAME?</v>
      </c>
      <c r="AV24" s="80" t="e">
        <f>SUMIFS($Q$6:$Q$165,$D$6:$D$165,AF23,CHOIX,AG24)</f>
        <v>#NAME?</v>
      </c>
      <c r="AW24" s="12"/>
      <c r="AX24" s="12"/>
      <c r="AY24" s="12"/>
      <c r="AZ24" s="8"/>
      <c r="BA24" s="148"/>
      <c r="BB24" s="148"/>
      <c r="BC24" s="148"/>
      <c r="BD24" s="10"/>
      <c r="BE24" s="10"/>
      <c r="BF24" s="10"/>
      <c r="BG24" s="10"/>
      <c r="BH24" s="10"/>
      <c r="BI24" s="10"/>
      <c r="BJ24" s="10"/>
      <c r="BK24" s="10"/>
      <c r="BL24" s="10"/>
      <c r="BM24" s="147">
        <f t="shared" si="8"/>
        <v>0</v>
      </c>
      <c r="BN24" s="147">
        <f t="shared" si="9"/>
        <v>0</v>
      </c>
      <c r="BO24" s="149"/>
      <c r="BP24" s="49"/>
      <c r="BQ24" s="12"/>
      <c r="BR24" s="12"/>
      <c r="BS24" s="517"/>
      <c r="BT24" s="519"/>
      <c r="BU24" s="519"/>
      <c r="BV24" s="521"/>
      <c r="BW24" s="135"/>
      <c r="BX24" s="523"/>
      <c r="BY24" s="523"/>
      <c r="BZ24" s="523"/>
      <c r="CA24" s="523"/>
      <c r="CB24" s="518"/>
      <c r="CC24" s="513"/>
      <c r="CV24" s="64"/>
      <c r="CW24" s="148"/>
      <c r="CX24" s="109"/>
      <c r="CY24" s="132"/>
      <c r="CZ24" s="143"/>
      <c r="DA24" s="63"/>
      <c r="DB24" s="50"/>
      <c r="DC24" s="10"/>
      <c r="DD24" s="10"/>
      <c r="DE24" s="10"/>
      <c r="DF24" s="10"/>
      <c r="DG24" s="10"/>
      <c r="DH24" s="39"/>
      <c r="DI24" s="33">
        <f t="shared" si="4"/>
        <v>0</v>
      </c>
      <c r="DJ24" s="52" t="b">
        <f>IF(AND(CZ24="CLIENT S+L",DA24="HUILE"),(DN24*3333.33+(VLOOKUP(DC24,'BASE '!$I$112:$J$142,2,0)))-((DN24*3333.33)*DB24),IF(AND(CZ24="CLIENT S+L",DA24="LAIT"),((DN24*952.4)-(DN24*952.4)*DB24),IF(CZ24="CLIENT O","OFFERT",IF(AND(DA24="HUILE",CZ24="CLIENT L"),(((VLOOKUP(DC24,'BASE '!$I$112:$J$142,2,0))+(VLOOKUP(DN24,'BASE '!#REF!,2,0)))),IF(AND(DA24="LAIT",CZ24="CLIENT L"),(DN24*952.4),IF(AND(DA24="HUILE",CZ24="CLIENT D"),(DN24*3809.53+(VLOOKUP(DC24,'BASE '!$I$112:$J$142,2,0))),IF(AND(DA24="LAIT",CZ24="CLIENT D"),(DN24*952.4),IF(AND(DA24="HUILE",CZ24="CLIENT S+D"),((DN24*3809.53+(VLOOKUP(DC24,'BASE '!$I$112:$J$142,2,0)))-((DN24*3809.53)*DB24)),IF(AND(DA24="LAIT",CZ24="CLIENT S+D"),((DN24*952.4)-((DN24*952.4)*DB24)),IF(AND(CZ24="CLIENT S",DA24="LAIT"),((DN24*952.4)-((DN24*952.4)*DB24)),IF(AND(DA24="HUILE",CZ24="CLIENT S"),(VLOOKUP(DC24,'BASE '!$I$112:$J$142,2,0)+(VLOOKUP(DN24,'BASE '!#REF!,2,0)))-(DB24*((VLOOKUP(DN24,'BASE '!#REF!,2,0)+(VLOOKUP(DC24,'BASE '!$I$112:$J$142,2,0))))))))))))))))</f>
        <v>0</v>
      </c>
      <c r="DK24" s="52" t="b">
        <f t="shared" si="5"/>
        <v>0</v>
      </c>
      <c r="DL24" s="53" t="b">
        <f t="shared" si="12"/>
        <v>0</v>
      </c>
      <c r="DM24" s="149"/>
      <c r="DN24" s="116">
        <f t="shared" si="13"/>
        <v>0</v>
      </c>
      <c r="DO24" s="124"/>
      <c r="DP24" s="42"/>
      <c r="DQ24" s="70"/>
      <c r="DR24" s="159"/>
      <c r="DS24" s="159"/>
      <c r="DT24" s="159"/>
      <c r="DU24" s="160"/>
      <c r="DV24" s="95"/>
      <c r="DW24" s="95"/>
      <c r="DX24" s="95"/>
      <c r="DY24" s="96"/>
    </row>
    <row r="25" spans="2:129" ht="15" customHeight="1" x14ac:dyDescent="0.3">
      <c r="B25" s="64"/>
      <c r="C25" s="148"/>
      <c r="D25" s="109"/>
      <c r="E25" s="63"/>
      <c r="F25" s="127"/>
      <c r="G25" s="50"/>
      <c r="H25" s="10"/>
      <c r="I25" s="10"/>
      <c r="J25" s="10"/>
      <c r="K25" s="10"/>
      <c r="L25" s="10"/>
      <c r="M25" s="39"/>
      <c r="N25" s="33">
        <f t="shared" si="0"/>
        <v>0</v>
      </c>
      <c r="O25" s="52" t="b">
        <f>IF(AND(E25="CLIENT S+L",F25="HUILE"),(S25*3333.33+(VLOOKUP(H25,'BASE '!$I$112:$J$142,2,0)))-((S25*3333.33)*G25),IF(AND(E25="CLIENT S+L",F25="LAIT"),((S25*952.4)-(S25*952.4)*G25),IF(E25="CLIENT O","OFFERT",IF(AND(F25="HUILE",E25="CLIENT L"),(((VLOOKUP(H25,'BASE '!$I$112:$J$142,2,0))+(VLOOKUP(S25,'BASE '!#REF!,2,0)))),IF(AND(F25="LAIT",E25="CLIENT L"),(S25*952.4),IF(AND(F25="HUILE",E25="CLIENT D"),(S25*3809.53+(VLOOKUP(H25,'BASE '!$I$112:$J$142,2,0))),IF(AND(F25="LAIT",E25="CLIENT D"),(S25*952.4),IF(AND(F25="HUILE",E25="CLIENT S+D"),((S25*3809.53+(VLOOKUP(H25,'BASE '!$I$112:$J$142,2,0)))-((S25*3809.53)*G25)),IF(AND(F25="LAIT",E25="CLIENT S+D"),((S25*952.4)-((S25*952.4)*G25)),IF(AND(E25="CLIENT S",F25="LAIT"),((S25*952.4)-((S25*952.4)*G25)),IF(AND(F25="HUILE",E25="CLIENT S"),(VLOOKUP(H25,'BASE '!$I$112:$J$142,2,0)+(VLOOKUP(S25,'BASE '!#REF!,2,0)))-(G25*((VLOOKUP(S25,'BASE '!#REF!,2,0)+(VLOOKUP(H25,'BASE '!$I$112:$J$142,2,0))))))))))))))))</f>
        <v>0</v>
      </c>
      <c r="P25" s="52" t="b">
        <f t="shared" si="1"/>
        <v>0</v>
      </c>
      <c r="Q25" s="53" t="b">
        <f t="shared" si="2"/>
        <v>0</v>
      </c>
      <c r="R25" s="152" t="s">
        <v>175</v>
      </c>
      <c r="S25" s="184">
        <f t="shared" si="6"/>
        <v>0</v>
      </c>
      <c r="T25" s="124"/>
      <c r="U25" s="41" t="s">
        <v>175</v>
      </c>
      <c r="V25" s="70" t="e">
        <f>VLOOKUP(U25,'BASE '!$A$4:$H$144,2,0)</f>
        <v>#N/A</v>
      </c>
      <c r="W25" s="159"/>
      <c r="X25" s="159"/>
      <c r="Y25" s="160"/>
      <c r="Z25" s="158" t="e">
        <f>VLOOKUP(U25,'BASE '!$A$4:$H$144,3,0)</f>
        <v>#N/A</v>
      </c>
      <c r="AA25" s="94" t="e">
        <f t="shared" si="3"/>
        <v>#N/A</v>
      </c>
      <c r="AB25" s="95" t="e">
        <f>VLOOKUP(U25,'BASE '!$A$4:$H$144,6,0)*Y25/100</f>
        <v>#N/A</v>
      </c>
      <c r="AC25" s="95" t="e">
        <f>VLOOKUP(U25,'BASE '!$A$4:$H$144,7,0)*Y25/100</f>
        <v>#N/A</v>
      </c>
      <c r="AD25" s="95" t="e">
        <f>VLOOKUP(U25,'BASE '!$A$4:$H$144,8,0)*Y25/100</f>
        <v>#N/A</v>
      </c>
      <c r="AE25" s="96" t="e">
        <f t="shared" si="7"/>
        <v>#N/A</v>
      </c>
      <c r="AF25" s="431"/>
      <c r="AG25" s="91" t="s">
        <v>157</v>
      </c>
      <c r="AH25" s="36" t="e">
        <f>SUMIFS($H$6:$H$165,$D$6:$D$165,AF25,CHOIX,AG25)</f>
        <v>#NAME?</v>
      </c>
      <c r="AI25" s="36" t="e">
        <f>SUMIFS($I$6:$I$165,$D$6:$D$165,AF25,CHOIX,AG25)</f>
        <v>#NAME?</v>
      </c>
      <c r="AJ25" s="36" t="e">
        <f>SUMIFS($J$6:$J$165,$D$6:$D$165,AF25,CHOIX,AG25)</f>
        <v>#NAME?</v>
      </c>
      <c r="AK25" s="36" t="e">
        <f>SUMIFS($K$6:$K$165,$D$6:$D$165,AF25,CHOIX,AG25)</f>
        <v>#NAME?</v>
      </c>
      <c r="AL25" s="36" t="e">
        <f>SUMIFS($L$6:$L$165,$D$6:$D$165,AF25,CHOIX,AG25)</f>
        <v>#NAME?</v>
      </c>
      <c r="AM25" s="36" t="e">
        <f>SUMIFS($M$6:$M$165,$D$6:$D$165,AF25,CHOIX,AG25)</f>
        <v>#NAME?</v>
      </c>
      <c r="AN25" s="91" t="s">
        <v>157</v>
      </c>
      <c r="AO25" s="83"/>
      <c r="AP25" s="63"/>
      <c r="AQ25" s="63"/>
      <c r="AR25" s="63"/>
      <c r="AS25" s="79"/>
      <c r="AT25" s="79"/>
      <c r="AU25" s="55" t="e">
        <f>SUMIFS($O$6:$O$165,$D$6:$D$165,AF25,CHOIX,AG25)</f>
        <v>#NAME?</v>
      </c>
      <c r="AV25" s="80" t="e">
        <f>SUMIFS($Q$6:$Q$165,$D$6:$D$165,AF25,CHOIX,AG25)</f>
        <v>#NAME?</v>
      </c>
      <c r="AW25" s="12"/>
      <c r="AX25" s="12"/>
      <c r="AY25" s="12"/>
      <c r="AZ25" s="8"/>
      <c r="BA25" s="148"/>
      <c r="BB25" s="148"/>
      <c r="BC25" s="148"/>
      <c r="BD25" s="10"/>
      <c r="BE25" s="10"/>
      <c r="BF25" s="10"/>
      <c r="BG25" s="10"/>
      <c r="BH25" s="10"/>
      <c r="BI25" s="10"/>
      <c r="BJ25" s="10"/>
      <c r="BK25" s="10"/>
      <c r="BL25" s="10"/>
      <c r="BM25" s="147">
        <f t="shared" si="8"/>
        <v>0</v>
      </c>
      <c r="BN25" s="147">
        <f t="shared" si="9"/>
        <v>0</v>
      </c>
      <c r="BO25" s="149"/>
      <c r="BP25" s="49"/>
      <c r="BQ25" s="12"/>
      <c r="BR25" s="12"/>
      <c r="BS25" s="593" t="s">
        <v>178</v>
      </c>
      <c r="BT25" s="522"/>
      <c r="BU25" s="522"/>
      <c r="BV25" s="522"/>
      <c r="BW25" s="522"/>
      <c r="BX25" s="522"/>
      <c r="BY25" s="522"/>
      <c r="BZ25" s="522"/>
      <c r="CA25" s="522"/>
      <c r="CB25" s="522"/>
      <c r="CC25" s="493">
        <f>CC23+BV23</f>
        <v>0</v>
      </c>
      <c r="CV25" s="64"/>
      <c r="CW25" s="148"/>
      <c r="CX25" s="109"/>
      <c r="CY25" s="132"/>
      <c r="CZ25" s="143"/>
      <c r="DA25" s="63"/>
      <c r="DB25" s="50"/>
      <c r="DC25" s="10"/>
      <c r="DD25" s="10"/>
      <c r="DE25" s="10"/>
      <c r="DF25" s="10"/>
      <c r="DG25" s="10"/>
      <c r="DH25" s="39"/>
      <c r="DI25" s="33">
        <f t="shared" si="4"/>
        <v>0</v>
      </c>
      <c r="DJ25" s="52" t="b">
        <f>IF(AND(CZ25="CLIENT S+L",DA25="HUILE"),(DN25*3333.33+(VLOOKUP(DC25,'BASE '!$I$112:$J$142,2,0)))-((DN25*3333.33)*DB25),IF(AND(CZ25="CLIENT S+L",DA25="LAIT"),((DN25*952.4)-(DN25*952.4)*DB25),IF(CZ25="CLIENT O","OFFERT",IF(AND(DA25="HUILE",CZ25="CLIENT L"),(((VLOOKUP(DC25,'BASE '!$I$112:$J$142,2,0))+(VLOOKUP(DN25,'BASE '!#REF!,2,0)))),IF(AND(DA25="LAIT",CZ25="CLIENT L"),(DN25*952.4),IF(AND(DA25="HUILE",CZ25="CLIENT D"),(DN25*3809.53+(VLOOKUP(DC25,'BASE '!$I$112:$J$142,2,0))),IF(AND(DA25="LAIT",CZ25="CLIENT D"),(DN25*952.4),IF(AND(DA25="HUILE",CZ25="CLIENT S+D"),((DN25*3809.53+(VLOOKUP(DC25,'BASE '!$I$112:$J$142,2,0)))-((DN25*3809.53)*DB25)),IF(AND(DA25="LAIT",CZ25="CLIENT S+D"),((DN25*952.4)-((DN25*952.4)*DB25)),IF(AND(CZ25="CLIENT S",DA25="LAIT"),((DN25*952.4)-((DN25*952.4)*DB25)),IF(AND(DA25="HUILE",CZ25="CLIENT S"),(VLOOKUP(DC25,'BASE '!$I$112:$J$142,2,0)+(VLOOKUP(DN25,'BASE '!#REF!,2,0)))-(DB25*((VLOOKUP(DN25,'BASE '!#REF!,2,0)+(VLOOKUP(DC25,'BASE '!$I$112:$J$142,2,0))))))))))))))))</f>
        <v>0</v>
      </c>
      <c r="DK25" s="52" t="b">
        <f t="shared" si="5"/>
        <v>0</v>
      </c>
      <c r="DL25" s="53" t="b">
        <f t="shared" si="12"/>
        <v>0</v>
      </c>
      <c r="DM25" s="149"/>
      <c r="DN25" s="116">
        <f t="shared" si="13"/>
        <v>0</v>
      </c>
      <c r="DO25" s="124"/>
      <c r="DP25" s="42"/>
      <c r="DQ25" s="70"/>
      <c r="DR25" s="159"/>
      <c r="DS25" s="159"/>
      <c r="DT25" s="159"/>
      <c r="DU25" s="160"/>
      <c r="DV25" s="95"/>
      <c r="DW25" s="95"/>
      <c r="DX25" s="95"/>
      <c r="DY25" s="96"/>
    </row>
    <row r="26" spans="2:129" ht="15" customHeight="1" thickBot="1" x14ac:dyDescent="0.35">
      <c r="B26" s="64"/>
      <c r="C26" s="148"/>
      <c r="D26" s="109"/>
      <c r="E26" s="63"/>
      <c r="F26" s="127"/>
      <c r="G26" s="50"/>
      <c r="H26" s="10"/>
      <c r="I26" s="10"/>
      <c r="J26" s="10"/>
      <c r="K26" s="10"/>
      <c r="L26" s="10"/>
      <c r="M26" s="39"/>
      <c r="N26" s="33">
        <f t="shared" si="0"/>
        <v>0</v>
      </c>
      <c r="O26" s="52" t="b">
        <f>IF(AND(E26="CLIENT S+L",F26="HUILE"),(S26*3333.33+(VLOOKUP(H26,'BASE '!$I$112:$J$142,2,0)))-((S26*3333.33)*G26),IF(AND(E26="CLIENT S+L",F26="LAIT"),((S26*952.4)-(S26*952.4)*G26),IF(E26="CLIENT O","OFFERT",IF(AND(F26="HUILE",E26="CLIENT L"),(((VLOOKUP(H26,'BASE '!$I$112:$J$142,2,0))+(VLOOKUP(S26,'BASE '!#REF!,2,0)))),IF(AND(F26="LAIT",E26="CLIENT L"),(S26*952.4),IF(AND(F26="HUILE",E26="CLIENT D"),(S26*3809.53+(VLOOKUP(H26,'BASE '!$I$112:$J$142,2,0))),IF(AND(F26="LAIT",E26="CLIENT D"),(S26*952.4),IF(AND(F26="HUILE",E26="CLIENT S+D"),((S26*3809.53+(VLOOKUP(H26,'BASE '!$I$112:$J$142,2,0)))-((S26*3809.53)*G26)),IF(AND(F26="LAIT",E26="CLIENT S+D"),((S26*952.4)-((S26*952.4)*G26)),IF(AND(E26="CLIENT S",F26="LAIT"),((S26*952.4)-((S26*952.4)*G26)),IF(AND(F26="HUILE",E26="CLIENT S"),(VLOOKUP(H26,'BASE '!$I$112:$J$142,2,0)+(VLOOKUP(S26,'BASE '!#REF!,2,0)))-(G26*((VLOOKUP(S26,'BASE '!#REF!,2,0)+(VLOOKUP(H26,'BASE '!$I$112:$J$142,2,0))))))))))))))))</f>
        <v>0</v>
      </c>
      <c r="P26" s="52" t="b">
        <f t="shared" si="1"/>
        <v>0</v>
      </c>
      <c r="Q26" s="53" t="b">
        <f t="shared" si="2"/>
        <v>0</v>
      </c>
      <c r="R26" s="152" t="s">
        <v>175</v>
      </c>
      <c r="S26" s="184">
        <f t="shared" si="6"/>
        <v>0</v>
      </c>
      <c r="T26" s="124"/>
      <c r="U26" s="41" t="s">
        <v>175</v>
      </c>
      <c r="V26" s="70" t="e">
        <f>VLOOKUP(U26,'BASE '!$A$4:$H$144,2,0)</f>
        <v>#N/A</v>
      </c>
      <c r="W26" s="159"/>
      <c r="X26" s="159"/>
      <c r="Y26" s="160"/>
      <c r="Z26" s="158" t="e">
        <f>VLOOKUP(U26,'BASE '!$A$4:$H$144,3,0)</f>
        <v>#N/A</v>
      </c>
      <c r="AA26" s="94" t="e">
        <f t="shared" si="3"/>
        <v>#N/A</v>
      </c>
      <c r="AB26" s="95" t="e">
        <f>VLOOKUP(U26,'BASE '!$A$4:$H$144,6,0)*Y26/100</f>
        <v>#N/A</v>
      </c>
      <c r="AC26" s="95" t="e">
        <f>VLOOKUP(U26,'BASE '!$A$4:$H$144,7,0)*Y26/100</f>
        <v>#N/A</v>
      </c>
      <c r="AD26" s="95" t="e">
        <f>VLOOKUP(U26,'BASE '!$A$4:$H$144,8,0)*Y26/100</f>
        <v>#N/A</v>
      </c>
      <c r="AE26" s="96" t="e">
        <f t="shared" si="7"/>
        <v>#N/A</v>
      </c>
      <c r="AF26" s="431"/>
      <c r="AG26" s="1" t="s">
        <v>155</v>
      </c>
      <c r="AH26" s="36" t="e">
        <f>SUMIFS($H$6:$H$165,$D$6:$D$165,AF25,CHOIX,AG26)</f>
        <v>#NAME?</v>
      </c>
      <c r="AI26" s="36" t="e">
        <f>SUMIFS($I$6:$I$165,$D$6:$D$165,AF25,CHOIX,AG26)</f>
        <v>#NAME?</v>
      </c>
      <c r="AJ26" s="36" t="e">
        <f>SUMIFS($J$6:$J$165,$D$6:$D$165,AF25,CHOIX,AG26)</f>
        <v>#NAME?</v>
      </c>
      <c r="AK26" s="36" t="e">
        <f>SUMIFS($K$6:$K$165,$D$6:$D$165,AF25,CHOIX,AG26)</f>
        <v>#NAME?</v>
      </c>
      <c r="AL26" s="36" t="e">
        <f>SUMIFS($L$6:$L$165,$D$6:$D$165,AF25,CHOIX,AG26)</f>
        <v>#NAME?</v>
      </c>
      <c r="AM26" s="36" t="e">
        <f>SUMIFS($M$6:$M$165,$D$6:$D$165,AF25,CHOIX,AG26)</f>
        <v>#NAME?</v>
      </c>
      <c r="AN26" s="1" t="s">
        <v>155</v>
      </c>
      <c r="AO26" s="83"/>
      <c r="AP26" s="63"/>
      <c r="AQ26" s="63"/>
      <c r="AR26" s="63"/>
      <c r="AS26" s="79"/>
      <c r="AT26" s="79"/>
      <c r="AU26" s="55" t="e">
        <f>SUMIFS($O$6:$O$165,$D$6:$D$165,AF25,CHOIX,AG26)</f>
        <v>#NAME?</v>
      </c>
      <c r="AV26" s="80" t="e">
        <f>SUMIFS($Q$6:$Q$165,$D$6:$D$165,AF25,CHOIX,AG26)</f>
        <v>#NAME?</v>
      </c>
      <c r="AW26" s="12"/>
      <c r="AX26" s="12"/>
      <c r="AY26" s="12"/>
      <c r="AZ26" s="8"/>
      <c r="BA26" s="148"/>
      <c r="BB26" s="148"/>
      <c r="BC26" s="148"/>
      <c r="BD26" s="10"/>
      <c r="BE26" s="10"/>
      <c r="BF26" s="10"/>
      <c r="BG26" s="10"/>
      <c r="BH26" s="10"/>
      <c r="BI26" s="10"/>
      <c r="BJ26" s="10"/>
      <c r="BK26" s="10"/>
      <c r="BL26" s="10"/>
      <c r="BM26" s="147">
        <f t="shared" si="8"/>
        <v>0</v>
      </c>
      <c r="BN26" s="147">
        <f t="shared" si="9"/>
        <v>0</v>
      </c>
      <c r="BO26" s="149"/>
      <c r="BP26" s="49"/>
      <c r="BQ26" s="12"/>
      <c r="BR26" s="12"/>
      <c r="BS26" s="594"/>
      <c r="BT26" s="523"/>
      <c r="BU26" s="523"/>
      <c r="BV26" s="523"/>
      <c r="BW26" s="523"/>
      <c r="BX26" s="523"/>
      <c r="BY26" s="523"/>
      <c r="BZ26" s="523"/>
      <c r="CA26" s="523"/>
      <c r="CB26" s="523"/>
      <c r="CC26" s="494"/>
      <c r="CV26" s="64"/>
      <c r="CW26" s="148"/>
      <c r="CX26" s="109"/>
      <c r="CY26" s="132"/>
      <c r="CZ26" s="143"/>
      <c r="DA26" s="63"/>
      <c r="DB26" s="50"/>
      <c r="DC26" s="10"/>
      <c r="DD26" s="10"/>
      <c r="DE26" s="10"/>
      <c r="DF26" s="10"/>
      <c r="DG26" s="10"/>
      <c r="DH26" s="39"/>
      <c r="DI26" s="33">
        <f t="shared" si="4"/>
        <v>0</v>
      </c>
      <c r="DJ26" s="52" t="b">
        <f>IF(AND(CZ26="CLIENT S+L",DA26="HUILE"),(DN26*3333.33+(VLOOKUP(DC26,'BASE '!$I$112:$J$142,2,0)))-((DN26*3333.33)*DB26),IF(AND(CZ26="CLIENT S+L",DA26="LAIT"),((DN26*952.4)-(DN26*952.4)*DB26),IF(CZ26="CLIENT O","OFFERT",IF(AND(DA26="HUILE",CZ26="CLIENT L"),(((VLOOKUP(DC26,'BASE '!$I$112:$J$142,2,0))+(VLOOKUP(DN26,'BASE '!#REF!,2,0)))),IF(AND(DA26="LAIT",CZ26="CLIENT L"),(DN26*952.4),IF(AND(DA26="HUILE",CZ26="CLIENT D"),(DN26*3809.53+(VLOOKUP(DC26,'BASE '!$I$112:$J$142,2,0))),IF(AND(DA26="LAIT",CZ26="CLIENT D"),(DN26*952.4),IF(AND(DA26="HUILE",CZ26="CLIENT S+D"),((DN26*3809.53+(VLOOKUP(DC26,'BASE '!$I$112:$J$142,2,0)))-((DN26*3809.53)*DB26)),IF(AND(DA26="LAIT",CZ26="CLIENT S+D"),((DN26*952.4)-((DN26*952.4)*DB26)),IF(AND(CZ26="CLIENT S",DA26="LAIT"),((DN26*952.4)-((DN26*952.4)*DB26)),IF(AND(DA26="HUILE",CZ26="CLIENT S"),(VLOOKUP(DC26,'BASE '!$I$112:$J$142,2,0)+(VLOOKUP(DN26,'BASE '!#REF!,2,0)))-(DB26*((VLOOKUP(DN26,'BASE '!#REF!,2,0)+(VLOOKUP(DC26,'BASE '!$I$112:$J$142,2,0))))))))))))))))</f>
        <v>0</v>
      </c>
      <c r="DK26" s="52" t="b">
        <f t="shared" si="5"/>
        <v>0</v>
      </c>
      <c r="DL26" s="53" t="b">
        <f t="shared" si="12"/>
        <v>0</v>
      </c>
      <c r="DM26" s="149"/>
      <c r="DN26" s="116">
        <f t="shared" si="13"/>
        <v>0</v>
      </c>
      <c r="DO26" s="124"/>
      <c r="DP26" s="42"/>
      <c r="DQ26" s="70"/>
      <c r="DR26" s="159"/>
      <c r="DS26" s="159"/>
      <c r="DT26" s="159"/>
      <c r="DU26" s="160"/>
      <c r="DV26" s="95"/>
      <c r="DW26" s="95"/>
      <c r="DX26" s="95"/>
      <c r="DY26" s="96"/>
    </row>
    <row r="27" spans="2:129" ht="15" customHeight="1" x14ac:dyDescent="0.3">
      <c r="B27" s="64"/>
      <c r="C27" s="148"/>
      <c r="D27" s="109"/>
      <c r="E27" s="63"/>
      <c r="F27" s="127"/>
      <c r="G27" s="50"/>
      <c r="H27" s="10"/>
      <c r="I27" s="10"/>
      <c r="J27" s="10"/>
      <c r="K27" s="10"/>
      <c r="L27" s="10"/>
      <c r="M27" s="39"/>
      <c r="N27" s="33">
        <f t="shared" si="0"/>
        <v>0</v>
      </c>
      <c r="O27" s="52" t="b">
        <f>IF(AND(E27="CLIENT S+L",F27="HUILE"),(S27*3333.33+(VLOOKUP(H27,'BASE '!$I$112:$J$142,2,0)))-((S27*3333.33)*G27),IF(AND(E27="CLIENT S+L",F27="LAIT"),((S27*952.4)-(S27*952.4)*G27),IF(E27="CLIENT O","OFFERT",IF(AND(F27="HUILE",E27="CLIENT L"),(((VLOOKUP(H27,'BASE '!$I$112:$J$142,2,0))+(VLOOKUP(S27,'BASE '!#REF!,2,0)))),IF(AND(F27="LAIT",E27="CLIENT L"),(S27*952.4),IF(AND(F27="HUILE",E27="CLIENT D"),(S27*3809.53+(VLOOKUP(H27,'BASE '!$I$112:$J$142,2,0))),IF(AND(F27="LAIT",E27="CLIENT D"),(S27*952.4),IF(AND(F27="HUILE",E27="CLIENT S+D"),((S27*3809.53+(VLOOKUP(H27,'BASE '!$I$112:$J$142,2,0)))-((S27*3809.53)*G27)),IF(AND(F27="LAIT",E27="CLIENT S+D"),((S27*952.4)-((S27*952.4)*G27)),IF(AND(E27="CLIENT S",F27="LAIT"),((S27*952.4)-((S27*952.4)*G27)),IF(AND(F27="HUILE",E27="CLIENT S"),(VLOOKUP(H27,'BASE '!$I$112:$J$142,2,0)+(VLOOKUP(S27,'BASE '!#REF!,2,0)))-(G27*((VLOOKUP(S27,'BASE '!#REF!,2,0)+(VLOOKUP(H27,'BASE '!$I$112:$J$142,2,0))))))))))))))))</f>
        <v>0</v>
      </c>
      <c r="P27" s="52" t="b">
        <f t="shared" si="1"/>
        <v>0</v>
      </c>
      <c r="Q27" s="53" t="b">
        <f t="shared" si="2"/>
        <v>0</v>
      </c>
      <c r="R27" s="152" t="s">
        <v>175</v>
      </c>
      <c r="S27" s="184">
        <f t="shared" si="6"/>
        <v>0</v>
      </c>
      <c r="T27" s="124"/>
      <c r="U27" s="41" t="s">
        <v>175</v>
      </c>
      <c r="V27" s="70" t="e">
        <f>VLOOKUP(U27,'BASE '!$A$4:$H$144,2,0)</f>
        <v>#N/A</v>
      </c>
      <c r="W27" s="159"/>
      <c r="X27" s="159"/>
      <c r="Y27" s="160"/>
      <c r="Z27" s="158" t="e">
        <f>VLOOKUP(U27,'BASE '!$A$4:$H$144,3,0)</f>
        <v>#N/A</v>
      </c>
      <c r="AA27" s="94" t="e">
        <f t="shared" si="3"/>
        <v>#N/A</v>
      </c>
      <c r="AB27" s="95" t="e">
        <f>VLOOKUP(U27,'BASE '!$A$4:$H$144,6,0)*Y27/100</f>
        <v>#N/A</v>
      </c>
      <c r="AC27" s="95" t="e">
        <f>VLOOKUP(U27,'BASE '!$A$4:$H$144,7,0)*Y27/100</f>
        <v>#N/A</v>
      </c>
      <c r="AD27" s="95" t="e">
        <f>VLOOKUP(U27,'BASE '!$A$4:$H$144,8,0)*Y27/100</f>
        <v>#N/A</v>
      </c>
      <c r="AE27" s="96" t="e">
        <f t="shared" si="7"/>
        <v>#N/A</v>
      </c>
      <c r="AF27" s="431"/>
      <c r="AG27" s="91" t="s">
        <v>157</v>
      </c>
      <c r="AH27" s="36" t="e">
        <f>SUMIFS($H$6:$H$165,$D$6:$D$165,AF27,CHOIX,AG27)</f>
        <v>#NAME?</v>
      </c>
      <c r="AI27" s="36" t="e">
        <f>SUMIFS($I$6:$I$165,$D$6:$D$165,AF27,CHOIX,AG27)</f>
        <v>#NAME?</v>
      </c>
      <c r="AJ27" s="36" t="e">
        <f>SUMIFS($J$6:$J$165,$D$6:$D$165,AF27,CHOIX,AG27)</f>
        <v>#NAME?</v>
      </c>
      <c r="AK27" s="36" t="e">
        <f>SUMIFS($K$6:$K$165,$D$6:$D$165,AF27,CHOIX,AG27)</f>
        <v>#NAME?</v>
      </c>
      <c r="AL27" s="36" t="e">
        <f>SUMIFS($L$6:$L$165,$D$6:$D$165,AF27,CHOIX,AG27)</f>
        <v>#NAME?</v>
      </c>
      <c r="AM27" s="36" t="e">
        <f>SUMIFS($M$6:$M$165,$D$6:$D$165,AF27,CHOIX,AG27)</f>
        <v>#NAME?</v>
      </c>
      <c r="AN27" s="91" t="s">
        <v>157</v>
      </c>
      <c r="AO27" s="83"/>
      <c r="AP27" s="63"/>
      <c r="AQ27" s="63"/>
      <c r="AR27" s="63"/>
      <c r="AS27" s="79"/>
      <c r="AT27" s="79"/>
      <c r="AU27" s="55" t="e">
        <f>SUMIFS($O$6:$O$165,$D$6:$D$165,AF27,CHOIX,AG27)</f>
        <v>#NAME?</v>
      </c>
      <c r="AV27" s="80" t="e">
        <f>SUMIFS($Q$6:$Q$165,$D$6:$D$165,AF27,CHOIX,AG27)</f>
        <v>#NAME?</v>
      </c>
      <c r="AW27" s="12"/>
      <c r="AX27" s="12"/>
      <c r="AY27" s="12"/>
      <c r="AZ27" s="8"/>
      <c r="BA27" s="148"/>
      <c r="BB27" s="148"/>
      <c r="BC27" s="148"/>
      <c r="BD27" s="10"/>
      <c r="BE27" s="10"/>
      <c r="BF27" s="10"/>
      <c r="BG27" s="10"/>
      <c r="BH27" s="10"/>
      <c r="BI27" s="10"/>
      <c r="BJ27" s="10"/>
      <c r="BK27" s="10"/>
      <c r="BL27" s="10"/>
      <c r="BM27" s="147">
        <f t="shared" si="8"/>
        <v>0</v>
      </c>
      <c r="BN27" s="147">
        <f t="shared" si="9"/>
        <v>0</v>
      </c>
      <c r="BO27" s="149"/>
      <c r="BP27" s="49"/>
      <c r="BQ27" s="12"/>
      <c r="BR27" s="12"/>
      <c r="BS27" s="12"/>
      <c r="BT27" s="12"/>
      <c r="BU27" s="12"/>
      <c r="BV27" s="51"/>
      <c r="BW27" s="51"/>
      <c r="BX27" s="12"/>
      <c r="CV27" s="64"/>
      <c r="CW27" s="148"/>
      <c r="CX27" s="109"/>
      <c r="CY27" s="132"/>
      <c r="CZ27" s="143"/>
      <c r="DA27" s="63"/>
      <c r="DB27" s="50"/>
      <c r="DC27" s="10"/>
      <c r="DD27" s="10"/>
      <c r="DE27" s="10"/>
      <c r="DF27" s="10"/>
      <c r="DG27" s="10"/>
      <c r="DH27" s="39"/>
      <c r="DI27" s="33">
        <f t="shared" si="4"/>
        <v>0</v>
      </c>
      <c r="DJ27" s="52" t="b">
        <f>IF(AND(CZ27="CLIENT S+L",DA27="HUILE"),(DN27*3333.33+(VLOOKUP(DC27,'BASE '!$I$112:$J$142,2,0)))-((DN27*3333.33)*DB27),IF(AND(CZ27="CLIENT S+L",DA27="LAIT"),((DN27*952.4)-(DN27*952.4)*DB27),IF(CZ27="CLIENT O","OFFERT",IF(AND(DA27="HUILE",CZ27="CLIENT L"),(((VLOOKUP(DC27,'BASE '!$I$112:$J$142,2,0))+(VLOOKUP(DN27,'BASE '!#REF!,2,0)))),IF(AND(DA27="LAIT",CZ27="CLIENT L"),(DN27*952.4),IF(AND(DA27="HUILE",CZ27="CLIENT D"),(DN27*3809.53+(VLOOKUP(DC27,'BASE '!$I$112:$J$142,2,0))),IF(AND(DA27="LAIT",CZ27="CLIENT D"),(DN27*952.4),IF(AND(DA27="HUILE",CZ27="CLIENT S+D"),((DN27*3809.53+(VLOOKUP(DC27,'BASE '!$I$112:$J$142,2,0)))-((DN27*3809.53)*DB27)),IF(AND(DA27="LAIT",CZ27="CLIENT S+D"),((DN27*952.4)-((DN27*952.4)*DB27)),IF(AND(CZ27="CLIENT S",DA27="LAIT"),((DN27*952.4)-((DN27*952.4)*DB27)),IF(AND(DA27="HUILE",CZ27="CLIENT S"),(VLOOKUP(DC27,'BASE '!$I$112:$J$142,2,0)+(VLOOKUP(DN27,'BASE '!#REF!,2,0)))-(DB27*((VLOOKUP(DN27,'BASE '!#REF!,2,0)+(VLOOKUP(DC27,'BASE '!$I$112:$J$142,2,0))))))))))))))))</f>
        <v>0</v>
      </c>
      <c r="DK27" s="52" t="b">
        <f t="shared" si="5"/>
        <v>0</v>
      </c>
      <c r="DL27" s="53" t="b">
        <f t="shared" si="12"/>
        <v>0</v>
      </c>
      <c r="DM27" s="149"/>
      <c r="DN27" s="116">
        <f t="shared" si="13"/>
        <v>0</v>
      </c>
      <c r="DO27" s="124"/>
      <c r="DP27" s="42"/>
      <c r="DQ27" s="70"/>
      <c r="DR27" s="159"/>
      <c r="DS27" s="159"/>
      <c r="DT27" s="159"/>
      <c r="DU27" s="160"/>
      <c r="DV27" s="95"/>
      <c r="DW27" s="95"/>
      <c r="DX27" s="95"/>
      <c r="DY27" s="96"/>
    </row>
    <row r="28" spans="2:129" ht="15" customHeight="1" x14ac:dyDescent="0.3">
      <c r="B28" s="64"/>
      <c r="C28" s="148"/>
      <c r="D28" s="109"/>
      <c r="E28" s="63"/>
      <c r="F28" s="127"/>
      <c r="G28" s="50"/>
      <c r="H28" s="10"/>
      <c r="I28" s="10"/>
      <c r="J28" s="10"/>
      <c r="K28" s="10"/>
      <c r="L28" s="10"/>
      <c r="M28" s="39"/>
      <c r="N28" s="33">
        <f t="shared" si="0"/>
        <v>0</v>
      </c>
      <c r="O28" s="52" t="b">
        <f>IF(AND(E28="CLIENT S+L",F28="HUILE"),(S28*3333.33+(VLOOKUP(H28,'BASE '!$I$112:$J$142,2,0)))-((S28*3333.33)*G28),IF(AND(E28="CLIENT S+L",F28="LAIT"),((S28*952.4)-(S28*952.4)*G28),IF(E28="CLIENT O","OFFERT",IF(AND(F28="HUILE",E28="CLIENT L"),(((VLOOKUP(H28,'BASE '!$I$112:$J$142,2,0))+(VLOOKUP(S28,'BASE '!#REF!,2,0)))),IF(AND(F28="LAIT",E28="CLIENT L"),(S28*952.4),IF(AND(F28="HUILE",E28="CLIENT D"),(S28*3809.53+(VLOOKUP(H28,'BASE '!$I$112:$J$142,2,0))),IF(AND(F28="LAIT",E28="CLIENT D"),(S28*952.4),IF(AND(F28="HUILE",E28="CLIENT S+D"),((S28*3809.53+(VLOOKUP(H28,'BASE '!$I$112:$J$142,2,0)))-((S28*3809.53)*G28)),IF(AND(F28="LAIT",E28="CLIENT S+D"),((S28*952.4)-((S28*952.4)*G28)),IF(AND(E28="CLIENT S",F28="LAIT"),((S28*952.4)-((S28*952.4)*G28)),IF(AND(F28="HUILE",E28="CLIENT S"),(VLOOKUP(H28,'BASE '!$I$112:$J$142,2,0)+(VLOOKUP(S28,'BASE '!#REF!,2,0)))-(G28*((VLOOKUP(S28,'BASE '!#REF!,2,0)+(VLOOKUP(H28,'BASE '!$I$112:$J$142,2,0))))))))))))))))</f>
        <v>0</v>
      </c>
      <c r="P28" s="52" t="b">
        <f t="shared" si="1"/>
        <v>0</v>
      </c>
      <c r="Q28" s="53" t="b">
        <f t="shared" si="2"/>
        <v>0</v>
      </c>
      <c r="R28" s="152" t="s">
        <v>175</v>
      </c>
      <c r="S28" s="184">
        <f t="shared" si="6"/>
        <v>0</v>
      </c>
      <c r="T28" s="124"/>
      <c r="U28" s="41" t="s">
        <v>175</v>
      </c>
      <c r="V28" s="70" t="e">
        <f>VLOOKUP(U28,'BASE '!$A$4:$H$144,2,0)</f>
        <v>#N/A</v>
      </c>
      <c r="W28" s="159"/>
      <c r="X28" s="159"/>
      <c r="Y28" s="160"/>
      <c r="Z28" s="158" t="e">
        <f>VLOOKUP(U28,'BASE '!$A$4:$H$144,3,0)</f>
        <v>#N/A</v>
      </c>
      <c r="AA28" s="94" t="e">
        <f t="shared" si="3"/>
        <v>#N/A</v>
      </c>
      <c r="AB28" s="95" t="e">
        <f>VLOOKUP(U28,'BASE '!$A$4:$H$144,6,0)*Y28/100</f>
        <v>#N/A</v>
      </c>
      <c r="AC28" s="95" t="e">
        <f>VLOOKUP(U28,'BASE '!$A$4:$H$144,7,0)*Y28/100</f>
        <v>#N/A</v>
      </c>
      <c r="AD28" s="95" t="e">
        <f>VLOOKUP(U28,'BASE '!$A$4:$H$144,8,0)*Y28/100</f>
        <v>#N/A</v>
      </c>
      <c r="AE28" s="96" t="e">
        <f t="shared" si="7"/>
        <v>#N/A</v>
      </c>
      <c r="AF28" s="431"/>
      <c r="AG28" s="1" t="s">
        <v>155</v>
      </c>
      <c r="AH28" s="36" t="e">
        <f>SUMIFS($H$6:$H$165,$D$6:$D$165,AF27,CHOIX,AG28)</f>
        <v>#NAME?</v>
      </c>
      <c r="AI28" s="36" t="e">
        <f>SUMIFS($I$6:$I$165,$D$6:$D$165,AF27,CHOIX,AG28)</f>
        <v>#NAME?</v>
      </c>
      <c r="AJ28" s="36" t="e">
        <f>SUMIFS($J$6:$J$165,$D$6:$D$165,AF27,CHOIX,AG28)</f>
        <v>#NAME?</v>
      </c>
      <c r="AK28" s="36" t="e">
        <f>SUMIFS($K$6:$K$165,$D$6:$D$165,AF27,CHOIX,AG28)</f>
        <v>#NAME?</v>
      </c>
      <c r="AL28" s="36" t="e">
        <f>SUMIFS($L$6:$L$165,$D$6:$D$165,AF27,CHOIX,AG28)</f>
        <v>#NAME?</v>
      </c>
      <c r="AM28" s="36" t="e">
        <f>SUMIFS($M$6:$M$165,$D$6:$D$165,AF27,CHOIX,AG28)</f>
        <v>#NAME?</v>
      </c>
      <c r="AN28" s="1" t="s">
        <v>155</v>
      </c>
      <c r="AO28" s="83"/>
      <c r="AP28" s="63"/>
      <c r="AQ28" s="63"/>
      <c r="AR28" s="63"/>
      <c r="AS28" s="79"/>
      <c r="AT28" s="79"/>
      <c r="AU28" s="55" t="e">
        <f>SUMIFS($O$6:$O$165,$D$6:$D$165,AF27,CHOIX,AG28)</f>
        <v>#NAME?</v>
      </c>
      <c r="AV28" s="80" t="e">
        <f>SUMIFS($Q$6:$Q$165,$D$6:$D$165,AF27,CHOIX,AG28)</f>
        <v>#NAME?</v>
      </c>
      <c r="AW28" s="12"/>
      <c r="AX28" s="12"/>
      <c r="AY28" s="12"/>
      <c r="AZ28" s="8"/>
      <c r="BA28" s="148"/>
      <c r="BB28" s="148"/>
      <c r="BC28" s="148"/>
      <c r="BD28" s="10"/>
      <c r="BE28" s="10"/>
      <c r="BF28" s="10"/>
      <c r="BG28" s="10"/>
      <c r="BH28" s="10"/>
      <c r="BI28" s="10"/>
      <c r="BJ28" s="10"/>
      <c r="BK28" s="10"/>
      <c r="BL28" s="10"/>
      <c r="BM28" s="147">
        <f t="shared" si="8"/>
        <v>0</v>
      </c>
      <c r="BN28" s="147">
        <f t="shared" si="9"/>
        <v>0</v>
      </c>
      <c r="BO28" s="149"/>
      <c r="BP28" s="49"/>
      <c r="BQ28" s="12"/>
      <c r="BR28" s="12"/>
      <c r="BS28" s="12"/>
      <c r="BT28" s="12"/>
      <c r="BU28" s="12"/>
      <c r="BV28" s="51"/>
      <c r="BW28" s="51"/>
      <c r="BX28" s="12"/>
      <c r="CV28" s="64"/>
      <c r="CW28" s="148"/>
      <c r="CX28" s="109"/>
      <c r="CY28" s="132"/>
      <c r="CZ28" s="143"/>
      <c r="DA28" s="63"/>
      <c r="DB28" s="50"/>
      <c r="DC28" s="10"/>
      <c r="DD28" s="10"/>
      <c r="DE28" s="10"/>
      <c r="DF28" s="10"/>
      <c r="DG28" s="10"/>
      <c r="DH28" s="39"/>
      <c r="DI28" s="33">
        <f t="shared" si="4"/>
        <v>0</v>
      </c>
      <c r="DJ28" s="52" t="b">
        <f>IF(AND(CZ28="CLIENT S+L",DA28="HUILE"),(DN28*3333.33+(VLOOKUP(DC28,'BASE '!$I$112:$J$142,2,0)))-((DN28*3333.33)*DB28),IF(AND(CZ28="CLIENT S+L",DA28="LAIT"),((DN28*952.4)-(DN28*952.4)*DB28),IF(CZ28="CLIENT O","OFFERT",IF(AND(DA28="HUILE",CZ28="CLIENT L"),(((VLOOKUP(DC28,'BASE '!$I$112:$J$142,2,0))+(VLOOKUP(DN28,'BASE '!#REF!,2,0)))),IF(AND(DA28="LAIT",CZ28="CLIENT L"),(DN28*952.4),IF(AND(DA28="HUILE",CZ28="CLIENT D"),(DN28*3809.53+(VLOOKUP(DC28,'BASE '!$I$112:$J$142,2,0))),IF(AND(DA28="LAIT",CZ28="CLIENT D"),(DN28*952.4),IF(AND(DA28="HUILE",CZ28="CLIENT S+D"),((DN28*3809.53+(VLOOKUP(DC28,'BASE '!$I$112:$J$142,2,0)))-((DN28*3809.53)*DB28)),IF(AND(DA28="LAIT",CZ28="CLIENT S+D"),((DN28*952.4)-((DN28*952.4)*DB28)),IF(AND(CZ28="CLIENT S",DA28="LAIT"),((DN28*952.4)-((DN28*952.4)*DB28)),IF(AND(DA28="HUILE",CZ28="CLIENT S"),(VLOOKUP(DC28,'BASE '!$I$112:$J$142,2,0)+(VLOOKUP(DN28,'BASE '!#REF!,2,0)))-(DB28*((VLOOKUP(DN28,'BASE '!#REF!,2,0)+(VLOOKUP(DC28,'BASE '!$I$112:$J$142,2,0))))))))))))))))</f>
        <v>0</v>
      </c>
      <c r="DK28" s="52" t="b">
        <f t="shared" si="5"/>
        <v>0</v>
      </c>
      <c r="DL28" s="53" t="b">
        <f t="shared" si="12"/>
        <v>0</v>
      </c>
      <c r="DM28" s="149"/>
      <c r="DN28" s="116">
        <f t="shared" si="13"/>
        <v>0</v>
      </c>
      <c r="DO28" s="124"/>
      <c r="DP28" s="42"/>
      <c r="DQ28" s="70"/>
      <c r="DR28" s="159"/>
      <c r="DS28" s="159"/>
      <c r="DT28" s="159"/>
      <c r="DU28" s="160"/>
      <c r="DV28" s="95"/>
      <c r="DW28" s="95"/>
      <c r="DX28" s="95"/>
      <c r="DY28" s="96"/>
    </row>
    <row r="29" spans="2:129" ht="15" customHeight="1" thickBot="1" x14ac:dyDescent="0.35">
      <c r="B29" s="64"/>
      <c r="C29" s="148"/>
      <c r="D29" s="109"/>
      <c r="E29" s="63"/>
      <c r="F29" s="127"/>
      <c r="G29" s="50"/>
      <c r="H29" s="10"/>
      <c r="I29" s="10"/>
      <c r="J29" s="10"/>
      <c r="K29" s="10"/>
      <c r="L29" s="10"/>
      <c r="M29" s="39"/>
      <c r="N29" s="33">
        <f t="shared" si="0"/>
        <v>0</v>
      </c>
      <c r="O29" s="52" t="b">
        <f>IF(AND(E29="CLIENT S+L",F29="HUILE"),(S29*3333.33+(VLOOKUP(H29,'BASE '!$I$112:$J$142,2,0)))-((S29*3333.33)*G29),IF(AND(E29="CLIENT S+L",F29="LAIT"),((S29*952.4)-(S29*952.4)*G29),IF(E29="CLIENT O","OFFERT",IF(AND(F29="HUILE",E29="CLIENT L"),(((VLOOKUP(H29,'BASE '!$I$112:$J$142,2,0))+(VLOOKUP(S29,'BASE '!#REF!,2,0)))),IF(AND(F29="LAIT",E29="CLIENT L"),(S29*952.4),IF(AND(F29="HUILE",E29="CLIENT D"),(S29*3809.53+(VLOOKUP(H29,'BASE '!$I$112:$J$142,2,0))),IF(AND(F29="LAIT",E29="CLIENT D"),(S29*952.4),IF(AND(F29="HUILE",E29="CLIENT S+D"),((S29*3809.53+(VLOOKUP(H29,'BASE '!$I$112:$J$142,2,0)))-((S29*3809.53)*G29)),IF(AND(F29="LAIT",E29="CLIENT S+D"),((S29*952.4)-((S29*952.4)*G29)),IF(AND(E29="CLIENT S",F29="LAIT"),((S29*952.4)-((S29*952.4)*G29)),IF(AND(F29="HUILE",E29="CLIENT S"),(VLOOKUP(H29,'BASE '!$I$112:$J$142,2,0)+(VLOOKUP(S29,'BASE '!#REF!,2,0)))-(G29*((VLOOKUP(S29,'BASE '!#REF!,2,0)+(VLOOKUP(H29,'BASE '!$I$112:$J$142,2,0))))))))))))))))</f>
        <v>0</v>
      </c>
      <c r="P29" s="52" t="b">
        <f t="shared" si="1"/>
        <v>0</v>
      </c>
      <c r="Q29" s="53" t="b">
        <f t="shared" si="2"/>
        <v>0</v>
      </c>
      <c r="R29" s="152" t="s">
        <v>175</v>
      </c>
      <c r="S29" s="184">
        <f t="shared" si="6"/>
        <v>0</v>
      </c>
      <c r="T29" s="124"/>
      <c r="U29" s="41" t="s">
        <v>175</v>
      </c>
      <c r="V29" s="70" t="e">
        <f>VLOOKUP(U29,'BASE '!$A$4:$H$144,2,0)</f>
        <v>#N/A</v>
      </c>
      <c r="W29" s="159"/>
      <c r="X29" s="159"/>
      <c r="Y29" s="160"/>
      <c r="Z29" s="158" t="e">
        <f>VLOOKUP(U29,'BASE '!$A$4:$H$144,3,0)</f>
        <v>#N/A</v>
      </c>
      <c r="AA29" s="94" t="e">
        <f t="shared" si="3"/>
        <v>#N/A</v>
      </c>
      <c r="AB29" s="95" t="e">
        <f>VLOOKUP(U29,'BASE '!$A$4:$H$144,6,0)*Y29/100</f>
        <v>#N/A</v>
      </c>
      <c r="AC29" s="95" t="e">
        <f>VLOOKUP(U29,'BASE '!$A$4:$H$144,7,0)*Y29/100</f>
        <v>#N/A</v>
      </c>
      <c r="AD29" s="95" t="e">
        <f>VLOOKUP(U29,'BASE '!$A$4:$H$144,8,0)*Y29/100</f>
        <v>#N/A</v>
      </c>
      <c r="AE29" s="96" t="e">
        <f t="shared" si="7"/>
        <v>#N/A</v>
      </c>
      <c r="AF29" s="431"/>
      <c r="AG29" s="91" t="s">
        <v>157</v>
      </c>
      <c r="AH29" s="36" t="e">
        <f>SUMIFS($H$6:$H$165,$D$6:$D$165,AF29,CHOIX,AG29)</f>
        <v>#NAME?</v>
      </c>
      <c r="AI29" s="36" t="e">
        <f>SUMIFS($I$6:$I$165,$D$6:$D$165,AF29,CHOIX,AG29)</f>
        <v>#NAME?</v>
      </c>
      <c r="AJ29" s="36" t="e">
        <f>SUMIFS($J$6:$J$165,$D$6:$D$165,AF29,CHOIX,AG29)</f>
        <v>#NAME?</v>
      </c>
      <c r="AK29" s="36" t="e">
        <f>SUMIFS($K$6:$K$165,$D$6:$D$165,AF29,CHOIX,AG29)</f>
        <v>#NAME?</v>
      </c>
      <c r="AL29" s="36" t="e">
        <f>SUMIFS($L$6:$L$165,$D$6:$D$165,AF29,CHOIX,AG29)</f>
        <v>#NAME?</v>
      </c>
      <c r="AM29" s="36" t="e">
        <f>SUMIFS($M$6:$M$165,$D$6:$D$165,AF29,CHOIX,AG29)</f>
        <v>#NAME?</v>
      </c>
      <c r="AN29" s="91" t="s">
        <v>157</v>
      </c>
      <c r="AO29" s="83"/>
      <c r="AP29" s="63"/>
      <c r="AQ29" s="63"/>
      <c r="AR29" s="63"/>
      <c r="AS29" s="79"/>
      <c r="AT29" s="79"/>
      <c r="AU29" s="55" t="e">
        <f>SUMIFS($O$6:$O$165,$D$6:$D$165,AF29,CHOIX,AG29)</f>
        <v>#NAME?</v>
      </c>
      <c r="AV29" s="80" t="e">
        <f>SUMIFS($Q$6:$Q$165,$D$6:$D$165,AF29,CHOIX,AG29)</f>
        <v>#NAME?</v>
      </c>
      <c r="AW29" s="12"/>
      <c r="AX29" s="12"/>
      <c r="AY29" s="12"/>
      <c r="AZ29" s="8"/>
      <c r="BA29" s="148"/>
      <c r="BB29" s="148"/>
      <c r="BC29" s="148"/>
      <c r="BD29" s="10"/>
      <c r="BE29" s="10"/>
      <c r="BF29" s="10"/>
      <c r="BG29" s="10"/>
      <c r="BH29" s="10"/>
      <c r="BI29" s="10"/>
      <c r="BJ29" s="10"/>
      <c r="BK29" s="10"/>
      <c r="BL29" s="10"/>
      <c r="BM29" s="147">
        <f t="shared" si="8"/>
        <v>0</v>
      </c>
      <c r="BN29" s="147">
        <f t="shared" si="9"/>
        <v>0</v>
      </c>
      <c r="BO29" s="149"/>
      <c r="BP29" s="49"/>
      <c r="BQ29" s="12"/>
      <c r="BR29" s="12"/>
      <c r="BS29" s="12"/>
      <c r="BT29" s="12"/>
      <c r="BU29" s="12"/>
      <c r="BV29" s="51"/>
      <c r="BW29" s="51"/>
      <c r="BX29" s="12"/>
      <c r="CV29" s="64"/>
      <c r="CW29" s="148"/>
      <c r="CX29" s="109"/>
      <c r="CY29" s="132"/>
      <c r="CZ29" s="143"/>
      <c r="DA29" s="63"/>
      <c r="DB29" s="50"/>
      <c r="DC29" s="10"/>
      <c r="DD29" s="10"/>
      <c r="DE29" s="10"/>
      <c r="DF29" s="10"/>
      <c r="DG29" s="10"/>
      <c r="DH29" s="39"/>
      <c r="DI29" s="33">
        <f t="shared" si="4"/>
        <v>0</v>
      </c>
      <c r="DJ29" s="52" t="b">
        <f>IF(AND(CZ29="CLIENT S+L",DA29="HUILE"),(DO29*3333.33+(VLOOKUP(DC29,'BASE '!$I$112:$J$142,2,0)))-((DO29*3333.33)*DB29),IF(AND(CZ29="CLIENT S+L",DA29="LAIT"),((DO29*952.4)-(DO29*952.4)*DB29),IF(CZ29="CLIENT O","OFFERT",IF(AND(DA29="HUILE",CZ29="CLIENT L"),(((VLOOKUP(DC29,'BASE '!$I$112:$J$142,2,0))+(VLOOKUP(DO29,'BASE '!#REF!,2,0)))),IF(AND(DA29="LAIT",CZ29="CLIENT L"),(DO29*952.4),IF(AND(DA29="HUILE",CZ29="CLIENT D"),(DO29*3809.53+(VLOOKUP(DC29,'BASE '!$I$112:$J$142,2,0))),IF(AND(DA29="LAIT",CZ29="CLIENT D"),(DO29*952.4),IF(AND(DA29="HUILE",CZ29="CLIENT S+D"),((DO29*3809.53+(VLOOKUP(DC29,'BASE '!$I$112:$J$142,2,0)))-((DO29*3809.53)*DB29)),IF(AND(DA29="LAIT",CZ29="CLIENT S+D"),((DO29*952.4)-((DO29*952.4)*DB29)),IF(AND(CZ29="CLIENT S",DA29="LAIT"),((DO29*952.4)-((DO29*952.4)*DB29)),IF(AND(DA29="HUILE",CZ29="CLIENT S"),(VLOOKUP(DC29,'BASE '!$I$112:$J$142,2,0)+(VLOOKUP(DO29,'BASE '!#REF!,2,0)))-(DB29*((VLOOKUP(DO29,'BASE '!#REF!,2,0)+(VLOOKUP(DC29,'BASE '!$I$112:$J$142,2,0))))))))))))))))</f>
        <v>0</v>
      </c>
      <c r="DK29" s="52" t="b">
        <f t="shared" si="5"/>
        <v>0</v>
      </c>
      <c r="DL29" s="53" t="b">
        <f t="shared" si="12"/>
        <v>0</v>
      </c>
      <c r="DM29" s="149"/>
      <c r="DO29" s="124"/>
      <c r="DP29" s="42"/>
      <c r="DQ29" s="70"/>
      <c r="DR29" s="159"/>
      <c r="DS29" s="159"/>
      <c r="DT29" s="159"/>
      <c r="DU29" s="160"/>
      <c r="DV29" s="95"/>
      <c r="DW29" s="95"/>
      <c r="DX29" s="95"/>
      <c r="DY29" s="96"/>
    </row>
    <row r="30" spans="2:129" ht="15" customHeight="1" thickBot="1" x14ac:dyDescent="0.35">
      <c r="B30" s="64"/>
      <c r="C30" s="148"/>
      <c r="D30" s="109"/>
      <c r="E30" s="63"/>
      <c r="F30" s="127"/>
      <c r="G30" s="50"/>
      <c r="H30" s="10"/>
      <c r="I30" s="10"/>
      <c r="J30" s="10"/>
      <c r="K30" s="10"/>
      <c r="L30" s="10"/>
      <c r="M30" s="39"/>
      <c r="N30" s="33">
        <f t="shared" si="0"/>
        <v>0</v>
      </c>
      <c r="O30" s="52" t="b">
        <f>IF(AND(E30="CLIENT S+L",F30="HUILE"),(S30*3333.33+(VLOOKUP(H30,'BASE '!$I$112:$J$142,2,0)))-((S30*3333.33)*G30),IF(AND(E30="CLIENT S+L",F30="LAIT"),((S30*952.4)-(S30*952.4)*G30),IF(E30="CLIENT O","OFFERT",IF(AND(F30="HUILE",E30="CLIENT L"),(((VLOOKUP(H30,'BASE '!$I$112:$J$142,2,0))+(VLOOKUP(S30,'BASE '!#REF!,2,0)))),IF(AND(F30="LAIT",E30="CLIENT L"),(S30*952.4),IF(AND(F30="HUILE",E30="CLIENT D"),(S30*3809.53+(VLOOKUP(H30,'BASE '!$I$112:$J$142,2,0))),IF(AND(F30="LAIT",E30="CLIENT D"),(S30*952.4),IF(AND(F30="HUILE",E30="CLIENT S+D"),((S30*3809.53+(VLOOKUP(H30,'BASE '!$I$112:$J$142,2,0)))-((S30*3809.53)*G30)),IF(AND(F30="LAIT",E30="CLIENT S+D"),((S30*952.4)-((S30*952.4)*G30)),IF(AND(E30="CLIENT S",F30="LAIT"),((S30*952.4)-((S30*952.4)*G30)),IF(AND(F30="HUILE",E30="CLIENT S"),(VLOOKUP(H30,'BASE '!$I$112:$J$142,2,0)+(VLOOKUP(S30,'BASE '!#REF!,2,0)))-(G30*((VLOOKUP(S30,'BASE '!#REF!,2,0)+(VLOOKUP(H30,'BASE '!$I$112:$J$142,2,0))))))))))))))))</f>
        <v>0</v>
      </c>
      <c r="P30" s="52" t="b">
        <f t="shared" si="1"/>
        <v>0</v>
      </c>
      <c r="Q30" s="53" t="b">
        <f t="shared" si="2"/>
        <v>0</v>
      </c>
      <c r="R30" s="152" t="s">
        <v>175</v>
      </c>
      <c r="S30" s="184">
        <f t="shared" si="6"/>
        <v>0</v>
      </c>
      <c r="T30" s="124"/>
      <c r="U30" s="41" t="s">
        <v>175</v>
      </c>
      <c r="V30" s="70" t="e">
        <f>VLOOKUP(U30,'BASE '!$A$4:$H$144,2,0)</f>
        <v>#N/A</v>
      </c>
      <c r="W30" s="159"/>
      <c r="X30" s="159"/>
      <c r="Y30" s="160"/>
      <c r="Z30" s="158" t="e">
        <f>VLOOKUP(U30,'BASE '!$A$4:$H$144,3,0)</f>
        <v>#N/A</v>
      </c>
      <c r="AA30" s="94" t="e">
        <f t="shared" si="3"/>
        <v>#N/A</v>
      </c>
      <c r="AB30" s="95" t="e">
        <f>VLOOKUP(U30,'BASE '!$A$4:$H$144,6,0)*Y30/100</f>
        <v>#N/A</v>
      </c>
      <c r="AC30" s="95" t="e">
        <f>VLOOKUP(U30,'BASE '!$A$4:$H$144,7,0)*Y30/100</f>
        <v>#N/A</v>
      </c>
      <c r="AD30" s="95" t="e">
        <f>VLOOKUP(U30,'BASE '!$A$4:$H$144,8,0)*Y30/100</f>
        <v>#N/A</v>
      </c>
      <c r="AE30" s="96" t="e">
        <f t="shared" si="7"/>
        <v>#N/A</v>
      </c>
      <c r="AF30" s="431"/>
      <c r="AG30" s="1" t="s">
        <v>155</v>
      </c>
      <c r="AH30" s="36" t="e">
        <f>SUMIFS($H$6:$H$165,$D$6:$D$165,AF29,CHOIX,AG30)</f>
        <v>#NAME?</v>
      </c>
      <c r="AI30" s="36" t="e">
        <f>SUMIFS($I$6:$I$165,$D$6:$D$165,AF29,CHOIX,AG30)</f>
        <v>#NAME?</v>
      </c>
      <c r="AJ30" s="36" t="e">
        <f>SUMIFS($J$6:$J$165,$D$6:$D$165,AF29,CHOIX,AG30)</f>
        <v>#NAME?</v>
      </c>
      <c r="AK30" s="36" t="e">
        <f>SUMIFS($K$6:$K$165,$D$6:$D$165,AF29,CHOIX,AG30)</f>
        <v>#NAME?</v>
      </c>
      <c r="AL30" s="36" t="e">
        <f>SUMIFS($L$6:$L$165,$D$6:$D$165,AF29,CHOIX,AG30)</f>
        <v>#NAME?</v>
      </c>
      <c r="AM30" s="36" t="e">
        <f>SUMIFS($M$6:$M$165,$D$6:$D$165,AF29,CHOIX,AG30)</f>
        <v>#NAME?</v>
      </c>
      <c r="AN30" s="1" t="s">
        <v>155</v>
      </c>
      <c r="AO30" s="83"/>
      <c r="AP30" s="63"/>
      <c r="AQ30" s="63"/>
      <c r="AR30" s="63"/>
      <c r="AS30" s="79"/>
      <c r="AT30" s="79"/>
      <c r="AU30" s="55" t="e">
        <f>SUMIFS($O$6:$O$165,$D$6:$D$165,AF29,CHOIX,AG30)</f>
        <v>#NAME?</v>
      </c>
      <c r="AV30" s="80" t="e">
        <f>SUMIFS($Q$6:$Q$165,$D$6:$D$165,AF29,CHOIX,AG30)</f>
        <v>#NAME?</v>
      </c>
      <c r="AW30" s="12"/>
      <c r="AX30" s="12"/>
      <c r="AY30" s="12"/>
      <c r="AZ30" s="8"/>
      <c r="BA30" s="148"/>
      <c r="BB30" s="148"/>
      <c r="BC30" s="148"/>
      <c r="BD30" s="10"/>
      <c r="BE30" s="10"/>
      <c r="BF30" s="10"/>
      <c r="BG30" s="10"/>
      <c r="BH30" s="10"/>
      <c r="BI30" s="10"/>
      <c r="BJ30" s="10"/>
      <c r="BK30" s="10"/>
      <c r="BL30" s="10"/>
      <c r="BM30" s="147">
        <f t="shared" si="8"/>
        <v>0</v>
      </c>
      <c r="BN30" s="147">
        <f t="shared" si="9"/>
        <v>0</v>
      </c>
      <c r="BO30" s="149"/>
      <c r="BP30" s="49"/>
      <c r="BQ30" s="12"/>
      <c r="BR30" s="12"/>
      <c r="CV30" s="597" t="s">
        <v>186</v>
      </c>
      <c r="CW30" s="597"/>
      <c r="CX30" s="597"/>
      <c r="CY30" s="597"/>
      <c r="CZ30" s="597"/>
      <c r="DA30" s="597"/>
      <c r="DB30" s="597"/>
      <c r="DC30" s="537">
        <f>SUMIF($DA$6:$DA$29,"HUILE",DC6:DC29)</f>
        <v>0</v>
      </c>
      <c r="DD30" s="537">
        <f t="shared" ref="DD30:DI30" si="28">SUMIF($DA$6:$DA$29,"HUILE",DD6:DD29)</f>
        <v>0</v>
      </c>
      <c r="DE30" s="537">
        <f t="shared" si="28"/>
        <v>0</v>
      </c>
      <c r="DF30" s="537">
        <f t="shared" si="28"/>
        <v>0</v>
      </c>
      <c r="DG30" s="537">
        <f t="shared" si="28"/>
        <v>0</v>
      </c>
      <c r="DH30" s="537">
        <f t="shared" si="28"/>
        <v>0</v>
      </c>
      <c r="DI30" s="537">
        <f t="shared" si="28"/>
        <v>0</v>
      </c>
      <c r="DJ30" s="596"/>
      <c r="DK30" s="596"/>
      <c r="DL30" s="596"/>
      <c r="DM30" s="596"/>
      <c r="DO30" s="124"/>
      <c r="DP30" s="42"/>
      <c r="DQ30" s="70"/>
      <c r="DR30" s="159"/>
      <c r="DS30" s="159"/>
      <c r="DT30" s="159"/>
      <c r="DU30" s="160"/>
      <c r="DV30" s="95"/>
      <c r="DW30" s="95"/>
      <c r="DX30" s="95"/>
      <c r="DY30" s="96"/>
    </row>
    <row r="31" spans="2:129" ht="15" customHeight="1" thickBot="1" x14ac:dyDescent="0.35">
      <c r="B31" s="64"/>
      <c r="C31" s="148"/>
      <c r="D31" s="109"/>
      <c r="E31" s="63"/>
      <c r="F31" s="127"/>
      <c r="G31" s="50"/>
      <c r="H31" s="10"/>
      <c r="I31" s="10"/>
      <c r="J31" s="10"/>
      <c r="K31" s="10"/>
      <c r="L31" s="10"/>
      <c r="M31" s="39"/>
      <c r="N31" s="33">
        <f t="shared" si="0"/>
        <v>0</v>
      </c>
      <c r="O31" s="52" t="b">
        <f>IF(AND(E31="CLIENT S+L",F31="HUILE"),(S31*3333.33+(VLOOKUP(H31,'BASE '!$I$112:$J$142,2,0)))-((S31*3333.33)*G31),IF(AND(E31="CLIENT S+L",F31="LAIT"),((S31*952.4)-(S31*952.4)*G31),IF(E31="CLIENT O","OFFERT",IF(AND(F31="HUILE",E31="CLIENT L"),(((VLOOKUP(H31,'BASE '!$I$112:$J$142,2,0))+(VLOOKUP(S31,'BASE '!#REF!,2,0)))),IF(AND(F31="LAIT",E31="CLIENT L"),(S31*952.4),IF(AND(F31="HUILE",E31="CLIENT D"),(S31*3809.53+(VLOOKUP(H31,'BASE '!$I$112:$J$142,2,0))),IF(AND(F31="LAIT",E31="CLIENT D"),(S31*952.4),IF(AND(F31="HUILE",E31="CLIENT S+D"),((S31*3809.53+(VLOOKUP(H31,'BASE '!$I$112:$J$142,2,0)))-((S31*3809.53)*G31)),IF(AND(F31="LAIT",E31="CLIENT S+D"),((S31*952.4)-((S31*952.4)*G31)),IF(AND(E31="CLIENT S",F31="LAIT"),((S31*952.4)-((S31*952.4)*G31)),IF(AND(F31="HUILE",E31="CLIENT S"),(VLOOKUP(H31,'BASE '!$I$112:$J$142,2,0)+(VLOOKUP(S31,'BASE '!#REF!,2,0)))-(G31*((VLOOKUP(S31,'BASE '!#REF!,2,0)+(VLOOKUP(H31,'BASE '!$I$112:$J$142,2,0))))))))))))))))</f>
        <v>0</v>
      </c>
      <c r="P31" s="52" t="b">
        <f t="shared" si="1"/>
        <v>0</v>
      </c>
      <c r="Q31" s="53" t="b">
        <f t="shared" si="2"/>
        <v>0</v>
      </c>
      <c r="R31" s="152" t="s">
        <v>175</v>
      </c>
      <c r="S31" s="184">
        <f t="shared" si="6"/>
        <v>0</v>
      </c>
      <c r="T31" s="124"/>
      <c r="U31" s="41" t="s">
        <v>175</v>
      </c>
      <c r="V31" s="70" t="e">
        <f>VLOOKUP(U31,'BASE '!$A$4:$H$144,2,0)</f>
        <v>#N/A</v>
      </c>
      <c r="W31" s="159"/>
      <c r="X31" s="159"/>
      <c r="Y31" s="160"/>
      <c r="Z31" s="158" t="e">
        <f>VLOOKUP(U31,'BASE '!$A$4:$H$144,3,0)</f>
        <v>#N/A</v>
      </c>
      <c r="AA31" s="94" t="e">
        <f t="shared" si="3"/>
        <v>#N/A</v>
      </c>
      <c r="AB31" s="95" t="e">
        <f>VLOOKUP(U31,'BASE '!$A$4:$H$144,6,0)*Y31/100</f>
        <v>#N/A</v>
      </c>
      <c r="AC31" s="95" t="e">
        <f>VLOOKUP(U31,'BASE '!$A$4:$H$144,7,0)*Y31/100</f>
        <v>#N/A</v>
      </c>
      <c r="AD31" s="95" t="e">
        <f>VLOOKUP(U31,'BASE '!$A$4:$H$144,8,0)*Y31/100</f>
        <v>#N/A</v>
      </c>
      <c r="AE31" s="96" t="e">
        <f t="shared" si="7"/>
        <v>#N/A</v>
      </c>
      <c r="AF31" s="431"/>
      <c r="AG31" s="91" t="s">
        <v>157</v>
      </c>
      <c r="AH31" s="36" t="e">
        <f>SUMIFS($H$6:$H$165,$D$6:$D$165,AF31,CHOIX,AG31)</f>
        <v>#NAME?</v>
      </c>
      <c r="AI31" s="36" t="e">
        <f>SUMIFS($I$6:$I$165,$D$6:$D$165,AF31,CHOIX,AG31)</f>
        <v>#NAME?</v>
      </c>
      <c r="AJ31" s="36" t="e">
        <f>SUMIFS($J$6:$J$165,$D$6:$D$165,AF31,CHOIX,AG31)</f>
        <v>#NAME?</v>
      </c>
      <c r="AK31" s="36" t="e">
        <f>SUMIFS($K$6:$K$165,$D$6:$D$165,AF31,CHOIX,AG31)</f>
        <v>#NAME?</v>
      </c>
      <c r="AL31" s="36" t="e">
        <f>SUMIFS($L$6:$L$165,$D$6:$D$165,AF31,CHOIX,AG31)</f>
        <v>#NAME?</v>
      </c>
      <c r="AM31" s="36" t="e">
        <f>SUMIFS($M$6:$M$165,$D$6:$D$165,AF31,CHOIX,AG31)</f>
        <v>#NAME?</v>
      </c>
      <c r="AN31" s="91" t="s">
        <v>157</v>
      </c>
      <c r="AO31" s="83"/>
      <c r="AP31" s="63"/>
      <c r="AQ31" s="63"/>
      <c r="AR31" s="63"/>
      <c r="AS31" s="79"/>
      <c r="AT31" s="79"/>
      <c r="AU31" s="55" t="e">
        <f>SUMIFS($O$6:$O$165,$D$6:$D$165,AF31,CHOIX,AG31)</f>
        <v>#NAME?</v>
      </c>
      <c r="AV31" s="80" t="e">
        <f>SUMIFS($Q$6:$Q$165,$D$6:$D$165,AF31,CHOIX,AG31)</f>
        <v>#NAME?</v>
      </c>
      <c r="AZ31" s="8"/>
      <c r="BA31" s="148"/>
      <c r="BB31" s="148"/>
      <c r="BC31" s="148"/>
      <c r="BD31" s="10"/>
      <c r="BE31" s="10"/>
      <c r="BF31" s="10"/>
      <c r="BG31" s="10"/>
      <c r="BH31" s="10"/>
      <c r="BI31" s="10"/>
      <c r="BJ31" s="10"/>
      <c r="BK31" s="10"/>
      <c r="BL31" s="10"/>
      <c r="BM31" s="147">
        <f t="shared" si="8"/>
        <v>0</v>
      </c>
      <c r="BN31" s="147">
        <f t="shared" si="9"/>
        <v>0</v>
      </c>
      <c r="BO31" s="149"/>
      <c r="BP31" s="49"/>
      <c r="BQ31" s="12"/>
      <c r="BR31" s="12"/>
      <c r="CV31" s="597"/>
      <c r="CW31" s="597"/>
      <c r="CX31" s="597"/>
      <c r="CY31" s="597"/>
      <c r="CZ31" s="597"/>
      <c r="DA31" s="597"/>
      <c r="DB31" s="597"/>
      <c r="DC31" s="538"/>
      <c r="DD31" s="538"/>
      <c r="DE31" s="538"/>
      <c r="DF31" s="538"/>
      <c r="DG31" s="538"/>
      <c r="DH31" s="538"/>
      <c r="DI31" s="538"/>
      <c r="DJ31" s="596"/>
      <c r="DK31" s="596"/>
      <c r="DL31" s="596"/>
      <c r="DM31" s="596"/>
      <c r="DO31" s="124"/>
      <c r="DP31" s="42"/>
      <c r="DQ31" s="70"/>
      <c r="DR31" s="159"/>
      <c r="DS31" s="159"/>
      <c r="DT31" s="159"/>
      <c r="DU31" s="160"/>
      <c r="DV31" s="95"/>
      <c r="DW31" s="95"/>
      <c r="DX31" s="95"/>
      <c r="DY31" s="96"/>
    </row>
    <row r="32" spans="2:129" ht="15" customHeight="1" thickBot="1" x14ac:dyDescent="0.35">
      <c r="B32" s="64"/>
      <c r="C32" s="148"/>
      <c r="D32" s="109"/>
      <c r="E32" s="63"/>
      <c r="F32" s="127"/>
      <c r="G32" s="50"/>
      <c r="H32" s="10"/>
      <c r="I32" s="10"/>
      <c r="J32" s="10"/>
      <c r="K32" s="10"/>
      <c r="L32" s="10"/>
      <c r="M32" s="39"/>
      <c r="N32" s="33">
        <f t="shared" si="0"/>
        <v>0</v>
      </c>
      <c r="O32" s="52" t="b">
        <f>IF(AND(E32="CLIENT S+L",F32="HUILE"),(S32*3333.33+(VLOOKUP(H32,'BASE '!$I$112:$J$142,2,0)))-((S32*3333.33)*G32),IF(AND(E32="CLIENT S+L",F32="LAIT"),((S32*952.4)-(S32*952.4)*G32),IF(E32="CLIENT O","OFFERT",IF(AND(F32="HUILE",E32="CLIENT L"),(((VLOOKUP(H32,'BASE '!$I$112:$J$142,2,0))+(VLOOKUP(S32,'BASE '!#REF!,2,0)))),IF(AND(F32="LAIT",E32="CLIENT L"),(S32*952.4),IF(AND(F32="HUILE",E32="CLIENT D"),(S32*3809.53+(VLOOKUP(H32,'BASE '!$I$112:$J$142,2,0))),IF(AND(F32="LAIT",E32="CLIENT D"),(S32*952.4),IF(AND(F32="HUILE",E32="CLIENT S+D"),((S32*3809.53+(VLOOKUP(H32,'BASE '!$I$112:$J$142,2,0)))-((S32*3809.53)*G32)),IF(AND(F32="LAIT",E32="CLIENT S+D"),((S32*952.4)-((S32*952.4)*G32)),IF(AND(E32="CLIENT S",F32="LAIT"),((S32*952.4)-((S32*952.4)*G32)),IF(AND(F32="HUILE",E32="CLIENT S"),(VLOOKUP(H32,'BASE '!$I$112:$J$142,2,0)+(VLOOKUP(S32,'BASE '!#REF!,2,0)))-(G32*((VLOOKUP(S32,'BASE '!#REF!,2,0)+(VLOOKUP(H32,'BASE '!$I$112:$J$142,2,0))))))))))))))))</f>
        <v>0</v>
      </c>
      <c r="P32" s="52" t="b">
        <f t="shared" si="1"/>
        <v>0</v>
      </c>
      <c r="Q32" s="53" t="b">
        <f t="shared" si="2"/>
        <v>0</v>
      </c>
      <c r="R32" s="152" t="s">
        <v>175</v>
      </c>
      <c r="S32" s="184">
        <f t="shared" si="6"/>
        <v>0</v>
      </c>
      <c r="T32" s="124"/>
      <c r="U32" s="41" t="s">
        <v>175</v>
      </c>
      <c r="V32" s="70" t="e">
        <f>VLOOKUP(U32,'BASE '!$A$4:$H$144,2,0)</f>
        <v>#N/A</v>
      </c>
      <c r="W32" s="159"/>
      <c r="X32" s="159"/>
      <c r="Y32" s="160"/>
      <c r="Z32" s="158" t="e">
        <f>VLOOKUP(U32,'BASE '!$A$4:$H$144,3,0)</f>
        <v>#N/A</v>
      </c>
      <c r="AA32" s="94" t="e">
        <f t="shared" si="3"/>
        <v>#N/A</v>
      </c>
      <c r="AB32" s="95" t="e">
        <f>VLOOKUP(U32,'BASE '!$A$4:$H$144,6,0)*Y32/100</f>
        <v>#N/A</v>
      </c>
      <c r="AC32" s="95" t="e">
        <f>VLOOKUP(U32,'BASE '!$A$4:$H$144,7,0)*Y32/100</f>
        <v>#N/A</v>
      </c>
      <c r="AD32" s="95" t="e">
        <f>VLOOKUP(U32,'BASE '!$A$4:$H$144,8,0)*Y32/100</f>
        <v>#N/A</v>
      </c>
      <c r="AE32" s="96" t="e">
        <f t="shared" si="7"/>
        <v>#N/A</v>
      </c>
      <c r="AF32" s="431"/>
      <c r="AG32" s="1" t="s">
        <v>155</v>
      </c>
      <c r="AH32" s="36" t="e">
        <f>SUMIFS($H$6:$H$165,$D$6:$D$165,AF31,CHOIX,AG32)</f>
        <v>#NAME?</v>
      </c>
      <c r="AI32" s="36" t="e">
        <f>SUMIFS($I$6:$I$165,$D$6:$D$165,AF31,CHOIX,AG32)</f>
        <v>#NAME?</v>
      </c>
      <c r="AJ32" s="36" t="e">
        <f>SUMIFS($J$6:$J$165,$D$6:$D$165,AF31,CHOIX,AG32)</f>
        <v>#NAME?</v>
      </c>
      <c r="AK32" s="36" t="e">
        <f>SUMIFS($K$6:$K$165,$D$6:$D$165,AF31,CHOIX,AG32)</f>
        <v>#NAME?</v>
      </c>
      <c r="AL32" s="36" t="e">
        <f>SUMIFS($L$6:$L$165,$D$6:$D$165,AF31,CHOIX,AG32)</f>
        <v>#NAME?</v>
      </c>
      <c r="AM32" s="36" t="e">
        <f>SUMIFS($M$6:$M$165,$D$6:$D$165,AF31,CHOIX,AG32)</f>
        <v>#NAME?</v>
      </c>
      <c r="AN32" s="1" t="s">
        <v>155</v>
      </c>
      <c r="AO32" s="83"/>
      <c r="AP32" s="63"/>
      <c r="AQ32" s="63"/>
      <c r="AR32" s="63"/>
      <c r="AS32" s="79"/>
      <c r="AT32" s="79"/>
      <c r="AU32" s="55" t="e">
        <f>SUMIFS($O$6:$O$165,$D$6:$D$165,AF31,CHOIX,AG32)</f>
        <v>#NAME?</v>
      </c>
      <c r="AV32" s="80" t="e">
        <f>SUMIFS($Q$6:$Q$165,$D$6:$D$165,AF31,CHOIX,AG32)</f>
        <v>#NAME?</v>
      </c>
      <c r="AZ32" s="8"/>
      <c r="BA32" s="148"/>
      <c r="BB32" s="148"/>
      <c r="BC32" s="148"/>
      <c r="BD32" s="10"/>
      <c r="BE32" s="10"/>
      <c r="BF32" s="10"/>
      <c r="BG32" s="10"/>
      <c r="BH32" s="10"/>
      <c r="BI32" s="10"/>
      <c r="BJ32" s="10"/>
      <c r="BK32" s="10"/>
      <c r="BL32" s="10"/>
      <c r="BM32" s="147">
        <f t="shared" si="8"/>
        <v>0</v>
      </c>
      <c r="BN32" s="147">
        <f t="shared" si="9"/>
        <v>0</v>
      </c>
      <c r="BO32" s="149"/>
      <c r="BP32" s="166"/>
      <c r="BQ32" s="12"/>
      <c r="BR32" s="12"/>
      <c r="CV32" s="597" t="s">
        <v>181</v>
      </c>
      <c r="CW32" s="597"/>
      <c r="CX32" s="597"/>
      <c r="CY32" s="597"/>
      <c r="CZ32" s="597"/>
      <c r="DA32" s="597"/>
      <c r="DB32" s="597"/>
      <c r="DC32" s="537">
        <f>SUMIF($DA$6:$DA$29,"LAIT",DC8:DC31)</f>
        <v>0</v>
      </c>
      <c r="DD32" s="537">
        <f t="shared" ref="DD32:DI32" si="29">SUMIF($DA$6:$DA$29,"LAIT",DD8:DD31)</f>
        <v>0</v>
      </c>
      <c r="DE32" s="537">
        <f t="shared" si="29"/>
        <v>0</v>
      </c>
      <c r="DF32" s="537">
        <f t="shared" si="29"/>
        <v>0</v>
      </c>
      <c r="DG32" s="537">
        <f t="shared" si="29"/>
        <v>0</v>
      </c>
      <c r="DH32" s="537">
        <f t="shared" si="29"/>
        <v>0</v>
      </c>
      <c r="DI32" s="537">
        <f t="shared" si="29"/>
        <v>0</v>
      </c>
      <c r="DJ32" s="598"/>
      <c r="DK32" s="599"/>
      <c r="DL32" s="599"/>
      <c r="DM32" s="600"/>
      <c r="DO32" s="124"/>
      <c r="DP32" s="42"/>
      <c r="DQ32" s="70"/>
      <c r="DR32" s="159"/>
      <c r="DS32" s="159"/>
      <c r="DT32" s="159"/>
      <c r="DU32" s="160"/>
      <c r="DV32" s="95"/>
      <c r="DW32" s="95"/>
      <c r="DX32" s="95"/>
      <c r="DY32" s="96"/>
    </row>
    <row r="33" spans="2:129" ht="15" thickBot="1" x14ac:dyDescent="0.35">
      <c r="B33" s="64"/>
      <c r="C33" s="148"/>
      <c r="D33" s="109"/>
      <c r="E33" s="63"/>
      <c r="F33" s="127"/>
      <c r="G33" s="50"/>
      <c r="H33" s="10"/>
      <c r="I33" s="10"/>
      <c r="J33" s="10"/>
      <c r="K33" s="10"/>
      <c r="L33" s="10"/>
      <c r="M33" s="39"/>
      <c r="N33" s="33">
        <f t="shared" si="0"/>
        <v>0</v>
      </c>
      <c r="O33" s="52" t="b">
        <f>IF(AND(E33="CLIENT S+L",F33="HUILE"),(S33*3333.33+(VLOOKUP(H33,'BASE '!$I$112:$J$142,2,0)))-((S33*3333.33)*G33),IF(AND(E33="CLIENT S+L",F33="LAIT"),((S33*952.4)-(S33*952.4)*G33),IF(E33="CLIENT O","OFFERT",IF(AND(F33="HUILE",E33="CLIENT L"),(((VLOOKUP(H33,'BASE '!$I$112:$J$142,2,0))+(VLOOKUP(S33,'BASE '!#REF!,2,0)))),IF(AND(F33="LAIT",E33="CLIENT L"),(S33*952.4),IF(AND(F33="HUILE",E33="CLIENT D"),(S33*3809.53+(VLOOKUP(H33,'BASE '!$I$112:$J$142,2,0))),IF(AND(F33="LAIT",E33="CLIENT D"),(S33*952.4),IF(AND(F33="HUILE",E33="CLIENT S+D"),((S33*3809.53+(VLOOKUP(H33,'BASE '!$I$112:$J$142,2,0)))-((S33*3809.53)*G33)),IF(AND(F33="LAIT",E33="CLIENT S+D"),((S33*952.4)-((S33*952.4)*G33)),IF(AND(E33="CLIENT S",F33="LAIT"),((S33*952.4)-((S33*952.4)*G33)),IF(AND(F33="HUILE",E33="CLIENT S"),(VLOOKUP(H33,'BASE '!$I$112:$J$142,2,0)+(VLOOKUP(S33,'BASE '!#REF!,2,0)))-(G33*((VLOOKUP(S33,'BASE '!#REF!,2,0)+(VLOOKUP(H33,'BASE '!$I$112:$J$142,2,0))))))))))))))))</f>
        <v>0</v>
      </c>
      <c r="P33" s="52" t="b">
        <f t="shared" si="1"/>
        <v>0</v>
      </c>
      <c r="Q33" s="53" t="b">
        <f t="shared" si="2"/>
        <v>0</v>
      </c>
      <c r="R33" s="152" t="s">
        <v>175</v>
      </c>
      <c r="S33" s="184">
        <f t="shared" si="6"/>
        <v>0</v>
      </c>
      <c r="T33" s="124"/>
      <c r="U33" s="41" t="s">
        <v>175</v>
      </c>
      <c r="V33" s="70" t="e">
        <f>VLOOKUP(U33,'BASE '!$A$4:$H$144,2,0)</f>
        <v>#N/A</v>
      </c>
      <c r="W33" s="159"/>
      <c r="X33" s="159"/>
      <c r="Y33" s="160"/>
      <c r="Z33" s="158" t="e">
        <f>VLOOKUP(U33,'BASE '!$A$4:$H$144,3,0)</f>
        <v>#N/A</v>
      </c>
      <c r="AA33" s="94" t="e">
        <f t="shared" si="3"/>
        <v>#N/A</v>
      </c>
      <c r="AB33" s="95" t="e">
        <f>VLOOKUP(U33,'BASE '!$A$4:$H$144,6,0)*Y33/100</f>
        <v>#N/A</v>
      </c>
      <c r="AC33" s="95" t="e">
        <f>VLOOKUP(U33,'BASE '!$A$4:$H$144,7,0)*Y33/100</f>
        <v>#N/A</v>
      </c>
      <c r="AD33" s="95" t="e">
        <f>VLOOKUP(U33,'BASE '!$A$4:$H$144,8,0)*Y33/100</f>
        <v>#N/A</v>
      </c>
      <c r="AE33" s="96" t="e">
        <f t="shared" si="7"/>
        <v>#N/A</v>
      </c>
      <c r="AF33" s="431"/>
      <c r="AG33" s="91" t="s">
        <v>157</v>
      </c>
      <c r="AH33" s="36" t="e">
        <f>SUMIFS($H$6:$H$165,$D$6:$D$165,AF33,CHOIX,AG33)</f>
        <v>#NAME?</v>
      </c>
      <c r="AI33" s="36" t="e">
        <f>SUMIFS($I$6:$I$165,$D$6:$D$165,AF33,CHOIX,AG33)</f>
        <v>#NAME?</v>
      </c>
      <c r="AJ33" s="36" t="e">
        <f>SUMIFS($J$6:$J$165,$D$6:$D$165,AF33,CHOIX,AG33)</f>
        <v>#NAME?</v>
      </c>
      <c r="AK33" s="36" t="e">
        <f>SUMIFS($K$6:$K$165,$D$6:$D$165,AF33,CHOIX,AG33)</f>
        <v>#NAME?</v>
      </c>
      <c r="AL33" s="36" t="e">
        <f>SUMIFS($L$6:$L$165,$D$6:$D$165,AF33,CHOIX,AG33)</f>
        <v>#NAME?</v>
      </c>
      <c r="AM33" s="36" t="e">
        <f>SUMIFS($M$6:$M$165,$D$6:$D$165,AF33,CHOIX,AG33)</f>
        <v>#NAME?</v>
      </c>
      <c r="AN33" s="91" t="s">
        <v>157</v>
      </c>
      <c r="AO33" s="83"/>
      <c r="AP33" s="63"/>
      <c r="AQ33" s="63"/>
      <c r="AR33" s="63"/>
      <c r="AS33" s="79"/>
      <c r="AT33" s="79"/>
      <c r="AU33" s="55" t="e">
        <f>SUMIFS($O$6:$O$165,$D$6:$D$165,AF33,CHOIX,AG33)</f>
        <v>#NAME?</v>
      </c>
      <c r="AV33" s="80" t="e">
        <f>SUMIFS($Q$6:$Q$165,$D$6:$D$165,AF33,CHOIX,AG33)</f>
        <v>#NAME?</v>
      </c>
      <c r="AZ33" s="8"/>
      <c r="BA33" s="148"/>
      <c r="BB33" s="148"/>
      <c r="BC33" s="148"/>
      <c r="BD33" s="10"/>
      <c r="BE33" s="10"/>
      <c r="BF33" s="10"/>
      <c r="BG33" s="10"/>
      <c r="BH33" s="10"/>
      <c r="BI33" s="10"/>
      <c r="BJ33" s="10"/>
      <c r="BK33" s="10"/>
      <c r="BL33" s="10"/>
      <c r="BM33" s="147">
        <f t="shared" si="8"/>
        <v>0</v>
      </c>
      <c r="BN33" s="147">
        <f t="shared" si="9"/>
        <v>0</v>
      </c>
      <c r="BO33" s="149"/>
      <c r="BP33" s="49"/>
      <c r="BQ33" s="12"/>
      <c r="BR33" s="12"/>
      <c r="CV33" s="597"/>
      <c r="CW33" s="597"/>
      <c r="CX33" s="597"/>
      <c r="CY33" s="597"/>
      <c r="CZ33" s="597"/>
      <c r="DA33" s="597"/>
      <c r="DB33" s="597"/>
      <c r="DC33" s="538"/>
      <c r="DD33" s="538"/>
      <c r="DE33" s="538"/>
      <c r="DF33" s="538"/>
      <c r="DG33" s="538"/>
      <c r="DH33" s="538"/>
      <c r="DI33" s="538"/>
      <c r="DJ33" s="601"/>
      <c r="DK33" s="602"/>
      <c r="DL33" s="602"/>
      <c r="DM33" s="603"/>
      <c r="DO33" s="124"/>
      <c r="DP33" s="42"/>
      <c r="DQ33" s="70"/>
      <c r="DR33" s="159"/>
      <c r="DS33" s="159"/>
      <c r="DT33" s="159"/>
      <c r="DU33" s="160"/>
      <c r="DV33" s="95"/>
      <c r="DW33" s="95"/>
      <c r="DX33" s="95"/>
      <c r="DY33" s="96"/>
    </row>
    <row r="34" spans="2:129" ht="15" thickBot="1" x14ac:dyDescent="0.35">
      <c r="B34" s="64"/>
      <c r="C34" s="148"/>
      <c r="D34" s="109"/>
      <c r="E34" s="63"/>
      <c r="F34" s="127"/>
      <c r="G34" s="50"/>
      <c r="H34" s="10"/>
      <c r="I34" s="10"/>
      <c r="J34" s="10"/>
      <c r="K34" s="10"/>
      <c r="L34" s="10"/>
      <c r="M34" s="39"/>
      <c r="N34" s="33">
        <f t="shared" si="0"/>
        <v>0</v>
      </c>
      <c r="O34" s="52" t="b">
        <f>IF(AND(E34="CLIENT S+L",F34="HUILE"),(S34*3333.33+(VLOOKUP(H34,'BASE '!$I$112:$J$142,2,0)))-((S34*3333.33)*G34),IF(AND(E34="CLIENT S+L",F34="LAIT"),((S34*952.4)-(S34*952.4)*G34),IF(E34="CLIENT O","OFFERT",IF(AND(F34="HUILE",E34="CLIENT L"),(((VLOOKUP(H34,'BASE '!$I$112:$J$142,2,0))+(VLOOKUP(S34,'BASE '!#REF!,2,0)))),IF(AND(F34="LAIT",E34="CLIENT L"),(S34*952.4),IF(AND(F34="HUILE",E34="CLIENT D"),(S34*3809.53+(VLOOKUP(H34,'BASE '!$I$112:$J$142,2,0))),IF(AND(F34="LAIT",E34="CLIENT D"),(S34*952.4),IF(AND(F34="HUILE",E34="CLIENT S+D"),((S34*3809.53+(VLOOKUP(H34,'BASE '!$I$112:$J$142,2,0)))-((S34*3809.53)*G34)),IF(AND(F34="LAIT",E34="CLIENT S+D"),((S34*952.4)-((S34*952.4)*G34)),IF(AND(E34="CLIENT S",F34="LAIT"),((S34*952.4)-((S34*952.4)*G34)),IF(AND(F34="HUILE",E34="CLIENT S"),(VLOOKUP(H34,'BASE '!$I$112:$J$142,2,0)+(VLOOKUP(S34,'BASE '!#REF!,2,0)))-(G34*((VLOOKUP(S34,'BASE '!#REF!,2,0)+(VLOOKUP(H34,'BASE '!$I$112:$J$142,2,0))))))))))))))))</f>
        <v>0</v>
      </c>
      <c r="P34" s="52" t="b">
        <f t="shared" si="1"/>
        <v>0</v>
      </c>
      <c r="Q34" s="53" t="b">
        <f t="shared" si="2"/>
        <v>0</v>
      </c>
      <c r="R34" s="152" t="s">
        <v>175</v>
      </c>
      <c r="S34" s="184">
        <f t="shared" si="6"/>
        <v>0</v>
      </c>
      <c r="T34" s="124"/>
      <c r="U34" s="41" t="s">
        <v>175</v>
      </c>
      <c r="V34" s="70" t="e">
        <f>VLOOKUP(U34,'BASE '!$A$4:$H$144,2,0)</f>
        <v>#N/A</v>
      </c>
      <c r="W34" s="159"/>
      <c r="X34" s="159"/>
      <c r="Y34" s="160"/>
      <c r="Z34" s="158" t="e">
        <f>VLOOKUP(U34,'BASE '!$A$4:$H$144,3,0)</f>
        <v>#N/A</v>
      </c>
      <c r="AA34" s="94" t="e">
        <f t="shared" si="3"/>
        <v>#N/A</v>
      </c>
      <c r="AB34" s="95" t="e">
        <f>VLOOKUP(U34,'BASE '!$A$4:$H$144,6,0)*Y34/100</f>
        <v>#N/A</v>
      </c>
      <c r="AC34" s="95" t="e">
        <f>VLOOKUP(U34,'BASE '!$A$4:$H$144,7,0)*Y34/100</f>
        <v>#N/A</v>
      </c>
      <c r="AD34" s="95" t="e">
        <f>VLOOKUP(U34,'BASE '!$A$4:$H$144,8,0)*Y34/100</f>
        <v>#N/A</v>
      </c>
      <c r="AE34" s="96" t="e">
        <f t="shared" si="7"/>
        <v>#N/A</v>
      </c>
      <c r="AF34" s="431"/>
      <c r="AG34" s="1" t="s">
        <v>155</v>
      </c>
      <c r="AH34" s="36" t="e">
        <f>SUMIFS($H$6:$H$165,$D$6:$D$165,AF33,CHOIX,AG34)</f>
        <v>#NAME?</v>
      </c>
      <c r="AI34" s="36" t="e">
        <f>SUMIFS($I$6:$I$165,$D$6:$D$165,AF33,CHOIX,AG34)</f>
        <v>#NAME?</v>
      </c>
      <c r="AJ34" s="36" t="e">
        <f>SUMIFS($J$6:$J$165,$D$6:$D$165,AF33,CHOIX,AG34)</f>
        <v>#NAME?</v>
      </c>
      <c r="AK34" s="36" t="e">
        <f>SUMIFS($K$6:$K$165,$D$6:$D$165,AF33,CHOIX,AG34)</f>
        <v>#NAME?</v>
      </c>
      <c r="AL34" s="36" t="e">
        <f>SUMIFS($L$6:$L$165,$D$6:$D$165,AF33,CHOIX,AG34)</f>
        <v>#NAME?</v>
      </c>
      <c r="AM34" s="36" t="e">
        <f>SUMIFS($M$6:$M$165,$D$6:$D$165,AF33,CHOIX,AG34)</f>
        <v>#NAME?</v>
      </c>
      <c r="AN34" s="1" t="s">
        <v>155</v>
      </c>
      <c r="AO34" s="83"/>
      <c r="AP34" s="63"/>
      <c r="AQ34" s="63"/>
      <c r="AR34" s="63"/>
      <c r="AS34" s="79"/>
      <c r="AT34" s="79"/>
      <c r="AU34" s="55" t="e">
        <f>SUMIFS($O$6:$O$165,$D$6:$D$165,AF33,CHOIX,AG34)</f>
        <v>#NAME?</v>
      </c>
      <c r="AV34" s="80" t="e">
        <f>SUMIFS($Q$6:$Q$165,$D$6:$D$165,AF33,CHOIX,AG34)</f>
        <v>#NAME?</v>
      </c>
      <c r="AZ34" s="8"/>
      <c r="BA34" s="148"/>
      <c r="BB34" s="148"/>
      <c r="BC34" s="148"/>
      <c r="BD34" s="10"/>
      <c r="BE34" s="10"/>
      <c r="BF34" s="10"/>
      <c r="BG34" s="10"/>
      <c r="BH34" s="10"/>
      <c r="BI34" s="10"/>
      <c r="BJ34" s="10"/>
      <c r="BK34" s="10"/>
      <c r="BL34" s="10"/>
      <c r="BM34" s="147">
        <f t="shared" si="8"/>
        <v>0</v>
      </c>
      <c r="BN34" s="147">
        <f t="shared" si="9"/>
        <v>0</v>
      </c>
      <c r="BO34" s="149"/>
      <c r="CV34" s="391" t="s">
        <v>28</v>
      </c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0">
        <f>SUMIF(DJ6:DJ29,"&lt;&gt;#N/A")</f>
        <v>0</v>
      </c>
      <c r="DJ34" s="390"/>
      <c r="DK34" s="390"/>
      <c r="DL34" s="390"/>
      <c r="DM34" s="390"/>
      <c r="DO34" s="124"/>
      <c r="DP34" s="42"/>
      <c r="DQ34" s="70"/>
      <c r="DR34" s="159"/>
      <c r="DS34" s="159"/>
      <c r="DT34" s="159"/>
      <c r="DU34" s="160"/>
      <c r="DV34" s="95"/>
      <c r="DW34" s="95"/>
      <c r="DX34" s="95"/>
      <c r="DY34" s="96"/>
    </row>
    <row r="35" spans="2:129" ht="15" thickBot="1" x14ac:dyDescent="0.35">
      <c r="B35" s="64"/>
      <c r="C35" s="148"/>
      <c r="D35" s="109"/>
      <c r="E35" s="63"/>
      <c r="F35" s="127"/>
      <c r="G35" s="50"/>
      <c r="H35" s="10"/>
      <c r="I35" s="10"/>
      <c r="J35" s="10"/>
      <c r="K35" s="10"/>
      <c r="L35" s="10"/>
      <c r="M35" s="39"/>
      <c r="N35" s="33">
        <f t="shared" si="0"/>
        <v>0</v>
      </c>
      <c r="O35" s="52" t="b">
        <f>IF(AND(E35="CLIENT S+L",F35="HUILE"),(S35*3333.33+(VLOOKUP(H35,'BASE '!$I$112:$J$142,2,0)))-((S35*3333.33)*G35),IF(AND(E35="CLIENT S+L",F35="LAIT"),((S35*952.4)-(S35*952.4)*G35),IF(E35="CLIENT O","OFFERT",IF(AND(F35="HUILE",E35="CLIENT L"),(((VLOOKUP(H35,'BASE '!$I$112:$J$142,2,0))+(VLOOKUP(S35,'BASE '!#REF!,2,0)))),IF(AND(F35="LAIT",E35="CLIENT L"),(S35*952.4),IF(AND(F35="HUILE",E35="CLIENT D"),(S35*3809.53+(VLOOKUP(H35,'BASE '!$I$112:$J$142,2,0))),IF(AND(F35="LAIT",E35="CLIENT D"),(S35*952.4),IF(AND(F35="HUILE",E35="CLIENT S+D"),((S35*3809.53+(VLOOKUP(H35,'BASE '!$I$112:$J$142,2,0)))-((S35*3809.53)*G35)),IF(AND(F35="LAIT",E35="CLIENT S+D"),((S35*952.4)-((S35*952.4)*G35)),IF(AND(E35="CLIENT S",F35="LAIT"),((S35*952.4)-((S35*952.4)*G35)),IF(AND(F35="HUILE",E35="CLIENT S"),(VLOOKUP(H35,'BASE '!$I$112:$J$142,2,0)+(VLOOKUP(S35,'BASE '!#REF!,2,0)))-(G35*((VLOOKUP(S35,'BASE '!#REF!,2,0)+(VLOOKUP(H35,'BASE '!$I$112:$J$142,2,0))))))))))))))))</f>
        <v>0</v>
      </c>
      <c r="P35" s="52" t="b">
        <f t="shared" si="1"/>
        <v>0</v>
      </c>
      <c r="Q35" s="53" t="b">
        <f t="shared" si="2"/>
        <v>0</v>
      </c>
      <c r="R35" s="152" t="s">
        <v>175</v>
      </c>
      <c r="S35" s="184">
        <f t="shared" si="6"/>
        <v>0</v>
      </c>
      <c r="T35" s="124"/>
      <c r="U35" s="41" t="s">
        <v>175</v>
      </c>
      <c r="V35" s="70" t="e">
        <f>VLOOKUP(U35,'BASE '!$A$4:$H$144,2,0)</f>
        <v>#N/A</v>
      </c>
      <c r="W35" s="159"/>
      <c r="X35" s="159"/>
      <c r="Y35" s="160"/>
      <c r="Z35" s="158" t="e">
        <f>VLOOKUP(U35,'BASE '!$A$4:$H$144,3,0)</f>
        <v>#N/A</v>
      </c>
      <c r="AA35" s="94" t="e">
        <f t="shared" si="3"/>
        <v>#N/A</v>
      </c>
      <c r="AB35" s="95" t="e">
        <f>VLOOKUP(U35,'BASE '!$A$4:$H$144,6,0)*Y35/100</f>
        <v>#N/A</v>
      </c>
      <c r="AC35" s="95" t="e">
        <f>VLOOKUP(U35,'BASE '!$A$4:$H$144,7,0)*Y35/100</f>
        <v>#N/A</v>
      </c>
      <c r="AD35" s="95" t="e">
        <f>VLOOKUP(U35,'BASE '!$A$4:$H$144,8,0)*Y35/100</f>
        <v>#N/A</v>
      </c>
      <c r="AE35" s="96" t="e">
        <f t="shared" si="7"/>
        <v>#N/A</v>
      </c>
      <c r="AF35" s="431"/>
      <c r="AG35" s="91" t="s">
        <v>157</v>
      </c>
      <c r="AH35" s="36" t="e">
        <f>SUMIFS($H$6:$H$165,$D$6:$D$165,AF35,CHOIX,AG35)</f>
        <v>#NAME?</v>
      </c>
      <c r="AI35" s="36" t="e">
        <f>SUMIFS($I$6:$I$165,$D$6:$D$165,AF35,CHOIX,AG35)</f>
        <v>#NAME?</v>
      </c>
      <c r="AJ35" s="36" t="e">
        <f>SUMIFS($J$6:$J$165,$D$6:$D$165,AF35,CHOIX,AG35)</f>
        <v>#NAME?</v>
      </c>
      <c r="AK35" s="36" t="e">
        <f>SUMIFS($K$6:$K$165,$D$6:$D$165,AF35,CHOIX,AG35)</f>
        <v>#NAME?</v>
      </c>
      <c r="AL35" s="36" t="e">
        <f>SUMIFS($L$6:$L$165,$D$6:$D$165,AF35,CHOIX,AG35)</f>
        <v>#NAME?</v>
      </c>
      <c r="AM35" s="36" t="e">
        <f>SUMIFS($M$6:$M$165,$D$6:$D$165,AF35,CHOIX,AG35)</f>
        <v>#NAME?</v>
      </c>
      <c r="AN35" s="91" t="s">
        <v>157</v>
      </c>
      <c r="AO35" s="83"/>
      <c r="AP35" s="63"/>
      <c r="AQ35" s="63"/>
      <c r="AR35" s="63"/>
      <c r="AS35" s="79"/>
      <c r="AT35" s="79"/>
      <c r="AU35" s="55" t="e">
        <f>SUMIFS($O$6:$O$165,$D$6:$D$165,AF35,CHOIX,AG35)</f>
        <v>#NAME?</v>
      </c>
      <c r="AV35" s="80" t="e">
        <f>SUMIFS($Q$6:$Q$165,$D$6:$D$165,AF35,CHOIX,AG35)</f>
        <v>#NAME?</v>
      </c>
      <c r="AZ35" s="8"/>
      <c r="BA35" s="148"/>
      <c r="BB35" s="148"/>
      <c r="BC35" s="148"/>
      <c r="BD35" s="10"/>
      <c r="BE35" s="10"/>
      <c r="BF35" s="10"/>
      <c r="BG35" s="10"/>
      <c r="BH35" s="10"/>
      <c r="BI35" s="10"/>
      <c r="BJ35" s="10"/>
      <c r="BK35" s="10"/>
      <c r="BL35" s="10"/>
      <c r="BM35" s="147">
        <f t="shared" si="8"/>
        <v>0</v>
      </c>
      <c r="BN35" s="147">
        <f t="shared" si="9"/>
        <v>0</v>
      </c>
      <c r="BO35" s="149"/>
      <c r="CV35" s="391"/>
      <c r="CW35" s="391"/>
      <c r="CX35" s="391"/>
      <c r="CY35" s="391"/>
      <c r="CZ35" s="391"/>
      <c r="DA35" s="391"/>
      <c r="DB35" s="391"/>
      <c r="DC35" s="391"/>
      <c r="DD35" s="391"/>
      <c r="DE35" s="391"/>
      <c r="DF35" s="391"/>
      <c r="DG35" s="391"/>
      <c r="DH35" s="391"/>
      <c r="DI35" s="390"/>
      <c r="DJ35" s="390"/>
      <c r="DK35" s="390"/>
      <c r="DL35" s="390"/>
      <c r="DM35" s="390"/>
      <c r="DN35" s="116" t="e">
        <f>(($I$5*#REF!)/100)+((#REF!*$J$5)/100)+(($K$5*#REF!)/100)+($L$5*#REF!)+($M$5*#REF!)</f>
        <v>#REF!</v>
      </c>
      <c r="DO35" s="124"/>
      <c r="DP35" s="42"/>
      <c r="DQ35" s="70"/>
      <c r="DR35" s="159"/>
      <c r="DS35" s="159"/>
      <c r="DT35" s="159"/>
      <c r="DU35" s="160"/>
      <c r="DV35" s="95"/>
      <c r="DW35" s="95"/>
      <c r="DX35" s="95"/>
      <c r="DY35" s="96"/>
    </row>
    <row r="36" spans="2:129" ht="15" thickBot="1" x14ac:dyDescent="0.35">
      <c r="B36" s="64"/>
      <c r="C36" s="148"/>
      <c r="D36" s="109"/>
      <c r="E36" s="63"/>
      <c r="F36" s="127"/>
      <c r="G36" s="50"/>
      <c r="H36" s="10"/>
      <c r="I36" s="10"/>
      <c r="J36" s="10"/>
      <c r="K36" s="10"/>
      <c r="L36" s="10"/>
      <c r="M36" s="39"/>
      <c r="N36" s="33">
        <f t="shared" si="0"/>
        <v>0</v>
      </c>
      <c r="O36" s="52" t="b">
        <f>IF(AND(E36="CLIENT S+L",F36="HUILE"),(S36*3333.33+(VLOOKUP(H36,'BASE '!$I$112:$J$142,2,0)))-((S36*3333.33)*G36),IF(AND(E36="CLIENT S+L",F36="LAIT"),((S36*952.4)-(S36*952.4)*G36),IF(E36="CLIENT O","OFFERT",IF(AND(F36="HUILE",E36="CLIENT L"),(((VLOOKUP(H36,'BASE '!$I$112:$J$142,2,0))+(VLOOKUP(S36,'BASE '!#REF!,2,0)))),IF(AND(F36="LAIT",E36="CLIENT L"),(S36*952.4),IF(AND(F36="HUILE",E36="CLIENT D"),(S36*3809.53+(VLOOKUP(H36,'BASE '!$I$112:$J$142,2,0))),IF(AND(F36="LAIT",E36="CLIENT D"),(S36*952.4),IF(AND(F36="HUILE",E36="CLIENT S+D"),((S36*3809.53+(VLOOKUP(H36,'BASE '!$I$112:$J$142,2,0)))-((S36*3809.53)*G36)),IF(AND(F36="LAIT",E36="CLIENT S+D"),((S36*952.4)-((S36*952.4)*G36)),IF(AND(E36="CLIENT S",F36="LAIT"),((S36*952.4)-((S36*952.4)*G36)),IF(AND(F36="HUILE",E36="CLIENT S"),(VLOOKUP(H36,'BASE '!$I$112:$J$142,2,0)+(VLOOKUP(S36,'BASE '!#REF!,2,0)))-(G36*((VLOOKUP(S36,'BASE '!#REF!,2,0)+(VLOOKUP(H36,'BASE '!$I$112:$J$142,2,0))))))))))))))))</f>
        <v>0</v>
      </c>
      <c r="P36" s="52" t="b">
        <f t="shared" si="1"/>
        <v>0</v>
      </c>
      <c r="Q36" s="53" t="b">
        <f t="shared" si="2"/>
        <v>0</v>
      </c>
      <c r="R36" s="152" t="s">
        <v>175</v>
      </c>
      <c r="S36" s="184">
        <f t="shared" si="6"/>
        <v>0</v>
      </c>
      <c r="T36" s="124"/>
      <c r="U36" s="41" t="s">
        <v>175</v>
      </c>
      <c r="V36" s="70" t="e">
        <f>VLOOKUP(U36,'BASE '!$A$4:$H$144,2,0)</f>
        <v>#N/A</v>
      </c>
      <c r="W36" s="159"/>
      <c r="X36" s="159"/>
      <c r="Y36" s="160"/>
      <c r="Z36" s="158" t="e">
        <f>VLOOKUP(U36,'BASE '!$A$4:$H$144,3,0)</f>
        <v>#N/A</v>
      </c>
      <c r="AA36" s="94" t="e">
        <f t="shared" si="3"/>
        <v>#N/A</v>
      </c>
      <c r="AB36" s="95" t="e">
        <f>VLOOKUP(U36,'BASE '!$A$4:$H$144,6,0)*Y36/100</f>
        <v>#N/A</v>
      </c>
      <c r="AC36" s="95" t="e">
        <f>VLOOKUP(U36,'BASE '!$A$4:$H$144,7,0)*Y36/100</f>
        <v>#N/A</v>
      </c>
      <c r="AD36" s="95" t="e">
        <f>VLOOKUP(U36,'BASE '!$A$4:$H$144,8,0)*Y36/100</f>
        <v>#N/A</v>
      </c>
      <c r="AE36" s="96" t="e">
        <f t="shared" si="7"/>
        <v>#N/A</v>
      </c>
      <c r="AF36" s="431"/>
      <c r="AG36" s="1" t="s">
        <v>155</v>
      </c>
      <c r="AH36" s="36" t="e">
        <f>SUMIFS($H$6:$H$165,$D$6:$D$165,AF35,CHOIX,AG36)</f>
        <v>#NAME?</v>
      </c>
      <c r="AI36" s="36" t="e">
        <f>SUMIFS($I$6:$I$165,$D$6:$D$165,AF35,CHOIX,AG36)</f>
        <v>#NAME?</v>
      </c>
      <c r="AJ36" s="36" t="e">
        <f>SUMIFS($J$6:$J$165,$D$6:$D$165,AF35,CHOIX,AG36)</f>
        <v>#NAME?</v>
      </c>
      <c r="AK36" s="36" t="e">
        <f>SUMIFS($K$6:$K$165,$D$6:$D$165,AF35,CHOIX,AG36)</f>
        <v>#NAME?</v>
      </c>
      <c r="AL36" s="36" t="e">
        <f>SUMIFS($L$6:$L$165,$D$6:$D$165,AF35,CHOIX,AG36)</f>
        <v>#NAME?</v>
      </c>
      <c r="AM36" s="36" t="e">
        <f>SUMIFS($M$6:$M$165,$D$6:$D$165,AF35,CHOIX,AG36)</f>
        <v>#NAME?</v>
      </c>
      <c r="AN36" s="1" t="s">
        <v>155</v>
      </c>
      <c r="AO36" s="83"/>
      <c r="AP36" s="63"/>
      <c r="AQ36" s="63"/>
      <c r="AR36" s="63"/>
      <c r="AS36" s="79"/>
      <c r="AT36" s="79"/>
      <c r="AU36" s="55" t="e">
        <f>SUMIFS($O$6:$O$165,$D$6:$D$165,AF35,CHOIX,AG36)</f>
        <v>#NAME?</v>
      </c>
      <c r="AV36" s="80" t="e">
        <f>SUMIFS($Q$6:$Q$165,$D$6:$D$165,AF35,CHOIX,AG36)</f>
        <v>#NAME?</v>
      </c>
      <c r="AZ36" s="8"/>
      <c r="BA36" s="148"/>
      <c r="BB36" s="148"/>
      <c r="BC36" s="148"/>
      <c r="BD36" s="10"/>
      <c r="BE36" s="10"/>
      <c r="BF36" s="10"/>
      <c r="BG36" s="10"/>
      <c r="BH36" s="10"/>
      <c r="BI36" s="10"/>
      <c r="BJ36" s="10"/>
      <c r="BK36" s="10"/>
      <c r="BL36" s="10"/>
      <c r="BM36" s="147">
        <f t="shared" si="8"/>
        <v>0</v>
      </c>
      <c r="BN36" s="147">
        <f t="shared" si="9"/>
        <v>0</v>
      </c>
      <c r="BO36" s="149"/>
      <c r="CV36" s="391" t="s">
        <v>29</v>
      </c>
      <c r="CW36" s="391"/>
      <c r="CX36" s="391"/>
      <c r="CY36" s="391"/>
      <c r="CZ36" s="391"/>
      <c r="DA36" s="391"/>
      <c r="DB36" s="391"/>
      <c r="DC36" s="391"/>
      <c r="DD36" s="391"/>
      <c r="DE36" s="391"/>
      <c r="DF36" s="391"/>
      <c r="DG36" s="391"/>
      <c r="DH36" s="391"/>
      <c r="DI36" s="391"/>
      <c r="DJ36" s="390">
        <f>SUMIF(DK6:DK29,"&lt;&gt;#N/A")</f>
        <v>0</v>
      </c>
      <c r="DK36" s="390"/>
      <c r="DL36" s="390"/>
      <c r="DM36" s="390"/>
      <c r="DN36" s="116" t="e">
        <f>(($I$5*#REF!)/100)+((#REF!*$J$5)/100)+(($K$5*#REF!)/100)+($L$5*#REF!)+($M$5*#REF!)</f>
        <v>#REF!</v>
      </c>
      <c r="DO36" s="125"/>
      <c r="DP36" s="126"/>
      <c r="DQ36" s="97"/>
      <c r="DR36" s="163"/>
      <c r="DS36" s="163"/>
      <c r="DT36" s="163"/>
      <c r="DU36" s="164"/>
      <c r="DV36" s="100"/>
      <c r="DW36" s="100"/>
      <c r="DX36" s="100"/>
      <c r="DY36" s="101"/>
    </row>
    <row r="37" spans="2:129" ht="15.6" thickTop="1" thickBot="1" x14ac:dyDescent="0.35">
      <c r="B37" s="64"/>
      <c r="C37" s="148"/>
      <c r="D37" s="109"/>
      <c r="E37" s="63"/>
      <c r="F37" s="127"/>
      <c r="G37" s="50"/>
      <c r="H37" s="10"/>
      <c r="I37" s="10"/>
      <c r="J37" s="10"/>
      <c r="K37" s="10"/>
      <c r="L37" s="10"/>
      <c r="M37" s="39"/>
      <c r="N37" s="33">
        <f t="shared" si="0"/>
        <v>0</v>
      </c>
      <c r="O37" s="52" t="b">
        <f>IF(AND(E37="CLIENT S+L",F37="HUILE"),(S37*3333.33+(VLOOKUP(H37,'BASE '!$I$112:$J$142,2,0)))-((S37*3333.33)*G37),IF(AND(E37="CLIENT S+L",F37="LAIT"),((S37*952.4)-(S37*952.4)*G37),IF(E37="CLIENT O","OFFERT",IF(AND(F37="HUILE",E37="CLIENT L"),(((VLOOKUP(H37,'BASE '!$I$112:$J$142,2,0))+(VLOOKUP(S37,'BASE '!#REF!,2,0)))),IF(AND(F37="LAIT",E37="CLIENT L"),(S37*952.4),IF(AND(F37="HUILE",E37="CLIENT D"),(S37*3809.53+(VLOOKUP(H37,'BASE '!$I$112:$J$142,2,0))),IF(AND(F37="LAIT",E37="CLIENT D"),(S37*952.4),IF(AND(F37="HUILE",E37="CLIENT S+D"),((S37*3809.53+(VLOOKUP(H37,'BASE '!$I$112:$J$142,2,0)))-((S37*3809.53)*G37)),IF(AND(F37="LAIT",E37="CLIENT S+D"),((S37*952.4)-((S37*952.4)*G37)),IF(AND(E37="CLIENT S",F37="LAIT"),((S37*952.4)-((S37*952.4)*G37)),IF(AND(F37="HUILE",E37="CLIENT S"),(VLOOKUP(H37,'BASE '!$I$112:$J$142,2,0)+(VLOOKUP(S37,'BASE '!#REF!,2,0)))-(G37*((VLOOKUP(S37,'BASE '!#REF!,2,0)+(VLOOKUP(H37,'BASE '!$I$112:$J$142,2,0))))))))))))))))</f>
        <v>0</v>
      </c>
      <c r="P37" s="52" t="b">
        <f t="shared" si="1"/>
        <v>0</v>
      </c>
      <c r="Q37" s="53" t="b">
        <f t="shared" si="2"/>
        <v>0</v>
      </c>
      <c r="R37" s="152" t="s">
        <v>175</v>
      </c>
      <c r="S37" s="184">
        <f t="shared" si="6"/>
        <v>0</v>
      </c>
      <c r="T37" s="124"/>
      <c r="U37" s="41" t="s">
        <v>175</v>
      </c>
      <c r="V37" s="70" t="e">
        <f>VLOOKUP(U37,'BASE '!$A$4:$H$144,2,0)</f>
        <v>#N/A</v>
      </c>
      <c r="W37" s="159"/>
      <c r="X37" s="159"/>
      <c r="Y37" s="160"/>
      <c r="Z37" s="158" t="e">
        <f>VLOOKUP(U37,'BASE '!$A$4:$H$144,3,0)</f>
        <v>#N/A</v>
      </c>
      <c r="AA37" s="94" t="e">
        <f t="shared" si="3"/>
        <v>#N/A</v>
      </c>
      <c r="AB37" s="95" t="e">
        <f>VLOOKUP(U37,'BASE '!$A$4:$H$144,6,0)*Y37/100</f>
        <v>#N/A</v>
      </c>
      <c r="AC37" s="95" t="e">
        <f>VLOOKUP(U37,'BASE '!$A$4:$H$144,7,0)*Y37/100</f>
        <v>#N/A</v>
      </c>
      <c r="AD37" s="95" t="e">
        <f>VLOOKUP(U37,'BASE '!$A$4:$H$144,8,0)*Y37/100</f>
        <v>#N/A</v>
      </c>
      <c r="AE37" s="96" t="e">
        <f t="shared" si="7"/>
        <v>#N/A</v>
      </c>
      <c r="AF37" s="431"/>
      <c r="AG37" s="91" t="s">
        <v>157</v>
      </c>
      <c r="AH37" s="36" t="e">
        <f>SUMIFS($H$6:$H$165,$D$6:$D$165,AF37,CHOIX,AG37)</f>
        <v>#NAME?</v>
      </c>
      <c r="AI37" s="36" t="e">
        <f>SUMIFS($I$6:$I$165,$D$6:$D$165,AF37,CHOIX,AG37)</f>
        <v>#NAME?</v>
      </c>
      <c r="AJ37" s="36" t="e">
        <f>SUMIFS($J$6:$J$165,$D$6:$D$165,AF37,CHOIX,AG37)</f>
        <v>#NAME?</v>
      </c>
      <c r="AK37" s="36" t="e">
        <f>SUMIFS($K$6:$K$165,$D$6:$D$165,AF37,CHOIX,AG37)</f>
        <v>#NAME?</v>
      </c>
      <c r="AL37" s="36" t="e">
        <f>SUMIFS($L$6:$L$165,$D$6:$D$165,AF37,CHOIX,AG37)</f>
        <v>#NAME?</v>
      </c>
      <c r="AM37" s="36" t="e">
        <f>SUMIFS($M$6:$M$165,$D$6:$D$165,AF37,CHOIX,AG37)</f>
        <v>#NAME?</v>
      </c>
      <c r="AN37" s="91" t="s">
        <v>157</v>
      </c>
      <c r="AO37" s="83"/>
      <c r="AP37" s="63"/>
      <c r="AQ37" s="63"/>
      <c r="AR37" s="63"/>
      <c r="AS37" s="79"/>
      <c r="AT37" s="79"/>
      <c r="AU37" s="55" t="e">
        <f>SUMIFS($O$6:$O$165,$D$6:$D$165,AF37,CHOIX,AG37)</f>
        <v>#NAME?</v>
      </c>
      <c r="AV37" s="80" t="e">
        <f>SUMIFS($Q$6:$Q$165,$D$6:$D$165,AF37,CHOIX,AG37)</f>
        <v>#NAME?</v>
      </c>
      <c r="AZ37" s="8"/>
      <c r="BA37" s="148"/>
      <c r="BB37" s="148"/>
      <c r="BC37" s="148"/>
      <c r="BD37" s="10"/>
      <c r="BE37" s="10"/>
      <c r="BF37" s="10"/>
      <c r="BG37" s="10"/>
      <c r="BH37" s="10"/>
      <c r="BI37" s="10"/>
      <c r="BJ37" s="10"/>
      <c r="BK37" s="10"/>
      <c r="BL37" s="10"/>
      <c r="BM37" s="147">
        <f t="shared" si="8"/>
        <v>0</v>
      </c>
      <c r="BN37" s="147">
        <f t="shared" si="9"/>
        <v>0</v>
      </c>
      <c r="BO37" s="149"/>
      <c r="CV37" s="391"/>
      <c r="CW37" s="391"/>
      <c r="CX37" s="391"/>
      <c r="CY37" s="391"/>
      <c r="CZ37" s="391"/>
      <c r="DA37" s="391"/>
      <c r="DB37" s="391"/>
      <c r="DC37" s="391"/>
      <c r="DD37" s="391"/>
      <c r="DE37" s="391"/>
      <c r="DF37" s="391"/>
      <c r="DG37" s="391"/>
      <c r="DH37" s="391"/>
      <c r="DI37" s="391"/>
      <c r="DJ37" s="390"/>
      <c r="DK37" s="390"/>
      <c r="DL37" s="390"/>
      <c r="DM37" s="390"/>
      <c r="DN37" s="116" t="e">
        <f>(($I$5*#REF!)/100)+((#REF!*$J$5)/100)+(($K$5*#REF!)/100)+($L$5*#REF!)+($M$5*#REF!)</f>
        <v>#REF!</v>
      </c>
      <c r="DO37" s="413" t="s">
        <v>48</v>
      </c>
      <c r="DP37" s="413"/>
      <c r="DQ37" s="413"/>
      <c r="DR37" s="413"/>
      <c r="DS37" s="413"/>
      <c r="DT37" s="413"/>
      <c r="DU37" s="414">
        <f>SUMIF(DU6:DU36,"&lt;&gt;#N/A")</f>
        <v>0</v>
      </c>
      <c r="DV37" s="414"/>
      <c r="DW37" s="414"/>
      <c r="DX37" s="414"/>
      <c r="DY37" s="414"/>
    </row>
    <row r="38" spans="2:129" ht="15" thickBot="1" x14ac:dyDescent="0.35">
      <c r="B38" s="64"/>
      <c r="C38" s="148"/>
      <c r="D38" s="109"/>
      <c r="E38" s="63"/>
      <c r="F38" s="127"/>
      <c r="G38" s="50"/>
      <c r="H38" s="10"/>
      <c r="I38" s="10"/>
      <c r="J38" s="10"/>
      <c r="K38" s="10"/>
      <c r="L38" s="10"/>
      <c r="M38" s="39"/>
      <c r="N38" s="33">
        <f t="shared" si="0"/>
        <v>0</v>
      </c>
      <c r="O38" s="52" t="b">
        <f>IF(AND(E38="CLIENT S+L",F38="HUILE"),(S38*3333.33+(VLOOKUP(H38,'BASE '!$I$112:$J$142,2,0)))-((S38*3333.33)*G38),IF(AND(E38="CLIENT S+L",F38="LAIT"),((S38*952.4)-(S38*952.4)*G38),IF(E38="CLIENT O","OFFERT",IF(AND(F38="HUILE",E38="CLIENT L"),(((VLOOKUP(H38,'BASE '!$I$112:$J$142,2,0))+(VLOOKUP(S38,'BASE '!#REF!,2,0)))),IF(AND(F38="LAIT",E38="CLIENT L"),(S38*952.4),IF(AND(F38="HUILE",E38="CLIENT D"),(S38*3809.53+(VLOOKUP(H38,'BASE '!$I$112:$J$142,2,0))),IF(AND(F38="LAIT",E38="CLIENT D"),(S38*952.4),IF(AND(F38="HUILE",E38="CLIENT S+D"),((S38*3809.53+(VLOOKUP(H38,'BASE '!$I$112:$J$142,2,0)))-((S38*3809.53)*G38)),IF(AND(F38="LAIT",E38="CLIENT S+D"),((S38*952.4)-((S38*952.4)*G38)),IF(AND(E38="CLIENT S",F38="LAIT"),((S38*952.4)-((S38*952.4)*G38)),IF(AND(F38="HUILE",E38="CLIENT S"),(VLOOKUP(H38,'BASE '!$I$112:$J$142,2,0)+(VLOOKUP(S38,'BASE '!#REF!,2,0)))-(G38*((VLOOKUP(S38,'BASE '!#REF!,2,0)+(VLOOKUP(H38,'BASE '!$I$112:$J$142,2,0))))))))))))))))</f>
        <v>0</v>
      </c>
      <c r="P38" s="52" t="b">
        <f t="shared" si="1"/>
        <v>0</v>
      </c>
      <c r="Q38" s="53" t="b">
        <f t="shared" si="2"/>
        <v>0</v>
      </c>
      <c r="R38" s="152" t="s">
        <v>175</v>
      </c>
      <c r="S38" s="184">
        <f t="shared" si="6"/>
        <v>0</v>
      </c>
      <c r="T38" s="124"/>
      <c r="U38" s="41" t="s">
        <v>175</v>
      </c>
      <c r="V38" s="70" t="e">
        <f>VLOOKUP(U38,'BASE '!$A$4:$H$144,2,0)</f>
        <v>#N/A</v>
      </c>
      <c r="W38" s="159"/>
      <c r="X38" s="159"/>
      <c r="Y38" s="160"/>
      <c r="Z38" s="158" t="e">
        <f>VLOOKUP(U38,'BASE '!$A$4:$H$144,3,0)</f>
        <v>#N/A</v>
      </c>
      <c r="AA38" s="94" t="e">
        <f t="shared" si="3"/>
        <v>#N/A</v>
      </c>
      <c r="AB38" s="95" t="e">
        <f>VLOOKUP(U38,'BASE '!$A$4:$H$144,6,0)*Y38/100</f>
        <v>#N/A</v>
      </c>
      <c r="AC38" s="95" t="e">
        <f>VLOOKUP(U38,'BASE '!$A$4:$H$144,7,0)*Y38/100</f>
        <v>#N/A</v>
      </c>
      <c r="AD38" s="95" t="e">
        <f>VLOOKUP(U38,'BASE '!$A$4:$H$144,8,0)*Y38/100</f>
        <v>#N/A</v>
      </c>
      <c r="AE38" s="96" t="e">
        <f t="shared" si="7"/>
        <v>#N/A</v>
      </c>
      <c r="AF38" s="431"/>
      <c r="AG38" s="1" t="s">
        <v>155</v>
      </c>
      <c r="AH38" s="36" t="e">
        <f>SUMIFS($H$6:$H$165,$D$6:$D$165,AF37,CHOIX,AG38)</f>
        <v>#NAME?</v>
      </c>
      <c r="AI38" s="36" t="e">
        <f>SUMIFS($I$6:$I$165,$D$6:$D$165,AF37,CHOIX,AG38)</f>
        <v>#NAME?</v>
      </c>
      <c r="AJ38" s="36" t="e">
        <f>SUMIFS($J$6:$J$165,$D$6:$D$165,AF37,CHOIX,AG38)</f>
        <v>#NAME?</v>
      </c>
      <c r="AK38" s="36" t="e">
        <f>SUMIFS($K$6:$K$165,$D$6:$D$165,AF37,CHOIX,AG38)</f>
        <v>#NAME?</v>
      </c>
      <c r="AL38" s="36" t="e">
        <f>SUMIFS($L$6:$L$165,$D$6:$D$165,AF37,CHOIX,AG38)</f>
        <v>#NAME?</v>
      </c>
      <c r="AM38" s="36" t="e">
        <f>SUMIFS($M$6:$M$165,$D$6:$D$165,AF37,CHOIX,AG38)</f>
        <v>#NAME?</v>
      </c>
      <c r="AN38" s="1" t="s">
        <v>155</v>
      </c>
      <c r="AO38" s="83"/>
      <c r="AP38" s="63"/>
      <c r="AQ38" s="63"/>
      <c r="AR38" s="63"/>
      <c r="AS38" s="79"/>
      <c r="AT38" s="79"/>
      <c r="AU38" s="55" t="e">
        <f>SUMIFS($O$6:$O$165,$D$6:$D$165,AF37,CHOIX,AG38)</f>
        <v>#NAME?</v>
      </c>
      <c r="AV38" s="80" t="e">
        <f>SUMIFS($Q$6:$Q$165,$D$6:$D$165,AF37,CHOIX,AG38)</f>
        <v>#NAME?</v>
      </c>
      <c r="AZ38" s="8"/>
      <c r="BA38" s="148"/>
      <c r="BB38" s="148"/>
      <c r="BC38" s="148"/>
      <c r="BD38" s="10"/>
      <c r="BE38" s="10"/>
      <c r="BF38" s="10"/>
      <c r="BG38" s="10"/>
      <c r="BH38" s="10"/>
      <c r="BI38" s="10"/>
      <c r="BJ38" s="10"/>
      <c r="BK38" s="10"/>
      <c r="BL38" s="10"/>
      <c r="BM38" s="147">
        <f t="shared" si="8"/>
        <v>0</v>
      </c>
      <c r="BN38" s="147">
        <f t="shared" si="9"/>
        <v>0</v>
      </c>
      <c r="BO38" s="149"/>
      <c r="CV38" s="391" t="s">
        <v>44</v>
      </c>
      <c r="CW38" s="391"/>
      <c r="CX38" s="391"/>
      <c r="CY38" s="391"/>
      <c r="CZ38" s="391"/>
      <c r="DA38" s="391"/>
      <c r="DB38" s="391"/>
      <c r="DC38" s="391"/>
      <c r="DD38" s="391"/>
      <c r="DE38" s="391"/>
      <c r="DF38" s="391"/>
      <c r="DG38" s="391"/>
      <c r="DH38" s="391"/>
      <c r="DI38" s="391"/>
      <c r="DJ38" s="391"/>
      <c r="DK38" s="390">
        <f>SUMIF(DL6:DL29,"&lt;&gt;#N/A")</f>
        <v>0</v>
      </c>
      <c r="DL38" s="390"/>
      <c r="DM38" s="390"/>
      <c r="DN38" s="116" t="e">
        <f>(($I$5*#REF!)/100)+((#REF!*$J$5)/100)+(($K$5*#REF!)/100)+($L$5*#REF!)+($M$5*#REF!)</f>
        <v>#REF!</v>
      </c>
      <c r="DO38" s="407" t="s">
        <v>47</v>
      </c>
      <c r="DP38" s="407"/>
      <c r="DQ38" s="407"/>
      <c r="DR38" s="407"/>
      <c r="DS38" s="407"/>
      <c r="DT38" s="407"/>
      <c r="DU38" s="407"/>
      <c r="DV38" s="408">
        <f>SUMIF(DV6:DV36,"&lt;&gt;#N/A")</f>
        <v>0</v>
      </c>
      <c r="DW38" s="408"/>
      <c r="DX38" s="408"/>
      <c r="DY38" s="408"/>
    </row>
    <row r="39" spans="2:129" ht="15" thickBot="1" x14ac:dyDescent="0.35">
      <c r="B39" s="64"/>
      <c r="C39" s="148"/>
      <c r="D39" s="109"/>
      <c r="E39" s="63"/>
      <c r="F39" s="127"/>
      <c r="G39" s="50"/>
      <c r="H39" s="10"/>
      <c r="I39" s="10"/>
      <c r="J39" s="10"/>
      <c r="K39" s="10"/>
      <c r="L39" s="10"/>
      <c r="M39" s="39"/>
      <c r="N39" s="33">
        <f t="shared" si="0"/>
        <v>0</v>
      </c>
      <c r="O39" s="52" t="b">
        <f>IF(AND(E39="CLIENT S+L",F39="HUILE"),(S39*3333.33+(VLOOKUP(H39,'BASE '!$I$112:$J$142,2,0)))-((S39*3333.33)*G39),IF(AND(E39="CLIENT S+L",F39="LAIT"),((S39*952.4)-(S39*952.4)*G39),IF(E39="CLIENT O","OFFERT",IF(AND(F39="HUILE",E39="CLIENT L"),(((VLOOKUP(H39,'BASE '!$I$112:$J$142,2,0))+(VLOOKUP(S39,'BASE '!#REF!,2,0)))),IF(AND(F39="LAIT",E39="CLIENT L"),(S39*952.4),IF(AND(F39="HUILE",E39="CLIENT D"),(S39*3809.53+(VLOOKUP(H39,'BASE '!$I$112:$J$142,2,0))),IF(AND(F39="LAIT",E39="CLIENT D"),(S39*952.4),IF(AND(F39="HUILE",E39="CLIENT S+D"),((S39*3809.53+(VLOOKUP(H39,'BASE '!$I$112:$J$142,2,0)))-((S39*3809.53)*G39)),IF(AND(F39="LAIT",E39="CLIENT S+D"),((S39*952.4)-((S39*952.4)*G39)),IF(AND(E39="CLIENT S",F39="LAIT"),((S39*952.4)-((S39*952.4)*G39)),IF(AND(F39="HUILE",E39="CLIENT S"),(VLOOKUP(H39,'BASE '!$I$112:$J$142,2,0)+(VLOOKUP(S39,'BASE '!#REF!,2,0)))-(G39*((VLOOKUP(S39,'BASE '!#REF!,2,0)+(VLOOKUP(H39,'BASE '!$I$112:$J$142,2,0))))))))))))))))</f>
        <v>0</v>
      </c>
      <c r="P39" s="52" t="b">
        <f t="shared" si="1"/>
        <v>0</v>
      </c>
      <c r="Q39" s="53" t="b">
        <f t="shared" si="2"/>
        <v>0</v>
      </c>
      <c r="R39" s="152" t="s">
        <v>175</v>
      </c>
      <c r="S39" s="184">
        <f t="shared" si="6"/>
        <v>0</v>
      </c>
      <c r="T39" s="124"/>
      <c r="U39" s="41" t="s">
        <v>175</v>
      </c>
      <c r="V39" s="70" t="e">
        <f>VLOOKUP(U39,'BASE '!$A$4:$H$144,2,0)</f>
        <v>#N/A</v>
      </c>
      <c r="W39" s="159"/>
      <c r="X39" s="159"/>
      <c r="Y39" s="160"/>
      <c r="Z39" s="158" t="e">
        <f>VLOOKUP(U39,'BASE '!$A$4:$H$144,3,0)</f>
        <v>#N/A</v>
      </c>
      <c r="AA39" s="94" t="e">
        <f t="shared" si="3"/>
        <v>#N/A</v>
      </c>
      <c r="AB39" s="95" t="e">
        <f>VLOOKUP(U39,'BASE '!$A$4:$H$144,6,0)*Y39/100</f>
        <v>#N/A</v>
      </c>
      <c r="AC39" s="95" t="e">
        <f>VLOOKUP(U39,'BASE '!$A$4:$H$144,7,0)*Y39/100</f>
        <v>#N/A</v>
      </c>
      <c r="AD39" s="95" t="e">
        <f>VLOOKUP(U39,'BASE '!$A$4:$H$144,8,0)*Y39/100</f>
        <v>#N/A</v>
      </c>
      <c r="AE39" s="96" t="e">
        <f t="shared" si="7"/>
        <v>#N/A</v>
      </c>
      <c r="AF39" s="431"/>
      <c r="AG39" s="91" t="s">
        <v>157</v>
      </c>
      <c r="AH39" s="36" t="e">
        <f>SUMIFS($H$6:$H$165,$D$6:$D$165,AF39,CHOIX,AG39)</f>
        <v>#NAME?</v>
      </c>
      <c r="AI39" s="36" t="e">
        <f>SUMIFS($I$6:$I$165,$D$6:$D$165,AF39,CHOIX,AG39)</f>
        <v>#NAME?</v>
      </c>
      <c r="AJ39" s="36" t="e">
        <f>SUMIFS($J$6:$J$165,$D$6:$D$165,AF39,CHOIX,AG39)</f>
        <v>#NAME?</v>
      </c>
      <c r="AK39" s="36" t="e">
        <f>SUMIFS($K$6:$K$165,$D$6:$D$165,AF39,CHOIX,AG39)</f>
        <v>#NAME?</v>
      </c>
      <c r="AL39" s="36" t="e">
        <f>SUMIFS($L$6:$L$165,$D$6:$D$165,AF39,CHOIX,AG39)</f>
        <v>#NAME?</v>
      </c>
      <c r="AM39" s="36" t="e">
        <f>SUMIFS($M$6:$M$165,$D$6:$D$165,AF39,CHOIX,AG39)</f>
        <v>#NAME?</v>
      </c>
      <c r="AN39" s="91" t="s">
        <v>157</v>
      </c>
      <c r="AO39" s="83"/>
      <c r="AP39" s="63"/>
      <c r="AQ39" s="63"/>
      <c r="AR39" s="63"/>
      <c r="AS39" s="79"/>
      <c r="AT39" s="79"/>
      <c r="AU39" s="55" t="e">
        <f>SUMIFS($O$6:$O$165,$D$6:$D$165,AF39,CHOIX,AG39)</f>
        <v>#NAME?</v>
      </c>
      <c r="AV39" s="80" t="e">
        <f>SUMIFS($Q$6:$Q$165,$D$6:$D$165,AF39,CHOIX,AG39)</f>
        <v>#NAME?</v>
      </c>
      <c r="AZ39" s="8"/>
      <c r="BA39" s="148"/>
      <c r="BB39" s="148"/>
      <c r="BC39" s="148"/>
      <c r="BD39" s="10"/>
      <c r="BE39" s="10"/>
      <c r="BF39" s="10"/>
      <c r="BG39" s="10"/>
      <c r="BH39" s="10"/>
      <c r="BI39" s="10"/>
      <c r="BJ39" s="10"/>
      <c r="BK39" s="10"/>
      <c r="BL39" s="10"/>
      <c r="BM39" s="147">
        <f t="shared" si="8"/>
        <v>0</v>
      </c>
      <c r="BN39" s="147">
        <f t="shared" si="9"/>
        <v>0</v>
      </c>
      <c r="BO39" s="149"/>
      <c r="CV39" s="540"/>
      <c r="CW39" s="540"/>
      <c r="CX39" s="540"/>
      <c r="CY39" s="540"/>
      <c r="CZ39" s="540"/>
      <c r="DA39" s="540"/>
      <c r="DB39" s="540"/>
      <c r="DC39" s="540"/>
      <c r="DD39" s="540"/>
      <c r="DE39" s="540"/>
      <c r="DF39" s="540"/>
      <c r="DG39" s="540"/>
      <c r="DH39" s="540"/>
      <c r="DI39" s="540"/>
      <c r="DJ39" s="540"/>
      <c r="DK39" s="541"/>
      <c r="DL39" s="541"/>
      <c r="DM39" s="541"/>
      <c r="DN39" s="116" t="e">
        <f>(($I$5*#REF!)/100)+((#REF!*$J$5)/100)+(($K$5*#REF!)/100)+($L$5*#REF!)+($M$5*#REF!)</f>
        <v>#REF!</v>
      </c>
      <c r="DO39" s="407" t="s">
        <v>46</v>
      </c>
      <c r="DP39" s="407"/>
      <c r="DQ39" s="407"/>
      <c r="DR39" s="407"/>
      <c r="DS39" s="407"/>
      <c r="DT39" s="407"/>
      <c r="DU39" s="407"/>
      <c r="DV39" s="415">
        <f>SUMIF(DW6:DW36,"&lt;&gt;#N/A")</f>
        <v>0</v>
      </c>
      <c r="DW39" s="415"/>
      <c r="DX39" s="415"/>
      <c r="DY39" s="415"/>
    </row>
    <row r="40" spans="2:129" ht="15.6" thickTop="1" thickBot="1" x14ac:dyDescent="0.35">
      <c r="B40" s="64"/>
      <c r="C40" s="148"/>
      <c r="D40" s="109"/>
      <c r="E40" s="63"/>
      <c r="F40" s="127"/>
      <c r="G40" s="50"/>
      <c r="H40" s="10"/>
      <c r="I40" s="10"/>
      <c r="J40" s="10"/>
      <c r="K40" s="10"/>
      <c r="L40" s="10"/>
      <c r="M40" s="39"/>
      <c r="N40" s="33">
        <f t="shared" si="0"/>
        <v>0</v>
      </c>
      <c r="O40" s="52" t="b">
        <f>IF(AND(E40="CLIENT S+L",F40="HUILE"),(S40*3333.33+(VLOOKUP(H40,'BASE '!$I$112:$J$142,2,0)))-((S40*3333.33)*G40),IF(AND(E40="CLIENT S+L",F40="LAIT"),((S40*952.4)-(S40*952.4)*G40),IF(E40="CLIENT O","OFFERT",IF(AND(F40="HUILE",E40="CLIENT L"),(((VLOOKUP(H40,'BASE '!$I$112:$J$142,2,0))+(VLOOKUP(S40,'BASE '!#REF!,2,0)))),IF(AND(F40="LAIT",E40="CLIENT L"),(S40*952.4),IF(AND(F40="HUILE",E40="CLIENT D"),(S40*3809.53+(VLOOKUP(H40,'BASE '!$I$112:$J$142,2,0))),IF(AND(F40="LAIT",E40="CLIENT D"),(S40*952.4),IF(AND(F40="HUILE",E40="CLIENT S+D"),((S40*3809.53+(VLOOKUP(H40,'BASE '!$I$112:$J$142,2,0)))-((S40*3809.53)*G40)),IF(AND(F40="LAIT",E40="CLIENT S+D"),((S40*952.4)-((S40*952.4)*G40)),IF(AND(E40="CLIENT S",F40="LAIT"),((S40*952.4)-((S40*952.4)*G40)),IF(AND(F40="HUILE",E40="CLIENT S"),(VLOOKUP(H40,'BASE '!$I$112:$J$142,2,0)+(VLOOKUP(S40,'BASE '!#REF!,2,0)))-(G40*((VLOOKUP(S40,'BASE '!#REF!,2,0)+(VLOOKUP(H40,'BASE '!$I$112:$J$142,2,0))))))))))))))))</f>
        <v>0</v>
      </c>
      <c r="P40" s="52" t="b">
        <f t="shared" si="1"/>
        <v>0</v>
      </c>
      <c r="Q40" s="53" t="b">
        <f t="shared" si="2"/>
        <v>0</v>
      </c>
      <c r="R40" s="152" t="s">
        <v>175</v>
      </c>
      <c r="S40" s="184">
        <f t="shared" si="6"/>
        <v>0</v>
      </c>
      <c r="T40" s="124"/>
      <c r="U40" s="41" t="s">
        <v>175</v>
      </c>
      <c r="V40" s="70" t="e">
        <f>VLOOKUP(U40,'BASE '!$A$4:$H$144,2,0)</f>
        <v>#N/A</v>
      </c>
      <c r="W40" s="159"/>
      <c r="X40" s="159"/>
      <c r="Y40" s="160"/>
      <c r="Z40" s="158" t="e">
        <f>VLOOKUP(U40,'BASE '!$A$4:$H$144,3,0)</f>
        <v>#N/A</v>
      </c>
      <c r="AA40" s="94" t="e">
        <f t="shared" si="3"/>
        <v>#N/A</v>
      </c>
      <c r="AB40" s="95" t="e">
        <f>VLOOKUP(U40,'BASE '!$A$4:$H$144,6,0)*Y40/100</f>
        <v>#N/A</v>
      </c>
      <c r="AC40" s="95" t="e">
        <f>VLOOKUP(U40,'BASE '!$A$4:$H$144,7,0)*Y40/100</f>
        <v>#N/A</v>
      </c>
      <c r="AD40" s="95" t="e">
        <f>VLOOKUP(U40,'BASE '!$A$4:$H$144,8,0)*Y40/100</f>
        <v>#N/A</v>
      </c>
      <c r="AE40" s="96" t="e">
        <f t="shared" si="7"/>
        <v>#N/A</v>
      </c>
      <c r="AF40" s="431"/>
      <c r="AG40" s="1" t="s">
        <v>155</v>
      </c>
      <c r="AH40" s="36" t="e">
        <f>SUMIFS($H$6:$H$165,$D$6:$D$165,AF39,CHOIX,AG40)</f>
        <v>#NAME?</v>
      </c>
      <c r="AI40" s="36" t="e">
        <f>SUMIFS($I$6:$I$165,$D$6:$D$165,AF39,CHOIX,AG40)</f>
        <v>#NAME?</v>
      </c>
      <c r="AJ40" s="36" t="e">
        <f>SUMIFS($J$6:$J$165,$D$6:$D$165,AF39,CHOIX,AG40)</f>
        <v>#NAME?</v>
      </c>
      <c r="AK40" s="36" t="e">
        <f>SUMIFS($K$6:$K$165,$D$6:$D$165,AF39,CHOIX,AG40)</f>
        <v>#NAME?</v>
      </c>
      <c r="AL40" s="36" t="e">
        <f>SUMIFS($L$6:$L$165,$D$6:$D$165,AF39,CHOIX,AG40)</f>
        <v>#NAME?</v>
      </c>
      <c r="AM40" s="36" t="e">
        <f>SUMIFS($M$6:$M$165,$D$6:$D$165,AF39,CHOIX,AG40)</f>
        <v>#NAME?</v>
      </c>
      <c r="AN40" s="1" t="s">
        <v>155</v>
      </c>
      <c r="AO40" s="83"/>
      <c r="AP40" s="63"/>
      <c r="AQ40" s="63"/>
      <c r="AR40" s="63"/>
      <c r="AS40" s="79"/>
      <c r="AT40" s="79"/>
      <c r="AU40" s="55" t="e">
        <f>SUMIFS($O$6:$O$165,$D$6:$D$165,AF39,CHOIX,AG40)</f>
        <v>#NAME?</v>
      </c>
      <c r="AV40" s="80" t="e">
        <f>SUMIFS($Q$6:$Q$165,$D$6:$D$165,AF39,CHOIX,AG40)</f>
        <v>#NAME?</v>
      </c>
      <c r="AZ40" s="8"/>
      <c r="BA40" s="148"/>
      <c r="BB40" s="148"/>
      <c r="BC40" s="148"/>
      <c r="BD40" s="10"/>
      <c r="BE40" s="10"/>
      <c r="BF40" s="10"/>
      <c r="BG40" s="10"/>
      <c r="BH40" s="10"/>
      <c r="BI40" s="10"/>
      <c r="BJ40" s="10"/>
      <c r="BK40" s="10"/>
      <c r="BL40" s="10"/>
      <c r="BM40" s="147">
        <f t="shared" si="8"/>
        <v>0</v>
      </c>
      <c r="BN40" s="147">
        <f t="shared" si="9"/>
        <v>0</v>
      </c>
      <c r="BO40" s="149"/>
      <c r="DN40" s="116" t="e">
        <f>(($I$5*#REF!)/100)+((#REF!*$J$5)/100)+(($K$5*#REF!)/100)+($L$5*#REF!)+($M$5*#REF!)</f>
        <v>#REF!</v>
      </c>
      <c r="DO40" s="407" t="s">
        <v>45</v>
      </c>
      <c r="DP40" s="407"/>
      <c r="DQ40" s="407"/>
      <c r="DR40" s="407"/>
      <c r="DS40" s="407"/>
      <c r="DT40" s="407"/>
      <c r="DU40" s="407"/>
      <c r="DV40" s="407"/>
      <c r="DW40" s="415">
        <f>SUMIF(DX6:DX36,"&lt;&gt;#N/A")</f>
        <v>0</v>
      </c>
      <c r="DX40" s="415"/>
      <c r="DY40" s="415"/>
    </row>
    <row r="41" spans="2:129" ht="15" thickBot="1" x14ac:dyDescent="0.35">
      <c r="B41" s="64"/>
      <c r="C41" s="148"/>
      <c r="D41" s="109"/>
      <c r="E41" s="63"/>
      <c r="F41" s="127"/>
      <c r="G41" s="50"/>
      <c r="H41" s="10"/>
      <c r="I41" s="10"/>
      <c r="J41" s="10"/>
      <c r="K41" s="10"/>
      <c r="L41" s="10"/>
      <c r="M41" s="39"/>
      <c r="N41" s="33">
        <f t="shared" si="0"/>
        <v>0</v>
      </c>
      <c r="O41" s="52" t="b">
        <f>IF(AND(E41="CLIENT S+L",F41="HUILE"),(S41*3333.33+(VLOOKUP(H41,'BASE '!$I$112:$J$142,2,0)))-((S41*3333.33)*G41),IF(AND(E41="CLIENT S+L",F41="LAIT"),((S41*952.4)-(S41*952.4)*G41),IF(E41="CLIENT O","OFFERT",IF(AND(F41="HUILE",E41="CLIENT L"),(((VLOOKUP(H41,'BASE '!$I$112:$J$142,2,0))+(VLOOKUP(S41,'BASE '!#REF!,2,0)))),IF(AND(F41="LAIT",E41="CLIENT L"),(S41*952.4),IF(AND(F41="HUILE",E41="CLIENT D"),(S41*3809.53+(VLOOKUP(H41,'BASE '!$I$112:$J$142,2,0))),IF(AND(F41="LAIT",E41="CLIENT D"),(S41*952.4),IF(AND(F41="HUILE",E41="CLIENT S+D"),((S41*3809.53+(VLOOKUP(H41,'BASE '!$I$112:$J$142,2,0)))-((S41*3809.53)*G41)),IF(AND(F41="LAIT",E41="CLIENT S+D"),((S41*952.4)-((S41*952.4)*G41)),IF(AND(E41="CLIENT S",F41="LAIT"),((S41*952.4)-((S41*952.4)*G41)),IF(AND(F41="HUILE",E41="CLIENT S"),(VLOOKUP(H41,'BASE '!$I$112:$J$142,2,0)+(VLOOKUP(S41,'BASE '!#REF!,2,0)))-(G41*((VLOOKUP(S41,'BASE '!#REF!,2,0)+(VLOOKUP(H41,'BASE '!$I$112:$J$142,2,0))))))))))))))))</f>
        <v>0</v>
      </c>
      <c r="P41" s="52" t="b">
        <f t="shared" si="1"/>
        <v>0</v>
      </c>
      <c r="Q41" s="53" t="b">
        <f t="shared" si="2"/>
        <v>0</v>
      </c>
      <c r="R41" s="152" t="s">
        <v>175</v>
      </c>
      <c r="S41" s="184">
        <f t="shared" si="6"/>
        <v>0</v>
      </c>
      <c r="T41" s="124"/>
      <c r="U41" s="41" t="s">
        <v>175</v>
      </c>
      <c r="V41" s="70" t="e">
        <f>VLOOKUP(U41,'BASE '!$A$4:$H$144,2,0)</f>
        <v>#N/A</v>
      </c>
      <c r="W41" s="159"/>
      <c r="X41" s="159"/>
      <c r="Y41" s="160"/>
      <c r="Z41" s="158" t="e">
        <f>VLOOKUP(U41,'BASE '!$A$4:$H$144,3,0)</f>
        <v>#N/A</v>
      </c>
      <c r="AA41" s="94" t="e">
        <f t="shared" si="3"/>
        <v>#N/A</v>
      </c>
      <c r="AB41" s="95" t="e">
        <f>VLOOKUP(U41,'BASE '!$A$4:$H$144,6,0)*Y41/100</f>
        <v>#N/A</v>
      </c>
      <c r="AC41" s="95" t="e">
        <f>VLOOKUP(U41,'BASE '!$A$4:$H$144,7,0)*Y41/100</f>
        <v>#N/A</v>
      </c>
      <c r="AD41" s="95" t="e">
        <f>VLOOKUP(U41,'BASE '!$A$4:$H$144,8,0)*Y41/100</f>
        <v>#N/A</v>
      </c>
      <c r="AE41" s="96" t="e">
        <f t="shared" si="7"/>
        <v>#N/A</v>
      </c>
      <c r="AF41" s="431"/>
      <c r="AG41" s="91" t="s">
        <v>157</v>
      </c>
      <c r="AH41" s="36" t="e">
        <f>SUMIFS($H$6:$H$165,$D$6:$D$165,AF41,CHOIX,AG41)</f>
        <v>#NAME?</v>
      </c>
      <c r="AI41" s="36" t="e">
        <f>SUMIFS($I$6:$I$165,$D$6:$D$165,AF41,CHOIX,AG41)</f>
        <v>#NAME?</v>
      </c>
      <c r="AJ41" s="36" t="e">
        <f>SUMIFS($J$6:$J$165,$D$6:$D$165,AF41,CHOIX,AG41)</f>
        <v>#NAME?</v>
      </c>
      <c r="AK41" s="36" t="e">
        <f>SUMIFS($K$6:$K$165,$D$6:$D$165,AF41,CHOIX,AG41)</f>
        <v>#NAME?</v>
      </c>
      <c r="AL41" s="36" t="e">
        <f>SUMIFS($L$6:$L$165,$D$6:$D$165,AF41,CHOIX,AG41)</f>
        <v>#NAME?</v>
      </c>
      <c r="AM41" s="36" t="e">
        <f>SUMIFS($M$6:$M$165,$D$6:$D$165,AF41,CHOIX,AG41)</f>
        <v>#NAME?</v>
      </c>
      <c r="AN41" s="91" t="s">
        <v>157</v>
      </c>
      <c r="AO41" s="83"/>
      <c r="AP41" s="63"/>
      <c r="AQ41" s="63"/>
      <c r="AR41" s="63"/>
      <c r="AS41" s="79"/>
      <c r="AT41" s="79"/>
      <c r="AU41" s="55" t="e">
        <f>SUMIFS($O$6:$O$165,$D$6:$D$165,AF41,CHOIX,AG41)</f>
        <v>#NAME?</v>
      </c>
      <c r="AV41" s="80" t="e">
        <f>SUMIFS($Q$6:$Q$165,$D$6:$D$165,AF41,CHOIX,AG41)</f>
        <v>#NAME?</v>
      </c>
      <c r="AZ41" s="8"/>
      <c r="BA41" s="148"/>
      <c r="BB41" s="148"/>
      <c r="BC41" s="148"/>
      <c r="BD41" s="10"/>
      <c r="BE41" s="10"/>
      <c r="BF41" s="10"/>
      <c r="BG41" s="10"/>
      <c r="BH41" s="10"/>
      <c r="BI41" s="10"/>
      <c r="BJ41" s="10"/>
      <c r="BK41" s="10"/>
      <c r="BL41" s="10"/>
      <c r="BM41" s="147">
        <f t="shared" si="8"/>
        <v>0</v>
      </c>
      <c r="BN41" s="147">
        <f t="shared" si="9"/>
        <v>0</v>
      </c>
      <c r="BO41" s="149"/>
      <c r="DN41" s="116" t="e">
        <f>(($I$5*#REF!)/100)+((#REF!*$J$5)/100)+(($K$5*#REF!)/100)+($L$5*#REF!)+($M$5*#REF!)</f>
        <v>#REF!</v>
      </c>
      <c r="DO41" s="407" t="s">
        <v>44</v>
      </c>
      <c r="DP41" s="407"/>
      <c r="DQ41" s="407"/>
      <c r="DR41" s="407"/>
      <c r="DS41" s="407"/>
      <c r="DT41" s="407"/>
      <c r="DU41" s="407"/>
      <c r="DV41" s="407"/>
      <c r="DW41" s="407"/>
      <c r="DX41" s="408">
        <f>SUMIF(DY6:DY36,"&lt;&gt;#N/A")</f>
        <v>0</v>
      </c>
      <c r="DY41" s="408"/>
    </row>
    <row r="42" spans="2:129" x14ac:dyDescent="0.3">
      <c r="B42" s="64"/>
      <c r="C42" s="148"/>
      <c r="D42" s="109"/>
      <c r="E42" s="63"/>
      <c r="F42" s="127"/>
      <c r="G42" s="50"/>
      <c r="H42" s="10"/>
      <c r="I42" s="10"/>
      <c r="J42" s="10"/>
      <c r="K42" s="10"/>
      <c r="L42" s="10"/>
      <c r="M42" s="39"/>
      <c r="N42" s="33">
        <f t="shared" si="0"/>
        <v>0</v>
      </c>
      <c r="O42" s="52" t="b">
        <f>IF(AND(E42="CLIENT S+L",F42="HUILE"),(S42*3333.33+(VLOOKUP(H42,'BASE '!$I$112:$J$142,2,0)))-((S42*3333.33)*G42),IF(AND(E42="CLIENT S+L",F42="LAIT"),((S42*952.4)-(S42*952.4)*G42),IF(E42="CLIENT O","OFFERT",IF(AND(F42="HUILE",E42="CLIENT L"),(((VLOOKUP(H42,'BASE '!$I$112:$J$142,2,0))+(VLOOKUP(S42,'BASE '!#REF!,2,0)))),IF(AND(F42="LAIT",E42="CLIENT L"),(S42*952.4),IF(AND(F42="HUILE",E42="CLIENT D"),(S42*3809.53+(VLOOKUP(H42,'BASE '!$I$112:$J$142,2,0))),IF(AND(F42="LAIT",E42="CLIENT D"),(S42*952.4),IF(AND(F42="HUILE",E42="CLIENT S+D"),((S42*3809.53+(VLOOKUP(H42,'BASE '!$I$112:$J$142,2,0)))-((S42*3809.53)*G42)),IF(AND(F42="LAIT",E42="CLIENT S+D"),((S42*952.4)-((S42*952.4)*G42)),IF(AND(E42="CLIENT S",F42="LAIT"),((S42*952.4)-((S42*952.4)*G42)),IF(AND(F42="HUILE",E42="CLIENT S"),(VLOOKUP(H42,'BASE '!$I$112:$J$142,2,0)+(VLOOKUP(S42,'BASE '!#REF!,2,0)))-(G42*((VLOOKUP(S42,'BASE '!#REF!,2,0)+(VLOOKUP(H42,'BASE '!$I$112:$J$142,2,0))))))))))))))))</f>
        <v>0</v>
      </c>
      <c r="P42" s="52" t="b">
        <f t="shared" si="1"/>
        <v>0</v>
      </c>
      <c r="Q42" s="53" t="b">
        <f t="shared" si="2"/>
        <v>0</v>
      </c>
      <c r="R42" s="152" t="s">
        <v>175</v>
      </c>
      <c r="S42" s="184">
        <f t="shared" si="6"/>
        <v>0</v>
      </c>
      <c r="T42" s="124"/>
      <c r="U42" s="41" t="s">
        <v>175</v>
      </c>
      <c r="V42" s="70" t="e">
        <f>VLOOKUP(U42,'BASE '!$A$4:$H$144,2,0)</f>
        <v>#N/A</v>
      </c>
      <c r="W42" s="159"/>
      <c r="X42" s="159"/>
      <c r="Y42" s="160"/>
      <c r="Z42" s="158" t="e">
        <f>VLOOKUP(U42,'BASE '!$A$4:$H$144,3,0)</f>
        <v>#N/A</v>
      </c>
      <c r="AA42" s="94" t="e">
        <f t="shared" si="3"/>
        <v>#N/A</v>
      </c>
      <c r="AB42" s="95" t="e">
        <f>VLOOKUP(U42,'BASE '!$A$4:$H$144,6,0)*Y42/100</f>
        <v>#N/A</v>
      </c>
      <c r="AC42" s="95" t="e">
        <f>VLOOKUP(U42,'BASE '!$A$4:$H$144,7,0)*Y42/100</f>
        <v>#N/A</v>
      </c>
      <c r="AD42" s="95" t="e">
        <f>VLOOKUP(U42,'BASE '!$A$4:$H$144,8,0)*Y42/100</f>
        <v>#N/A</v>
      </c>
      <c r="AE42" s="96" t="e">
        <f t="shared" si="7"/>
        <v>#N/A</v>
      </c>
      <c r="AF42" s="431"/>
      <c r="AG42" s="1" t="s">
        <v>155</v>
      </c>
      <c r="AH42" s="36" t="e">
        <f>SUMIFS($H$6:$H$165,$D$6:$D$165,AF41,CHOIX,AG42)</f>
        <v>#NAME?</v>
      </c>
      <c r="AI42" s="36" t="e">
        <f>SUMIFS($I$6:$I$165,$D$6:$D$165,AF41,CHOIX,AG42)</f>
        <v>#NAME?</v>
      </c>
      <c r="AJ42" s="36" t="e">
        <f>SUMIFS($J$6:$J$165,$D$6:$D$165,AF41,CHOIX,AG42)</f>
        <v>#NAME?</v>
      </c>
      <c r="AK42" s="36" t="e">
        <f>SUMIFS($K$6:$K$165,$D$6:$D$165,AF41,CHOIX,AG42)</f>
        <v>#NAME?</v>
      </c>
      <c r="AL42" s="36" t="e">
        <f>SUMIFS($L$6:$L$165,$D$6:$D$165,AF41,CHOIX,AG42)</f>
        <v>#NAME?</v>
      </c>
      <c r="AM42" s="36" t="e">
        <f>SUMIFS($M$6:$M$165,$D$6:$D$165,AF41,CHOIX,AG42)</f>
        <v>#NAME?</v>
      </c>
      <c r="AN42" s="1" t="s">
        <v>155</v>
      </c>
      <c r="AO42" s="83"/>
      <c r="AP42" s="63"/>
      <c r="AQ42" s="63"/>
      <c r="AR42" s="63"/>
      <c r="AS42" s="79"/>
      <c r="AT42" s="79"/>
      <c r="AU42" s="55" t="e">
        <f>SUMIFS($O$6:$O$165,$D$6:$D$165,AF41,CHOIX,AG42)</f>
        <v>#NAME?</v>
      </c>
      <c r="AV42" s="80" t="e">
        <f>SUMIFS($Q$6:$Q$165,$D$6:$D$165,AF41,CHOIX,AG42)</f>
        <v>#NAME?</v>
      </c>
      <c r="AZ42" s="8"/>
      <c r="BA42" s="148"/>
      <c r="BB42" s="148"/>
      <c r="BC42" s="148"/>
      <c r="BD42" s="10"/>
      <c r="BE42" s="10"/>
      <c r="BF42" s="10"/>
      <c r="BG42" s="10"/>
      <c r="BH42" s="10"/>
      <c r="BI42" s="10"/>
      <c r="BJ42" s="10"/>
      <c r="BK42" s="10"/>
      <c r="BL42" s="10"/>
      <c r="BM42" s="147">
        <f t="shared" si="8"/>
        <v>0</v>
      </c>
      <c r="BN42" s="147">
        <f t="shared" si="9"/>
        <v>0</v>
      </c>
      <c r="BO42" s="149"/>
      <c r="DN42" s="116" t="e">
        <f>(($I$5*#REF!)/100)+((#REF!*$J$5)/100)+(($K$5*#REF!)/100)+($L$5*#REF!)+($M$5*#REF!)</f>
        <v>#REF!</v>
      </c>
    </row>
    <row r="43" spans="2:129" x14ac:dyDescent="0.3">
      <c r="B43" s="64"/>
      <c r="C43" s="148"/>
      <c r="D43" s="109"/>
      <c r="E43" s="63"/>
      <c r="F43" s="127"/>
      <c r="G43" s="50"/>
      <c r="H43" s="10"/>
      <c r="I43" s="10"/>
      <c r="J43" s="10"/>
      <c r="K43" s="10"/>
      <c r="L43" s="10"/>
      <c r="M43" s="39"/>
      <c r="N43" s="33">
        <f t="shared" si="0"/>
        <v>0</v>
      </c>
      <c r="O43" s="52" t="b">
        <f>IF(AND(E43="CLIENT S+L",F43="HUILE"),(S43*3333.33+(VLOOKUP(H43,'BASE '!$I$112:$J$142,2,0)))-((S43*3333.33)*G43),IF(AND(E43="CLIENT S+L",F43="LAIT"),((S43*952.4)-(S43*952.4)*G43),IF(E43="CLIENT O","OFFERT",IF(AND(F43="HUILE",E43="CLIENT L"),(((VLOOKUP(H43,'BASE '!$I$112:$J$142,2,0))+(VLOOKUP(S43,'BASE '!#REF!,2,0)))),IF(AND(F43="LAIT",E43="CLIENT L"),(S43*952.4),IF(AND(F43="HUILE",E43="CLIENT D"),(S43*3809.53+(VLOOKUP(H43,'BASE '!$I$112:$J$142,2,0))),IF(AND(F43="LAIT",E43="CLIENT D"),(S43*952.4),IF(AND(F43="HUILE",E43="CLIENT S+D"),((S43*3809.53+(VLOOKUP(H43,'BASE '!$I$112:$J$142,2,0)))-((S43*3809.53)*G43)),IF(AND(F43="LAIT",E43="CLIENT S+D"),((S43*952.4)-((S43*952.4)*G43)),IF(AND(E43="CLIENT S",F43="LAIT"),((S43*952.4)-((S43*952.4)*G43)),IF(AND(F43="HUILE",E43="CLIENT S"),(VLOOKUP(H43,'BASE '!$I$112:$J$142,2,0)+(VLOOKUP(S43,'BASE '!#REF!,2,0)))-(G43*((VLOOKUP(S43,'BASE '!#REF!,2,0)+(VLOOKUP(H43,'BASE '!$I$112:$J$142,2,0))))))))))))))))</f>
        <v>0</v>
      </c>
      <c r="P43" s="52" t="b">
        <f t="shared" si="1"/>
        <v>0</v>
      </c>
      <c r="Q43" s="53" t="b">
        <f t="shared" si="2"/>
        <v>0</v>
      </c>
      <c r="R43" s="152" t="s">
        <v>175</v>
      </c>
      <c r="S43" s="184">
        <f t="shared" si="6"/>
        <v>0</v>
      </c>
      <c r="T43" s="124"/>
      <c r="U43" s="41" t="s">
        <v>175</v>
      </c>
      <c r="V43" s="70" t="e">
        <f>VLOOKUP(U43,'BASE '!$A$4:$H$144,2,0)</f>
        <v>#N/A</v>
      </c>
      <c r="W43" s="159"/>
      <c r="X43" s="159"/>
      <c r="Y43" s="160"/>
      <c r="Z43" s="158" t="e">
        <f>VLOOKUP(U43,'BASE '!$A$4:$H$144,3,0)</f>
        <v>#N/A</v>
      </c>
      <c r="AA43" s="94" t="e">
        <f t="shared" si="3"/>
        <v>#N/A</v>
      </c>
      <c r="AB43" s="95" t="e">
        <f>VLOOKUP(U43,'BASE '!$A$4:$H$144,6,0)*Y43/100</f>
        <v>#N/A</v>
      </c>
      <c r="AC43" s="95" t="e">
        <f>VLOOKUP(U43,'BASE '!$A$4:$H$144,7,0)*Y43/100</f>
        <v>#N/A</v>
      </c>
      <c r="AD43" s="95" t="e">
        <f>VLOOKUP(U43,'BASE '!$A$4:$H$144,8,0)*Y43/100</f>
        <v>#N/A</v>
      </c>
      <c r="AE43" s="96" t="e">
        <f t="shared" si="7"/>
        <v>#N/A</v>
      </c>
      <c r="AF43" s="431"/>
      <c r="AG43" s="91" t="s">
        <v>157</v>
      </c>
      <c r="AH43" s="36" t="e">
        <f>SUMIFS($H$6:$H$165,$D$6:$D$165,AF43,CHOIX,AG43)</f>
        <v>#NAME?</v>
      </c>
      <c r="AI43" s="36" t="e">
        <f>SUMIFS($I$6:$I$165,$D$6:$D$165,AF43,CHOIX,AG43)</f>
        <v>#NAME?</v>
      </c>
      <c r="AJ43" s="36" t="e">
        <f>SUMIFS($J$6:$J$165,$D$6:$D$165,AF43,CHOIX,AG43)</f>
        <v>#NAME?</v>
      </c>
      <c r="AK43" s="36" t="e">
        <f>SUMIFS($K$6:$K$165,$D$6:$D$165,AF43,CHOIX,AG43)</f>
        <v>#NAME?</v>
      </c>
      <c r="AL43" s="36" t="e">
        <f>SUMIFS($L$6:$L$165,$D$6:$D$165,AF43,CHOIX,AG43)</f>
        <v>#NAME?</v>
      </c>
      <c r="AM43" s="36" t="e">
        <f>SUMIFS($M$6:$M$165,$D$6:$D$165,AF43,CHOIX,AG43)</f>
        <v>#NAME?</v>
      </c>
      <c r="AN43" s="91" t="s">
        <v>157</v>
      </c>
      <c r="AO43" s="83"/>
      <c r="AP43" s="63"/>
      <c r="AQ43" s="63"/>
      <c r="AR43" s="63"/>
      <c r="AS43" s="79"/>
      <c r="AT43" s="79"/>
      <c r="AU43" s="55" t="e">
        <f>SUMIFS($O$6:$O$165,$D$6:$D$165,AF43,CHOIX,AG43)</f>
        <v>#NAME?</v>
      </c>
      <c r="AV43" s="80" t="e">
        <f>SUMIFS($Q$6:$Q$165,$D$6:$D$165,AF43,CHOIX,AG43)</f>
        <v>#NAME?</v>
      </c>
      <c r="AZ43" s="8"/>
      <c r="BA43" s="148"/>
      <c r="BB43" s="148"/>
      <c r="BC43" s="148"/>
      <c r="BD43" s="10"/>
      <c r="BE43" s="10"/>
      <c r="BF43" s="10"/>
      <c r="BG43" s="10"/>
      <c r="BH43" s="10"/>
      <c r="BI43" s="10"/>
      <c r="BJ43" s="10"/>
      <c r="BK43" s="10"/>
      <c r="BL43" s="10"/>
      <c r="BM43" s="147">
        <f t="shared" si="8"/>
        <v>0</v>
      </c>
      <c r="BN43" s="147">
        <f t="shared" si="9"/>
        <v>0</v>
      </c>
      <c r="BO43" s="149"/>
      <c r="DN43" s="116" t="e">
        <f>(($I$5*#REF!)/100)+((#REF!*$J$5)/100)+(($K$5*#REF!)/100)+($L$5*#REF!)+($M$5*#REF!)</f>
        <v>#REF!</v>
      </c>
    </row>
    <row r="44" spans="2:129" x14ac:dyDescent="0.3">
      <c r="B44" s="64"/>
      <c r="C44" s="148"/>
      <c r="D44" s="109"/>
      <c r="E44" s="63"/>
      <c r="F44" s="127"/>
      <c r="G44" s="50"/>
      <c r="H44" s="10"/>
      <c r="I44" s="10"/>
      <c r="J44" s="10"/>
      <c r="K44" s="10"/>
      <c r="L44" s="10"/>
      <c r="M44" s="39"/>
      <c r="N44" s="33">
        <f t="shared" si="0"/>
        <v>0</v>
      </c>
      <c r="O44" s="52" t="b">
        <f>IF(AND(E44="CLIENT S+L",F44="HUILE"),(S44*3333.33+(VLOOKUP(H44,'BASE '!$I$112:$J$142,2,0)))-((S44*3333.33)*G44),IF(AND(E44="CLIENT S+L",F44="LAIT"),((S44*952.4)-(S44*952.4)*G44),IF(E44="CLIENT O","OFFERT",IF(AND(F44="HUILE",E44="CLIENT L"),(((VLOOKUP(H44,'BASE '!$I$112:$J$142,2,0))+(VLOOKUP(S44,'BASE '!#REF!,2,0)))),IF(AND(F44="LAIT",E44="CLIENT L"),(S44*952.4),IF(AND(F44="HUILE",E44="CLIENT D"),(S44*3809.53+(VLOOKUP(H44,'BASE '!$I$112:$J$142,2,0))),IF(AND(F44="LAIT",E44="CLIENT D"),(S44*952.4),IF(AND(F44="HUILE",E44="CLIENT S+D"),((S44*3809.53+(VLOOKUP(H44,'BASE '!$I$112:$J$142,2,0)))-((S44*3809.53)*G44)),IF(AND(F44="LAIT",E44="CLIENT S+D"),((S44*952.4)-((S44*952.4)*G44)),IF(AND(E44="CLIENT S",F44="LAIT"),((S44*952.4)-((S44*952.4)*G44)),IF(AND(F44="HUILE",E44="CLIENT S"),(VLOOKUP(H44,'BASE '!$I$112:$J$142,2,0)+(VLOOKUP(S44,'BASE '!#REF!,2,0)))-(G44*((VLOOKUP(S44,'BASE '!#REF!,2,0)+(VLOOKUP(H44,'BASE '!$I$112:$J$142,2,0))))))))))))))))</f>
        <v>0</v>
      </c>
      <c r="P44" s="52" t="b">
        <f t="shared" si="1"/>
        <v>0</v>
      </c>
      <c r="Q44" s="53" t="b">
        <f t="shared" si="2"/>
        <v>0</v>
      </c>
      <c r="R44" s="152" t="s">
        <v>175</v>
      </c>
      <c r="S44" s="184">
        <f t="shared" si="6"/>
        <v>0</v>
      </c>
      <c r="T44" s="124"/>
      <c r="U44" s="41" t="s">
        <v>175</v>
      </c>
      <c r="V44" s="70" t="e">
        <f>VLOOKUP(U44,'BASE '!$A$4:$H$144,2,0)</f>
        <v>#N/A</v>
      </c>
      <c r="W44" s="159"/>
      <c r="X44" s="159"/>
      <c r="Y44" s="160"/>
      <c r="Z44" s="158" t="e">
        <f>VLOOKUP(U44,'BASE '!$A$4:$H$144,3,0)</f>
        <v>#N/A</v>
      </c>
      <c r="AA44" s="94" t="e">
        <f t="shared" si="3"/>
        <v>#N/A</v>
      </c>
      <c r="AB44" s="95" t="e">
        <f>VLOOKUP(U44,'BASE '!$A$4:$H$144,6,0)*Y44/100</f>
        <v>#N/A</v>
      </c>
      <c r="AC44" s="95" t="e">
        <f>VLOOKUP(U44,'BASE '!$A$4:$H$144,7,0)*Y44/100</f>
        <v>#N/A</v>
      </c>
      <c r="AD44" s="95" t="e">
        <f>VLOOKUP(U44,'BASE '!$A$4:$H$144,8,0)*Y44/100</f>
        <v>#N/A</v>
      </c>
      <c r="AE44" s="96" t="e">
        <f t="shared" si="7"/>
        <v>#N/A</v>
      </c>
      <c r="AF44" s="431"/>
      <c r="AG44" s="1" t="s">
        <v>155</v>
      </c>
      <c r="AH44" s="36" t="e">
        <f>SUMIFS($H$6:$H$165,$D$6:$D$165,AF43,CHOIX,AG44)</f>
        <v>#NAME?</v>
      </c>
      <c r="AI44" s="36" t="e">
        <f>SUMIFS($I$6:$I$165,$D$6:$D$165,AF43,CHOIX,AG44)</f>
        <v>#NAME?</v>
      </c>
      <c r="AJ44" s="36" t="e">
        <f>SUMIFS($J$6:$J$165,$D$6:$D$165,AF43,CHOIX,AG44)</f>
        <v>#NAME?</v>
      </c>
      <c r="AK44" s="36" t="e">
        <f>SUMIFS($K$6:$K$165,$D$6:$D$165,AF43,CHOIX,AG44)</f>
        <v>#NAME?</v>
      </c>
      <c r="AL44" s="36" t="e">
        <f>SUMIFS($L$6:$L$165,$D$6:$D$165,AF43,CHOIX,AG44)</f>
        <v>#NAME?</v>
      </c>
      <c r="AM44" s="36" t="e">
        <f>SUMIFS($M$6:$M$165,$D$6:$D$165,AF43,CHOIX,AG44)</f>
        <v>#NAME?</v>
      </c>
      <c r="AN44" s="1" t="s">
        <v>155</v>
      </c>
      <c r="AO44" s="83"/>
      <c r="AP44" s="63"/>
      <c r="AQ44" s="63"/>
      <c r="AR44" s="63"/>
      <c r="AS44" s="79"/>
      <c r="AT44" s="79"/>
      <c r="AU44" s="55" t="e">
        <f>SUMIFS($O$6:$O$165,$D$6:$D$165,AF43,CHOIX,AG44)</f>
        <v>#NAME?</v>
      </c>
      <c r="AV44" s="80" t="e">
        <f>SUMIFS($Q$6:$Q$165,$D$6:$D$165,AF43,CHOIX,AG44)</f>
        <v>#NAME?</v>
      </c>
      <c r="AZ44" s="8"/>
      <c r="BA44" s="148"/>
      <c r="BB44" s="148"/>
      <c r="BC44" s="148"/>
      <c r="BD44" s="10"/>
      <c r="BE44" s="10"/>
      <c r="BF44" s="10"/>
      <c r="BG44" s="10"/>
      <c r="BH44" s="10"/>
      <c r="BI44" s="10"/>
      <c r="BJ44" s="10"/>
      <c r="BK44" s="10"/>
      <c r="BL44" s="10"/>
      <c r="BM44" s="147">
        <f t="shared" si="8"/>
        <v>0</v>
      </c>
      <c r="BN44" s="147">
        <f t="shared" si="9"/>
        <v>0</v>
      </c>
      <c r="BO44" s="149"/>
      <c r="DN44" s="116" t="e">
        <f>(($I$5*#REF!)/100)+((#REF!*$J$5)/100)+(($K$5*#REF!)/100)+($L$5*#REF!)+($M$5*#REF!)</f>
        <v>#REF!</v>
      </c>
    </row>
    <row r="45" spans="2:129" x14ac:dyDescent="0.3">
      <c r="B45" s="64"/>
      <c r="C45" s="148"/>
      <c r="D45" s="109"/>
      <c r="E45" s="63"/>
      <c r="F45" s="127"/>
      <c r="G45" s="50"/>
      <c r="H45" s="10"/>
      <c r="I45" s="10"/>
      <c r="J45" s="10"/>
      <c r="K45" s="10"/>
      <c r="L45" s="10"/>
      <c r="M45" s="39"/>
      <c r="N45" s="33">
        <f t="shared" si="0"/>
        <v>0</v>
      </c>
      <c r="O45" s="52" t="b">
        <f>IF(AND(E45="CLIENT S+L",F45="HUILE"),(S45*3333.33+(VLOOKUP(H45,'BASE '!$I$112:$J$142,2,0)))-((S45*3333.33)*G45),IF(AND(E45="CLIENT S+L",F45="LAIT"),((S45*952.4)-(S45*952.4)*G45),IF(E45="CLIENT O","OFFERT",IF(AND(F45="HUILE",E45="CLIENT L"),(((VLOOKUP(H45,'BASE '!$I$112:$J$142,2,0))+(VLOOKUP(S45,'BASE '!#REF!,2,0)))),IF(AND(F45="LAIT",E45="CLIENT L"),(S45*952.4),IF(AND(F45="HUILE",E45="CLIENT D"),(S45*3809.53+(VLOOKUP(H45,'BASE '!$I$112:$J$142,2,0))),IF(AND(F45="LAIT",E45="CLIENT D"),(S45*952.4),IF(AND(F45="HUILE",E45="CLIENT S+D"),((S45*3809.53+(VLOOKUP(H45,'BASE '!$I$112:$J$142,2,0)))-((S45*3809.53)*G45)),IF(AND(F45="LAIT",E45="CLIENT S+D"),((S45*952.4)-((S45*952.4)*G45)),IF(AND(E45="CLIENT S",F45="LAIT"),((S45*952.4)-((S45*952.4)*G45)),IF(AND(F45="HUILE",E45="CLIENT S"),(VLOOKUP(H45,'BASE '!$I$112:$J$142,2,0)+(VLOOKUP(S45,'BASE '!#REF!,2,0)))-(G45*((VLOOKUP(S45,'BASE '!#REF!,2,0)+(VLOOKUP(H45,'BASE '!$I$112:$J$142,2,0))))))))))))))))</f>
        <v>0</v>
      </c>
      <c r="P45" s="52" t="b">
        <f t="shared" si="1"/>
        <v>0</v>
      </c>
      <c r="Q45" s="53" t="b">
        <f t="shared" si="2"/>
        <v>0</v>
      </c>
      <c r="R45" s="152" t="s">
        <v>175</v>
      </c>
      <c r="S45" s="184">
        <f t="shared" si="6"/>
        <v>0</v>
      </c>
      <c r="T45" s="124"/>
      <c r="U45" s="41" t="s">
        <v>175</v>
      </c>
      <c r="V45" s="70" t="e">
        <f>VLOOKUP(U45,'BASE '!$A$4:$H$144,2,0)</f>
        <v>#N/A</v>
      </c>
      <c r="W45" s="159"/>
      <c r="X45" s="159"/>
      <c r="Y45" s="160"/>
      <c r="Z45" s="158" t="e">
        <f>VLOOKUP(U45,'BASE '!$A$4:$H$144,3,0)</f>
        <v>#N/A</v>
      </c>
      <c r="AA45" s="94" t="e">
        <f t="shared" si="3"/>
        <v>#N/A</v>
      </c>
      <c r="AB45" s="95" t="e">
        <f>VLOOKUP(U45,'BASE '!$A$4:$H$144,6,0)*Y45/100</f>
        <v>#N/A</v>
      </c>
      <c r="AC45" s="95" t="e">
        <f>VLOOKUP(U45,'BASE '!$A$4:$H$144,7,0)*Y45/100</f>
        <v>#N/A</v>
      </c>
      <c r="AD45" s="95" t="e">
        <f>VLOOKUP(U45,'BASE '!$A$4:$H$144,8,0)*Y45/100</f>
        <v>#N/A</v>
      </c>
      <c r="AE45" s="96" t="e">
        <f t="shared" si="7"/>
        <v>#N/A</v>
      </c>
      <c r="AF45" s="431"/>
      <c r="AG45" s="91" t="s">
        <v>157</v>
      </c>
      <c r="AH45" s="36" t="e">
        <f>SUMIFS($H$6:$H$165,$D$6:$D$165,AF45,CHOIX,AG45)</f>
        <v>#NAME?</v>
      </c>
      <c r="AI45" s="36" t="e">
        <f>SUMIFS($I$6:$I$165,$D$6:$D$165,AF45,CHOIX,AG45)</f>
        <v>#NAME?</v>
      </c>
      <c r="AJ45" s="36" t="e">
        <f>SUMIFS($J$6:$J$165,$D$6:$D$165,AF45,CHOIX,AG45)</f>
        <v>#NAME?</v>
      </c>
      <c r="AK45" s="36" t="e">
        <f>SUMIFS($K$6:$K$165,$D$6:$D$165,AF45,CHOIX,AG45)</f>
        <v>#NAME?</v>
      </c>
      <c r="AL45" s="36" t="e">
        <f>SUMIFS($L$6:$L$165,$D$6:$D$165,AF45,CHOIX,AG45)</f>
        <v>#NAME?</v>
      </c>
      <c r="AM45" s="36" t="e">
        <f>SUMIFS($M$6:$M$165,$D$6:$D$165,AF45,CHOIX,AG45)</f>
        <v>#NAME?</v>
      </c>
      <c r="AN45" s="91" t="s">
        <v>157</v>
      </c>
      <c r="AO45" s="83"/>
      <c r="AP45" s="63"/>
      <c r="AQ45" s="63"/>
      <c r="AR45" s="63"/>
      <c r="AS45" s="79"/>
      <c r="AT45" s="79"/>
      <c r="AU45" s="55" t="e">
        <f>SUMIFS($O$6:$O$165,$D$6:$D$165,AF45,CHOIX,AG45)</f>
        <v>#NAME?</v>
      </c>
      <c r="AV45" s="80" t="e">
        <f>SUMIFS($Q$6:$Q$165,$D$6:$D$165,AF45,CHOIX,AG45)</f>
        <v>#NAME?</v>
      </c>
      <c r="AZ45" s="8"/>
      <c r="BA45" s="148"/>
      <c r="BB45" s="148"/>
      <c r="BC45" s="148"/>
      <c r="BD45" s="10"/>
      <c r="BE45" s="10"/>
      <c r="BF45" s="10"/>
      <c r="BG45" s="10"/>
      <c r="BH45" s="10"/>
      <c r="BI45" s="10"/>
      <c r="BJ45" s="10"/>
      <c r="BK45" s="10"/>
      <c r="BL45" s="10"/>
      <c r="BM45" s="147">
        <f t="shared" si="8"/>
        <v>0</v>
      </c>
      <c r="BN45" s="147">
        <f t="shared" si="9"/>
        <v>0</v>
      </c>
      <c r="BO45" s="149"/>
      <c r="DN45" s="116" t="e">
        <f>(($I$5*#REF!)/100)+((#REF!*$J$5)/100)+(($K$5*#REF!)/100)+($L$5*#REF!)+($M$5*#REF!)</f>
        <v>#REF!</v>
      </c>
    </row>
    <row r="46" spans="2:129" x14ac:dyDescent="0.3">
      <c r="B46" s="64"/>
      <c r="C46" s="148"/>
      <c r="D46" s="109"/>
      <c r="E46" s="63"/>
      <c r="F46" s="127"/>
      <c r="G46" s="50"/>
      <c r="H46" s="10"/>
      <c r="I46" s="10"/>
      <c r="J46" s="10"/>
      <c r="K46" s="10"/>
      <c r="L46" s="10"/>
      <c r="M46" s="39"/>
      <c r="N46" s="33">
        <f t="shared" si="0"/>
        <v>0</v>
      </c>
      <c r="O46" s="52" t="b">
        <f>IF(AND(E46="CLIENT S+L",F46="HUILE"),(S46*3333.33+(VLOOKUP(H46,'BASE '!$I$112:$J$142,2,0)))-((S46*3333.33)*G46),IF(AND(E46="CLIENT S+L",F46="LAIT"),((S46*952.4)-(S46*952.4)*G46),IF(E46="CLIENT O","OFFERT",IF(AND(F46="HUILE",E46="CLIENT L"),(((VLOOKUP(H46,'BASE '!$I$112:$J$142,2,0))+(VLOOKUP(S46,'BASE '!#REF!,2,0)))),IF(AND(F46="LAIT",E46="CLIENT L"),(S46*952.4),IF(AND(F46="HUILE",E46="CLIENT D"),(S46*3809.53+(VLOOKUP(H46,'BASE '!$I$112:$J$142,2,0))),IF(AND(F46="LAIT",E46="CLIENT D"),(S46*952.4),IF(AND(F46="HUILE",E46="CLIENT S+D"),((S46*3809.53+(VLOOKUP(H46,'BASE '!$I$112:$J$142,2,0)))-((S46*3809.53)*G46)),IF(AND(F46="LAIT",E46="CLIENT S+D"),((S46*952.4)-((S46*952.4)*G46)),IF(AND(E46="CLIENT S",F46="LAIT"),((S46*952.4)-((S46*952.4)*G46)),IF(AND(F46="HUILE",E46="CLIENT S"),(VLOOKUP(H46,'BASE '!$I$112:$J$142,2,0)+(VLOOKUP(S46,'BASE '!#REF!,2,0)))-(G46*((VLOOKUP(S46,'BASE '!#REF!,2,0)+(VLOOKUP(H46,'BASE '!$I$112:$J$142,2,0))))))))))))))))</f>
        <v>0</v>
      </c>
      <c r="P46" s="52" t="b">
        <f t="shared" si="1"/>
        <v>0</v>
      </c>
      <c r="Q46" s="53" t="b">
        <f t="shared" si="2"/>
        <v>0</v>
      </c>
      <c r="R46" s="152" t="s">
        <v>175</v>
      </c>
      <c r="S46" s="184">
        <f t="shared" si="6"/>
        <v>0</v>
      </c>
      <c r="T46" s="124"/>
      <c r="U46" s="41" t="s">
        <v>175</v>
      </c>
      <c r="V46" s="70" t="e">
        <f>VLOOKUP(U46,'BASE '!$A$4:$H$144,2,0)</f>
        <v>#N/A</v>
      </c>
      <c r="W46" s="159"/>
      <c r="X46" s="159"/>
      <c r="Y46" s="160"/>
      <c r="Z46" s="158" t="e">
        <f>VLOOKUP(U46,'BASE '!$A$4:$H$144,3,0)</f>
        <v>#N/A</v>
      </c>
      <c r="AA46" s="94" t="e">
        <f t="shared" si="3"/>
        <v>#N/A</v>
      </c>
      <c r="AB46" s="95" t="e">
        <f>VLOOKUP(U46,'BASE '!$A$4:$H$144,6,0)*Y46/100</f>
        <v>#N/A</v>
      </c>
      <c r="AC46" s="95" t="e">
        <f>VLOOKUP(U46,'BASE '!$A$4:$H$144,7,0)*Y46/100</f>
        <v>#N/A</v>
      </c>
      <c r="AD46" s="95" t="e">
        <f>VLOOKUP(U46,'BASE '!$A$4:$H$144,8,0)*Y46/100</f>
        <v>#N/A</v>
      </c>
      <c r="AE46" s="96" t="e">
        <f t="shared" si="7"/>
        <v>#N/A</v>
      </c>
      <c r="AF46" s="431"/>
      <c r="AG46" s="1" t="s">
        <v>155</v>
      </c>
      <c r="AH46" s="36" t="e">
        <f>SUMIFS($H$6:$H$165,$D$6:$D$165,AF45,CHOIX,AG46)</f>
        <v>#NAME?</v>
      </c>
      <c r="AI46" s="36" t="e">
        <f>SUMIFS($I$6:$I$165,$D$6:$D$165,AF45,CHOIX,AG46)</f>
        <v>#NAME?</v>
      </c>
      <c r="AJ46" s="36" t="e">
        <f>SUMIFS($J$6:$J$165,$D$6:$D$165,AF45,CHOIX,AG46)</f>
        <v>#NAME?</v>
      </c>
      <c r="AK46" s="36" t="e">
        <f>SUMIFS($K$6:$K$165,$D$6:$D$165,AF45,CHOIX,AG46)</f>
        <v>#NAME?</v>
      </c>
      <c r="AL46" s="36" t="e">
        <f>SUMIFS($L$6:$L$165,$D$6:$D$165,AF45,CHOIX,AG46)</f>
        <v>#NAME?</v>
      </c>
      <c r="AM46" s="36" t="e">
        <f>SUMIFS($M$6:$M$165,$D$6:$D$165,AF45,CHOIX,AG46)</f>
        <v>#NAME?</v>
      </c>
      <c r="AN46" s="1" t="s">
        <v>155</v>
      </c>
      <c r="AO46" s="83"/>
      <c r="AP46" s="63"/>
      <c r="AQ46" s="63"/>
      <c r="AR46" s="63"/>
      <c r="AS46" s="79"/>
      <c r="AT46" s="79"/>
      <c r="AU46" s="55" t="e">
        <f>SUMIFS($O$6:$O$165,$D$6:$D$165,AF45,CHOIX,AG46)</f>
        <v>#NAME?</v>
      </c>
      <c r="AV46" s="80" t="e">
        <f>SUMIFS($Q$6:$Q$165,$D$6:$D$165,AF45,CHOIX,AG46)</f>
        <v>#NAME?</v>
      </c>
      <c r="AZ46" s="8"/>
      <c r="BA46" s="148"/>
      <c r="BB46" s="148"/>
      <c r="BC46" s="148"/>
      <c r="BD46" s="10"/>
      <c r="BE46" s="10"/>
      <c r="BF46" s="10"/>
      <c r="BG46" s="10"/>
      <c r="BH46" s="10"/>
      <c r="BI46" s="10"/>
      <c r="BJ46" s="10"/>
      <c r="BK46" s="10"/>
      <c r="BL46" s="10"/>
      <c r="BM46" s="147">
        <f t="shared" si="8"/>
        <v>0</v>
      </c>
      <c r="BN46" s="147">
        <f t="shared" si="9"/>
        <v>0</v>
      </c>
      <c r="BO46" s="149"/>
      <c r="DN46" s="116" t="e">
        <f>(($I$5*#REF!)/100)+((#REF!*$J$5)/100)+(($K$5*#REF!)/100)+($L$5*#REF!)+($M$5*#REF!)</f>
        <v>#REF!</v>
      </c>
    </row>
    <row r="47" spans="2:129" x14ac:dyDescent="0.3">
      <c r="B47" s="64"/>
      <c r="C47" s="148"/>
      <c r="D47" s="109"/>
      <c r="E47" s="63"/>
      <c r="F47" s="127"/>
      <c r="G47" s="50"/>
      <c r="H47" s="10"/>
      <c r="I47" s="10"/>
      <c r="J47" s="10"/>
      <c r="K47" s="10"/>
      <c r="L47" s="10"/>
      <c r="M47" s="39"/>
      <c r="N47" s="33">
        <f t="shared" si="0"/>
        <v>0</v>
      </c>
      <c r="O47" s="52" t="b">
        <f>IF(AND(E47="CLIENT S+L",F47="HUILE"),(S47*3333.33+(VLOOKUP(H47,'BASE '!$I$112:$J$142,2,0)))-((S47*3333.33)*G47),IF(AND(E47="CLIENT S+L",F47="LAIT"),((S47*952.4)-(S47*952.4)*G47),IF(E47="CLIENT O","OFFERT",IF(AND(F47="HUILE",E47="CLIENT L"),(((VLOOKUP(H47,'BASE '!$I$112:$J$142,2,0))+(VLOOKUP(S47,'BASE '!#REF!,2,0)))),IF(AND(F47="LAIT",E47="CLIENT L"),(S47*952.4),IF(AND(F47="HUILE",E47="CLIENT D"),(S47*3809.53+(VLOOKUP(H47,'BASE '!$I$112:$J$142,2,0))),IF(AND(F47="LAIT",E47="CLIENT D"),(S47*952.4),IF(AND(F47="HUILE",E47="CLIENT S+D"),((S47*3809.53+(VLOOKUP(H47,'BASE '!$I$112:$J$142,2,0)))-((S47*3809.53)*G47)),IF(AND(F47="LAIT",E47="CLIENT S+D"),((S47*952.4)-((S47*952.4)*G47)),IF(AND(E47="CLIENT S",F47="LAIT"),((S47*952.4)-((S47*952.4)*G47)),IF(AND(F47="HUILE",E47="CLIENT S"),(VLOOKUP(H47,'BASE '!$I$112:$J$142,2,0)+(VLOOKUP(S47,'BASE '!#REF!,2,0)))-(G47*((VLOOKUP(S47,'BASE '!#REF!,2,0)+(VLOOKUP(H47,'BASE '!$I$112:$J$142,2,0))))))))))))))))</f>
        <v>0</v>
      </c>
      <c r="P47" s="52" t="b">
        <f t="shared" si="1"/>
        <v>0</v>
      </c>
      <c r="Q47" s="53" t="b">
        <f t="shared" si="2"/>
        <v>0</v>
      </c>
      <c r="R47" s="152" t="s">
        <v>175</v>
      </c>
      <c r="S47" s="184">
        <f t="shared" si="6"/>
        <v>0</v>
      </c>
      <c r="T47" s="124"/>
      <c r="U47" s="41" t="s">
        <v>175</v>
      </c>
      <c r="V47" s="70" t="e">
        <f>VLOOKUP(U47,'BASE '!$A$4:$H$144,2,0)</f>
        <v>#N/A</v>
      </c>
      <c r="W47" s="159"/>
      <c r="X47" s="159"/>
      <c r="Y47" s="160"/>
      <c r="Z47" s="158" t="e">
        <f>VLOOKUP(U47,'BASE '!$A$4:$H$144,3,0)</f>
        <v>#N/A</v>
      </c>
      <c r="AA47" s="94" t="e">
        <f t="shared" si="3"/>
        <v>#N/A</v>
      </c>
      <c r="AB47" s="95" t="e">
        <f>VLOOKUP(U47,'BASE '!$A$4:$H$144,6,0)*Y47/100</f>
        <v>#N/A</v>
      </c>
      <c r="AC47" s="95" t="e">
        <f>VLOOKUP(U47,'BASE '!$A$4:$H$144,7,0)*Y47/100</f>
        <v>#N/A</v>
      </c>
      <c r="AD47" s="95" t="e">
        <f>VLOOKUP(U47,'BASE '!$A$4:$H$144,8,0)*Y47/100</f>
        <v>#N/A</v>
      </c>
      <c r="AE47" s="96" t="e">
        <f t="shared" si="7"/>
        <v>#N/A</v>
      </c>
      <c r="AF47" s="431"/>
      <c r="AG47" s="91" t="s">
        <v>157</v>
      </c>
      <c r="AH47" s="36" t="e">
        <f>SUMIFS($H$6:$H$165,$D$6:$D$165,AF47,CHOIX,AG47)</f>
        <v>#NAME?</v>
      </c>
      <c r="AI47" s="36" t="e">
        <f>SUMIFS($I$6:$I$165,$D$6:$D$165,AF47,CHOIX,AG47)</f>
        <v>#NAME?</v>
      </c>
      <c r="AJ47" s="36" t="e">
        <f>SUMIFS($J$6:$J$165,$D$6:$D$165,AF47,CHOIX,AG47)</f>
        <v>#NAME?</v>
      </c>
      <c r="AK47" s="36" t="e">
        <f>SUMIFS($K$6:$K$165,$D$6:$D$165,AF47,CHOIX,AG47)</f>
        <v>#NAME?</v>
      </c>
      <c r="AL47" s="36" t="e">
        <f>SUMIFS($L$6:$L$165,$D$6:$D$165,AF47,CHOIX,AG47)</f>
        <v>#NAME?</v>
      </c>
      <c r="AM47" s="36" t="e">
        <f>SUMIFS($M$6:$M$165,$D$6:$D$165,AF47,CHOIX,AG47)</f>
        <v>#NAME?</v>
      </c>
      <c r="AN47" s="91" t="s">
        <v>157</v>
      </c>
      <c r="AO47" s="83"/>
      <c r="AP47" s="63"/>
      <c r="AQ47" s="63"/>
      <c r="AR47" s="63"/>
      <c r="AS47" s="79"/>
      <c r="AT47" s="79"/>
      <c r="AU47" s="55" t="e">
        <f>SUMIFS($O$6:$O$165,$D$6:$D$165,AF47,CHOIX,AG47)</f>
        <v>#NAME?</v>
      </c>
      <c r="AV47" s="80" t="e">
        <f>SUMIFS($Q$6:$Q$165,$D$6:$D$165,AF47,CHOIX,AG47)</f>
        <v>#NAME?</v>
      </c>
      <c r="AZ47" s="8"/>
      <c r="BA47" s="148"/>
      <c r="BB47" s="148"/>
      <c r="BC47" s="148"/>
      <c r="BD47" s="10"/>
      <c r="BE47" s="10"/>
      <c r="BF47" s="10"/>
      <c r="BG47" s="10"/>
      <c r="BH47" s="10"/>
      <c r="BI47" s="10"/>
      <c r="BJ47" s="10"/>
      <c r="BK47" s="10"/>
      <c r="BL47" s="10"/>
      <c r="BM47" s="147">
        <f t="shared" si="8"/>
        <v>0</v>
      </c>
      <c r="BN47" s="147">
        <f t="shared" si="9"/>
        <v>0</v>
      </c>
      <c r="BO47" s="149"/>
      <c r="DN47" s="116" t="e">
        <f>(($I$5*#REF!)/100)+((#REF!*$J$5)/100)+(($K$5*#REF!)/100)+($L$5*#REF!)+($M$5*#REF!)</f>
        <v>#REF!</v>
      </c>
    </row>
    <row r="48" spans="2:129" x14ac:dyDescent="0.3">
      <c r="B48" s="64"/>
      <c r="C48" s="148"/>
      <c r="D48" s="109"/>
      <c r="E48" s="63"/>
      <c r="F48" s="127"/>
      <c r="G48" s="50"/>
      <c r="H48" s="10"/>
      <c r="I48" s="10"/>
      <c r="J48" s="10"/>
      <c r="K48" s="10"/>
      <c r="L48" s="10"/>
      <c r="M48" s="39"/>
      <c r="N48" s="33">
        <f t="shared" si="0"/>
        <v>0</v>
      </c>
      <c r="O48" s="52" t="b">
        <f>IF(AND(E48="CLIENT S+L",F48="HUILE"),(S48*3333.33+(VLOOKUP(H48,'BASE '!$I$112:$J$142,2,0)))-((S48*3333.33)*G48),IF(AND(E48="CLIENT S+L",F48="LAIT"),((S48*952.4)-(S48*952.4)*G48),IF(E48="CLIENT O","OFFERT",IF(AND(F48="HUILE",E48="CLIENT L"),(((VLOOKUP(H48,'BASE '!$I$112:$J$142,2,0))+(VLOOKUP(S48,'BASE '!#REF!,2,0)))),IF(AND(F48="LAIT",E48="CLIENT L"),(S48*952.4),IF(AND(F48="HUILE",E48="CLIENT D"),(S48*3809.53+(VLOOKUP(H48,'BASE '!$I$112:$J$142,2,0))),IF(AND(F48="LAIT",E48="CLIENT D"),(S48*952.4),IF(AND(F48="HUILE",E48="CLIENT S+D"),((S48*3809.53+(VLOOKUP(H48,'BASE '!$I$112:$J$142,2,0)))-((S48*3809.53)*G48)),IF(AND(F48="LAIT",E48="CLIENT S+D"),((S48*952.4)-((S48*952.4)*G48)),IF(AND(E48="CLIENT S",F48="LAIT"),((S48*952.4)-((S48*952.4)*G48)),IF(AND(F48="HUILE",E48="CLIENT S"),(VLOOKUP(H48,'BASE '!$I$112:$J$142,2,0)+(VLOOKUP(S48,'BASE '!#REF!,2,0)))-(G48*((VLOOKUP(S48,'BASE '!#REF!,2,0)+(VLOOKUP(H48,'BASE '!$I$112:$J$142,2,0))))))))))))))))</f>
        <v>0</v>
      </c>
      <c r="P48" s="52" t="b">
        <f t="shared" si="1"/>
        <v>0</v>
      </c>
      <c r="Q48" s="53" t="b">
        <f t="shared" si="2"/>
        <v>0</v>
      </c>
      <c r="R48" s="152" t="s">
        <v>175</v>
      </c>
      <c r="S48" s="184">
        <f t="shared" si="6"/>
        <v>0</v>
      </c>
      <c r="T48" s="124"/>
      <c r="U48" s="41" t="s">
        <v>175</v>
      </c>
      <c r="V48" s="70" t="e">
        <f>VLOOKUP(U48,'BASE '!$A$4:$H$144,2,0)</f>
        <v>#N/A</v>
      </c>
      <c r="W48" s="159"/>
      <c r="X48" s="159"/>
      <c r="Y48" s="160"/>
      <c r="Z48" s="158" t="e">
        <f>VLOOKUP(U48,'BASE '!$A$4:$H$144,3,0)</f>
        <v>#N/A</v>
      </c>
      <c r="AA48" s="94" t="e">
        <f t="shared" si="3"/>
        <v>#N/A</v>
      </c>
      <c r="AB48" s="95" t="e">
        <f>VLOOKUP(U48,'BASE '!$A$4:$H$144,6,0)*Y48/100</f>
        <v>#N/A</v>
      </c>
      <c r="AC48" s="95" t="e">
        <f>VLOOKUP(U48,'BASE '!$A$4:$H$144,7,0)*Y48/100</f>
        <v>#N/A</v>
      </c>
      <c r="AD48" s="95" t="e">
        <f>VLOOKUP(U48,'BASE '!$A$4:$H$144,8,0)*Y48/100</f>
        <v>#N/A</v>
      </c>
      <c r="AE48" s="96" t="e">
        <f t="shared" si="7"/>
        <v>#N/A</v>
      </c>
      <c r="AF48" s="431"/>
      <c r="AG48" s="1" t="s">
        <v>155</v>
      </c>
      <c r="AH48" s="36" t="e">
        <f>SUMIFS($H$6:$H$165,$D$6:$D$165,AF47,CHOIX,AG48)</f>
        <v>#NAME?</v>
      </c>
      <c r="AI48" s="36" t="e">
        <f>SUMIFS($I$6:$I$165,$D$6:$D$165,AF47,CHOIX,AG48)</f>
        <v>#NAME?</v>
      </c>
      <c r="AJ48" s="36" t="e">
        <f>SUMIFS($J$6:$J$165,$D$6:$D$165,AF47,CHOIX,AG48)</f>
        <v>#NAME?</v>
      </c>
      <c r="AK48" s="36" t="e">
        <f>SUMIFS($K$6:$K$165,$D$6:$D$165,AF47,CHOIX,AG48)</f>
        <v>#NAME?</v>
      </c>
      <c r="AL48" s="36" t="e">
        <f>SUMIFS($L$6:$L$165,$D$6:$D$165,AF47,CHOIX,AG48)</f>
        <v>#NAME?</v>
      </c>
      <c r="AM48" s="36" t="e">
        <f>SUMIFS($M$6:$M$165,$D$6:$D$165,AF47,CHOIX,AG48)</f>
        <v>#NAME?</v>
      </c>
      <c r="AN48" s="1" t="s">
        <v>155</v>
      </c>
      <c r="AO48" s="83"/>
      <c r="AP48" s="63"/>
      <c r="AQ48" s="63"/>
      <c r="AR48" s="63"/>
      <c r="AS48" s="79"/>
      <c r="AT48" s="79"/>
      <c r="AU48" s="55" t="e">
        <f>SUMIFS($O$6:$O$165,$D$6:$D$165,AF47,CHOIX,AG48)</f>
        <v>#NAME?</v>
      </c>
      <c r="AV48" s="80" t="e">
        <f>SUMIFS($Q$6:$Q$165,$D$6:$D$165,AF47,CHOIX,AG48)</f>
        <v>#NAME?</v>
      </c>
      <c r="AZ48" s="8"/>
      <c r="BA48" s="148"/>
      <c r="BB48" s="148"/>
      <c r="BC48" s="148"/>
      <c r="BD48" s="10"/>
      <c r="BE48" s="10"/>
      <c r="BF48" s="10"/>
      <c r="BG48" s="10"/>
      <c r="BH48" s="10"/>
      <c r="BI48" s="10"/>
      <c r="BJ48" s="10"/>
      <c r="BK48" s="10"/>
      <c r="BL48" s="10"/>
      <c r="BM48" s="147">
        <f t="shared" si="8"/>
        <v>0</v>
      </c>
      <c r="BN48" s="147">
        <f t="shared" si="9"/>
        <v>0</v>
      </c>
      <c r="BO48" s="149"/>
      <c r="DN48" s="116" t="e">
        <f>(($I$5*#REF!)/100)+((#REF!*$J$5)/100)+(($K$5*#REF!)/100)+($L$5*#REF!)+($M$5*#REF!)</f>
        <v>#REF!</v>
      </c>
    </row>
    <row r="49" spans="2:118" x14ac:dyDescent="0.3">
      <c r="B49" s="64"/>
      <c r="C49" s="148"/>
      <c r="D49" s="109"/>
      <c r="E49" s="63"/>
      <c r="F49" s="127"/>
      <c r="G49" s="50"/>
      <c r="H49" s="10"/>
      <c r="I49" s="10"/>
      <c r="J49" s="10"/>
      <c r="K49" s="10"/>
      <c r="L49" s="10"/>
      <c r="M49" s="39"/>
      <c r="N49" s="33">
        <f t="shared" si="0"/>
        <v>0</v>
      </c>
      <c r="O49" s="52" t="b">
        <f>IF(AND(E49="CLIENT S+L",F49="HUILE"),(S49*3333.33+(VLOOKUP(H49,'BASE '!$I$112:$J$142,2,0)))-((S49*3333.33)*G49),IF(AND(E49="CLIENT S+L",F49="LAIT"),((S49*952.4)-(S49*952.4)*G49),IF(E49="CLIENT O","OFFERT",IF(AND(F49="HUILE",E49="CLIENT L"),(((VLOOKUP(H49,'BASE '!$I$112:$J$142,2,0))+(VLOOKUP(S49,'BASE '!#REF!,2,0)))),IF(AND(F49="LAIT",E49="CLIENT L"),(S49*952.4),IF(AND(F49="HUILE",E49="CLIENT D"),(S49*3809.53+(VLOOKUP(H49,'BASE '!$I$112:$J$142,2,0))),IF(AND(F49="LAIT",E49="CLIENT D"),(S49*952.4),IF(AND(F49="HUILE",E49="CLIENT S+D"),((S49*3809.53+(VLOOKUP(H49,'BASE '!$I$112:$J$142,2,0)))-((S49*3809.53)*G49)),IF(AND(F49="LAIT",E49="CLIENT S+D"),((S49*952.4)-((S49*952.4)*G49)),IF(AND(E49="CLIENT S",F49="LAIT"),((S49*952.4)-((S49*952.4)*G49)),IF(AND(F49="HUILE",E49="CLIENT S"),(VLOOKUP(H49,'BASE '!$I$112:$J$142,2,0)+(VLOOKUP(S49,'BASE '!#REF!,2,0)))-(G49*((VLOOKUP(S49,'BASE '!#REF!,2,0)+(VLOOKUP(H49,'BASE '!$I$112:$J$142,2,0))))))))))))))))</f>
        <v>0</v>
      </c>
      <c r="P49" s="52" t="b">
        <f t="shared" si="1"/>
        <v>0</v>
      </c>
      <c r="Q49" s="53" t="b">
        <f t="shared" si="2"/>
        <v>0</v>
      </c>
      <c r="R49" s="152" t="s">
        <v>175</v>
      </c>
      <c r="S49" s="184">
        <f t="shared" si="6"/>
        <v>0</v>
      </c>
      <c r="T49" s="124"/>
      <c r="U49" s="41" t="s">
        <v>175</v>
      </c>
      <c r="V49" s="70" t="e">
        <f>VLOOKUP(U49,'BASE '!$A$4:$H$144,2,0)</f>
        <v>#N/A</v>
      </c>
      <c r="W49" s="159"/>
      <c r="X49" s="159"/>
      <c r="Y49" s="160"/>
      <c r="Z49" s="158" t="e">
        <f>VLOOKUP(U49,'BASE '!$A$4:$H$144,3,0)</f>
        <v>#N/A</v>
      </c>
      <c r="AA49" s="94" t="e">
        <f t="shared" si="3"/>
        <v>#N/A</v>
      </c>
      <c r="AB49" s="95" t="e">
        <f>VLOOKUP(U49,'BASE '!$A$4:$H$144,6,0)*Y49/100</f>
        <v>#N/A</v>
      </c>
      <c r="AC49" s="95" t="e">
        <f>VLOOKUP(U49,'BASE '!$A$4:$H$144,7,0)*Y49/100</f>
        <v>#N/A</v>
      </c>
      <c r="AD49" s="95" t="e">
        <f>VLOOKUP(U49,'BASE '!$A$4:$H$144,8,0)*Y49/100</f>
        <v>#N/A</v>
      </c>
      <c r="AE49" s="96" t="e">
        <f t="shared" si="7"/>
        <v>#N/A</v>
      </c>
      <c r="AF49" s="431"/>
      <c r="AG49" s="91" t="s">
        <v>157</v>
      </c>
      <c r="AH49" s="36" t="e">
        <f>SUMIFS($H$6:$H$165,$D$6:$D$165,AF49,CHOIX,AG49)</f>
        <v>#NAME?</v>
      </c>
      <c r="AI49" s="36" t="e">
        <f>SUMIFS($I$6:$I$165,$D$6:$D$165,AF49,CHOIX,AG49)</f>
        <v>#NAME?</v>
      </c>
      <c r="AJ49" s="36" t="e">
        <f>SUMIFS($J$6:$J$165,$D$6:$D$165,AF49,CHOIX,AG49)</f>
        <v>#NAME?</v>
      </c>
      <c r="AK49" s="36" t="e">
        <f>SUMIFS($K$6:$K$165,$D$6:$D$165,AF49,CHOIX,AG49)</f>
        <v>#NAME?</v>
      </c>
      <c r="AL49" s="36" t="e">
        <f>SUMIFS($L$6:$L$165,$D$6:$D$165,AF49,CHOIX,AG49)</f>
        <v>#NAME?</v>
      </c>
      <c r="AM49" s="36" t="e">
        <f>SUMIFS($M$6:$M$165,$D$6:$D$165,AF49,CHOIX,AG49)</f>
        <v>#NAME?</v>
      </c>
      <c r="AN49" s="91" t="s">
        <v>157</v>
      </c>
      <c r="AO49" s="83"/>
      <c r="AP49" s="63"/>
      <c r="AQ49" s="63"/>
      <c r="AR49" s="63"/>
      <c r="AS49" s="79"/>
      <c r="AT49" s="79"/>
      <c r="AU49" s="55" t="e">
        <f>SUMIFS($O$6:$O$165,$D$6:$D$165,AF49,CHOIX,AG49)</f>
        <v>#NAME?</v>
      </c>
      <c r="AV49" s="80" t="e">
        <f>SUMIFS($Q$6:$Q$165,$D$6:$D$165,AF49,CHOIX,AG49)</f>
        <v>#NAME?</v>
      </c>
      <c r="AZ49" s="8"/>
      <c r="BA49" s="148"/>
      <c r="BB49" s="148"/>
      <c r="BC49" s="148"/>
      <c r="BD49" s="10"/>
      <c r="BE49" s="10"/>
      <c r="BF49" s="10"/>
      <c r="BG49" s="10"/>
      <c r="BH49" s="10"/>
      <c r="BI49" s="10"/>
      <c r="BJ49" s="10"/>
      <c r="BK49" s="10"/>
      <c r="BL49" s="10"/>
      <c r="BM49" s="147">
        <f t="shared" si="8"/>
        <v>0</v>
      </c>
      <c r="BN49" s="147">
        <f t="shared" si="9"/>
        <v>0</v>
      </c>
      <c r="BO49" s="149"/>
      <c r="DN49" s="116" t="e">
        <f>(($I$5*#REF!)/100)+((#REF!*$J$5)/100)+(($K$5*#REF!)/100)+($L$5*#REF!)+($M$5*#REF!)</f>
        <v>#REF!</v>
      </c>
    </row>
    <row r="50" spans="2:118" x14ac:dyDescent="0.3">
      <c r="B50" s="64"/>
      <c r="C50" s="148"/>
      <c r="D50" s="109"/>
      <c r="E50" s="63"/>
      <c r="F50" s="127"/>
      <c r="G50" s="50"/>
      <c r="H50" s="10"/>
      <c r="I50" s="10"/>
      <c r="J50" s="10"/>
      <c r="K50" s="10"/>
      <c r="L50" s="10"/>
      <c r="M50" s="39"/>
      <c r="N50" s="33">
        <f t="shared" si="0"/>
        <v>0</v>
      </c>
      <c r="O50" s="52" t="b">
        <f>IF(AND(E50="CLIENT S+L",F50="HUILE"),(S50*3333.33+(VLOOKUP(H50,'BASE '!$I$112:$J$142,2,0)))-((S50*3333.33)*G50),IF(AND(E50="CLIENT S+L",F50="LAIT"),((S50*952.4)-(S50*952.4)*G50),IF(E50="CLIENT O","OFFERT",IF(AND(F50="HUILE",E50="CLIENT L"),(((VLOOKUP(H50,'BASE '!$I$112:$J$142,2,0))+(VLOOKUP(S50,'BASE '!#REF!,2,0)))),IF(AND(F50="LAIT",E50="CLIENT L"),(S50*952.4),IF(AND(F50="HUILE",E50="CLIENT D"),(S50*3809.53+(VLOOKUP(H50,'BASE '!$I$112:$J$142,2,0))),IF(AND(F50="LAIT",E50="CLIENT D"),(S50*952.4),IF(AND(F50="HUILE",E50="CLIENT S+D"),((S50*3809.53+(VLOOKUP(H50,'BASE '!$I$112:$J$142,2,0)))-((S50*3809.53)*G50)),IF(AND(F50="LAIT",E50="CLIENT S+D"),((S50*952.4)-((S50*952.4)*G50)),IF(AND(E50="CLIENT S",F50="LAIT"),((S50*952.4)-((S50*952.4)*G50)),IF(AND(F50="HUILE",E50="CLIENT S"),(VLOOKUP(H50,'BASE '!$I$112:$J$142,2,0)+(VLOOKUP(S50,'BASE '!#REF!,2,0)))-(G50*((VLOOKUP(S50,'BASE '!#REF!,2,0)+(VLOOKUP(H50,'BASE '!$I$112:$J$142,2,0))))))))))))))))</f>
        <v>0</v>
      </c>
      <c r="P50" s="52" t="b">
        <f t="shared" si="1"/>
        <v>0</v>
      </c>
      <c r="Q50" s="53" t="b">
        <f t="shared" si="2"/>
        <v>0</v>
      </c>
      <c r="R50" s="152" t="s">
        <v>175</v>
      </c>
      <c r="S50" s="184">
        <f t="shared" si="6"/>
        <v>0</v>
      </c>
      <c r="T50" s="124"/>
      <c r="U50" s="41" t="s">
        <v>175</v>
      </c>
      <c r="V50" s="70" t="e">
        <f>VLOOKUP(U50,'BASE '!$A$4:$H$144,2,0)</f>
        <v>#N/A</v>
      </c>
      <c r="W50" s="159"/>
      <c r="X50" s="159"/>
      <c r="Y50" s="160"/>
      <c r="Z50" s="158" t="e">
        <f>VLOOKUP(U50,'BASE '!$A$4:$H$144,3,0)</f>
        <v>#N/A</v>
      </c>
      <c r="AA50" s="94" t="e">
        <f t="shared" si="3"/>
        <v>#N/A</v>
      </c>
      <c r="AB50" s="95" t="e">
        <f>VLOOKUP(U50,'BASE '!$A$4:$H$144,6,0)*Y50/100</f>
        <v>#N/A</v>
      </c>
      <c r="AC50" s="95" t="e">
        <f>VLOOKUP(U50,'BASE '!$A$4:$H$144,7,0)*Y50/100</f>
        <v>#N/A</v>
      </c>
      <c r="AD50" s="95" t="e">
        <f>VLOOKUP(U50,'BASE '!$A$4:$H$144,8,0)*Y50/100</f>
        <v>#N/A</v>
      </c>
      <c r="AE50" s="96" t="e">
        <f t="shared" si="7"/>
        <v>#N/A</v>
      </c>
      <c r="AF50" s="431"/>
      <c r="AG50" s="1" t="s">
        <v>155</v>
      </c>
      <c r="AH50" s="36" t="e">
        <f>SUMIFS($H$6:$H$165,$D$6:$D$165,AF49,CHOIX,AG50)</f>
        <v>#NAME?</v>
      </c>
      <c r="AI50" s="36" t="e">
        <f>SUMIFS($I$6:$I$165,$D$6:$D$165,AF49,CHOIX,AG50)</f>
        <v>#NAME?</v>
      </c>
      <c r="AJ50" s="36" t="e">
        <f>SUMIFS($J$6:$J$165,$D$6:$D$165,AF49,CHOIX,AG50)</f>
        <v>#NAME?</v>
      </c>
      <c r="AK50" s="36" t="e">
        <f>SUMIFS($K$6:$K$165,$D$6:$D$165,AF49,CHOIX,AG50)</f>
        <v>#NAME?</v>
      </c>
      <c r="AL50" s="36" t="e">
        <f>SUMIFS($L$6:$L$165,$D$6:$D$165,AF49,CHOIX,AG50)</f>
        <v>#NAME?</v>
      </c>
      <c r="AM50" s="36" t="e">
        <f>SUMIFS($M$6:$M$165,$D$6:$D$165,AF49,CHOIX,AG50)</f>
        <v>#NAME?</v>
      </c>
      <c r="AN50" s="1" t="s">
        <v>155</v>
      </c>
      <c r="AO50" s="83"/>
      <c r="AP50" s="63"/>
      <c r="AQ50" s="63"/>
      <c r="AR50" s="63"/>
      <c r="AS50" s="79"/>
      <c r="AT50" s="79"/>
      <c r="AU50" s="55" t="e">
        <f>SUMIFS($O$6:$O$165,$D$6:$D$165,AF49,CHOIX,AG50)</f>
        <v>#NAME?</v>
      </c>
      <c r="AV50" s="80" t="e">
        <f>SUMIFS($Q$6:$Q$165,$D$6:$D$165,AF49,CHOIX,AG50)</f>
        <v>#NAME?</v>
      </c>
      <c r="AZ50" s="8"/>
      <c r="BA50" s="148"/>
      <c r="BB50" s="148"/>
      <c r="BC50" s="148"/>
      <c r="BD50" s="10"/>
      <c r="BE50" s="10"/>
      <c r="BF50" s="10"/>
      <c r="BG50" s="10"/>
      <c r="BH50" s="10"/>
      <c r="BI50" s="10"/>
      <c r="BJ50" s="10"/>
      <c r="BK50" s="10"/>
      <c r="BL50" s="10"/>
      <c r="BM50" s="147">
        <f t="shared" si="8"/>
        <v>0</v>
      </c>
      <c r="BN50" s="147">
        <f t="shared" si="9"/>
        <v>0</v>
      </c>
      <c r="BO50" s="149"/>
      <c r="DN50" s="116" t="e">
        <f>(($I$5*#REF!)/100)+((#REF!*$J$5)/100)+(($K$5*#REF!)/100)+($L$5*#REF!)+($M$5*#REF!)</f>
        <v>#REF!</v>
      </c>
    </row>
    <row r="51" spans="2:118" x14ac:dyDescent="0.3">
      <c r="B51" s="64"/>
      <c r="C51" s="148"/>
      <c r="D51" s="109"/>
      <c r="E51" s="63"/>
      <c r="F51" s="127"/>
      <c r="G51" s="50"/>
      <c r="H51" s="10"/>
      <c r="I51" s="10"/>
      <c r="J51" s="10"/>
      <c r="K51" s="10"/>
      <c r="L51" s="10"/>
      <c r="M51" s="39"/>
      <c r="N51" s="33">
        <f t="shared" si="0"/>
        <v>0</v>
      </c>
      <c r="O51" s="52" t="b">
        <f>IF(AND(E51="CLIENT S+L",F51="HUILE"),(S51*3333.33+(VLOOKUP(H51,'BASE '!$I$112:$J$142,2,0)))-((S51*3333.33)*G51),IF(AND(E51="CLIENT S+L",F51="LAIT"),((S51*952.4)-(S51*952.4)*G51),IF(E51="CLIENT O","OFFERT",IF(AND(F51="HUILE",E51="CLIENT L"),(((VLOOKUP(H51,'BASE '!$I$112:$J$142,2,0))+(VLOOKUP(S51,'BASE '!#REF!,2,0)))),IF(AND(F51="LAIT",E51="CLIENT L"),(S51*952.4),IF(AND(F51="HUILE",E51="CLIENT D"),(S51*3809.53+(VLOOKUP(H51,'BASE '!$I$112:$J$142,2,0))),IF(AND(F51="LAIT",E51="CLIENT D"),(S51*952.4),IF(AND(F51="HUILE",E51="CLIENT S+D"),((S51*3809.53+(VLOOKUP(H51,'BASE '!$I$112:$J$142,2,0)))-((S51*3809.53)*G51)),IF(AND(F51="LAIT",E51="CLIENT S+D"),((S51*952.4)-((S51*952.4)*G51)),IF(AND(E51="CLIENT S",F51="LAIT"),((S51*952.4)-((S51*952.4)*G51)),IF(AND(F51="HUILE",E51="CLIENT S"),(VLOOKUP(H51,'BASE '!$I$112:$J$142,2,0)+(VLOOKUP(S51,'BASE '!#REF!,2,0)))-(G51*((VLOOKUP(S51,'BASE '!#REF!,2,0)+(VLOOKUP(H51,'BASE '!$I$112:$J$142,2,0))))))))))))))))</f>
        <v>0</v>
      </c>
      <c r="P51" s="52" t="b">
        <f t="shared" si="1"/>
        <v>0</v>
      </c>
      <c r="Q51" s="53" t="b">
        <f t="shared" si="2"/>
        <v>0</v>
      </c>
      <c r="R51" s="152" t="s">
        <v>175</v>
      </c>
      <c r="S51" s="184">
        <f t="shared" si="6"/>
        <v>0</v>
      </c>
      <c r="T51" s="124"/>
      <c r="U51" s="41" t="s">
        <v>175</v>
      </c>
      <c r="V51" s="70" t="e">
        <f>VLOOKUP(U51,'BASE '!$A$4:$H$144,2,0)</f>
        <v>#N/A</v>
      </c>
      <c r="W51" s="159"/>
      <c r="X51" s="159"/>
      <c r="Y51" s="160"/>
      <c r="Z51" s="158" t="e">
        <f>VLOOKUP(U51,'BASE '!$A$4:$H$144,3,0)</f>
        <v>#N/A</v>
      </c>
      <c r="AA51" s="94" t="e">
        <f t="shared" si="3"/>
        <v>#N/A</v>
      </c>
      <c r="AB51" s="95" t="e">
        <f>VLOOKUP(U51,'BASE '!$A$4:$H$144,6,0)*Y51/100</f>
        <v>#N/A</v>
      </c>
      <c r="AC51" s="95" t="e">
        <f>VLOOKUP(U51,'BASE '!$A$4:$H$144,7,0)*Y51/100</f>
        <v>#N/A</v>
      </c>
      <c r="AD51" s="95" t="e">
        <f>VLOOKUP(U51,'BASE '!$A$4:$H$144,8,0)*Y51/100</f>
        <v>#N/A</v>
      </c>
      <c r="AE51" s="96" t="e">
        <f t="shared" si="7"/>
        <v>#N/A</v>
      </c>
      <c r="AF51" s="431"/>
      <c r="AG51" s="91" t="s">
        <v>157</v>
      </c>
      <c r="AH51" s="36" t="e">
        <f>SUMIFS($H$6:$H$165,$D$6:$D$165,AF51,CHOIX,AG51)</f>
        <v>#NAME?</v>
      </c>
      <c r="AI51" s="36" t="e">
        <f>SUMIFS($I$6:$I$165,$D$6:$D$165,AF51,CHOIX,AG51)</f>
        <v>#NAME?</v>
      </c>
      <c r="AJ51" s="36" t="e">
        <f>SUMIFS($J$6:$J$165,$D$6:$D$165,AF51,CHOIX,AG51)</f>
        <v>#NAME?</v>
      </c>
      <c r="AK51" s="36" t="e">
        <f>SUMIFS($K$6:$K$165,$D$6:$D$165,AF51,CHOIX,AG51)</f>
        <v>#NAME?</v>
      </c>
      <c r="AL51" s="36" t="e">
        <f>SUMIFS($L$6:$L$165,$D$6:$D$165,AF51,CHOIX,AG51)</f>
        <v>#NAME?</v>
      </c>
      <c r="AM51" s="36" t="e">
        <f>SUMIFS($M$6:$M$165,$D$6:$D$165,AF51,CHOIX,AG51)</f>
        <v>#NAME?</v>
      </c>
      <c r="AN51" s="91" t="s">
        <v>157</v>
      </c>
      <c r="AO51" s="83"/>
      <c r="AP51" s="63"/>
      <c r="AQ51" s="63"/>
      <c r="AR51" s="63"/>
      <c r="AS51" s="79"/>
      <c r="AT51" s="79"/>
      <c r="AU51" s="55" t="e">
        <f>SUMIFS($O$6:$O$165,$D$6:$D$165,AF51,CHOIX,AG51)</f>
        <v>#NAME?</v>
      </c>
      <c r="AV51" s="80" t="e">
        <f>SUMIFS($Q$6:$Q$165,$D$6:$D$165,AF51,CHOIX,AG51)</f>
        <v>#NAME?</v>
      </c>
      <c r="AZ51" s="8"/>
      <c r="BA51" s="148"/>
      <c r="BB51" s="148"/>
      <c r="BC51" s="148"/>
      <c r="BD51" s="10"/>
      <c r="BE51" s="10"/>
      <c r="BF51" s="10"/>
      <c r="BG51" s="10"/>
      <c r="BH51" s="10"/>
      <c r="BI51" s="10"/>
      <c r="BJ51" s="10"/>
      <c r="BK51" s="10"/>
      <c r="BL51" s="10"/>
      <c r="BM51" s="147">
        <f t="shared" si="8"/>
        <v>0</v>
      </c>
      <c r="BN51" s="147">
        <f t="shared" si="9"/>
        <v>0</v>
      </c>
      <c r="BO51" s="149"/>
      <c r="DN51" s="116" t="e">
        <f>(($I$5*#REF!)/100)+((#REF!*$J$5)/100)+(($K$5*#REF!)/100)+($L$5*#REF!)+($M$5*#REF!)</f>
        <v>#REF!</v>
      </c>
    </row>
    <row r="52" spans="2:118" x14ac:dyDescent="0.3">
      <c r="B52" s="64"/>
      <c r="C52" s="148"/>
      <c r="D52" s="109"/>
      <c r="E52" s="63"/>
      <c r="F52" s="127"/>
      <c r="G52" s="50"/>
      <c r="H52" s="10"/>
      <c r="I52" s="10"/>
      <c r="J52" s="10"/>
      <c r="K52" s="10"/>
      <c r="L52" s="10"/>
      <c r="M52" s="39"/>
      <c r="N52" s="33">
        <f t="shared" si="0"/>
        <v>0</v>
      </c>
      <c r="O52" s="52" t="b">
        <f>IF(AND(E52="CLIENT S+L",F52="HUILE"),(S52*3333.33+(VLOOKUP(H52,'BASE '!$I$112:$J$142,2,0)))-((S52*3333.33)*G52),IF(AND(E52="CLIENT S+L",F52="LAIT"),((S52*952.4)-(S52*952.4)*G52),IF(E52="CLIENT O","OFFERT",IF(AND(F52="HUILE",E52="CLIENT L"),(((VLOOKUP(H52,'BASE '!$I$112:$J$142,2,0))+(VLOOKUP(S52,'BASE '!#REF!,2,0)))),IF(AND(F52="LAIT",E52="CLIENT L"),(S52*952.4),IF(AND(F52="HUILE",E52="CLIENT D"),(S52*3809.53+(VLOOKUP(H52,'BASE '!$I$112:$J$142,2,0))),IF(AND(F52="LAIT",E52="CLIENT D"),(S52*952.4),IF(AND(F52="HUILE",E52="CLIENT S+D"),((S52*3809.53+(VLOOKUP(H52,'BASE '!$I$112:$J$142,2,0)))-((S52*3809.53)*G52)),IF(AND(F52="LAIT",E52="CLIENT S+D"),((S52*952.4)-((S52*952.4)*G52)),IF(AND(E52="CLIENT S",F52="LAIT"),((S52*952.4)-((S52*952.4)*G52)),IF(AND(F52="HUILE",E52="CLIENT S"),(VLOOKUP(H52,'BASE '!$I$112:$J$142,2,0)+(VLOOKUP(S52,'BASE '!#REF!,2,0)))-(G52*((VLOOKUP(S52,'BASE '!#REF!,2,0)+(VLOOKUP(H52,'BASE '!$I$112:$J$142,2,0))))))))))))))))</f>
        <v>0</v>
      </c>
      <c r="P52" s="52" t="b">
        <f t="shared" si="1"/>
        <v>0</v>
      </c>
      <c r="Q52" s="53" t="b">
        <f t="shared" si="2"/>
        <v>0</v>
      </c>
      <c r="R52" s="152" t="s">
        <v>175</v>
      </c>
      <c r="S52" s="184">
        <f t="shared" si="6"/>
        <v>0</v>
      </c>
      <c r="T52" s="124"/>
      <c r="U52" s="41" t="s">
        <v>175</v>
      </c>
      <c r="V52" s="70" t="e">
        <f>VLOOKUP(U52,'BASE '!$A$4:$H$144,2,0)</f>
        <v>#N/A</v>
      </c>
      <c r="W52" s="159"/>
      <c r="X52" s="159"/>
      <c r="Y52" s="160"/>
      <c r="Z52" s="158" t="e">
        <f>VLOOKUP(U52,'BASE '!$A$4:$H$144,3,0)</f>
        <v>#N/A</v>
      </c>
      <c r="AA52" s="94" t="e">
        <f t="shared" si="3"/>
        <v>#N/A</v>
      </c>
      <c r="AB52" s="95" t="e">
        <f>VLOOKUP(U52,'BASE '!$A$4:$H$144,6,0)*Y52/100</f>
        <v>#N/A</v>
      </c>
      <c r="AC52" s="95" t="e">
        <f>VLOOKUP(U52,'BASE '!$A$4:$H$144,7,0)*Y52/100</f>
        <v>#N/A</v>
      </c>
      <c r="AD52" s="95" t="e">
        <f>VLOOKUP(U52,'BASE '!$A$4:$H$144,8,0)*Y52/100</f>
        <v>#N/A</v>
      </c>
      <c r="AE52" s="96" t="e">
        <f t="shared" si="7"/>
        <v>#N/A</v>
      </c>
      <c r="AF52" s="431"/>
      <c r="AG52" s="1" t="s">
        <v>155</v>
      </c>
      <c r="AH52" s="36" t="e">
        <f>SUMIFS($H$6:$H$165,$D$6:$D$165,AF51,CHOIX,AG52)</f>
        <v>#NAME?</v>
      </c>
      <c r="AI52" s="36" t="e">
        <f>SUMIFS($I$6:$I$165,$D$6:$D$165,AF51,CHOIX,AG52)</f>
        <v>#NAME?</v>
      </c>
      <c r="AJ52" s="36" t="e">
        <f>SUMIFS($J$6:$J$165,$D$6:$D$165,AF51,CHOIX,AG52)</f>
        <v>#NAME?</v>
      </c>
      <c r="AK52" s="36" t="e">
        <f>SUMIFS($K$6:$K$165,$D$6:$D$165,AF51,CHOIX,AG52)</f>
        <v>#NAME?</v>
      </c>
      <c r="AL52" s="36" t="e">
        <f>SUMIFS($L$6:$L$165,$D$6:$D$165,AF51,CHOIX,AG52)</f>
        <v>#NAME?</v>
      </c>
      <c r="AM52" s="36" t="e">
        <f>SUMIFS($M$6:$M$165,$D$6:$D$165,AF51,CHOIX,AG52)</f>
        <v>#NAME?</v>
      </c>
      <c r="AN52" s="1" t="s">
        <v>155</v>
      </c>
      <c r="AO52" s="83"/>
      <c r="AP52" s="63"/>
      <c r="AQ52" s="63"/>
      <c r="AR52" s="63"/>
      <c r="AS52" s="79"/>
      <c r="AT52" s="79"/>
      <c r="AU52" s="55" t="e">
        <f>SUMIFS($O$6:$O$165,$D$6:$D$165,AF51,CHOIX,AG52)</f>
        <v>#NAME?</v>
      </c>
      <c r="AV52" s="80" t="e">
        <f>SUMIFS($Q$6:$Q$165,$D$6:$D$165,AF51,CHOIX,AG52)</f>
        <v>#NAME?</v>
      </c>
      <c r="AZ52" s="8"/>
      <c r="BA52" s="148"/>
      <c r="BB52" s="148"/>
      <c r="BC52" s="148"/>
      <c r="BD52" s="10"/>
      <c r="BE52" s="10"/>
      <c r="BF52" s="10"/>
      <c r="BG52" s="10"/>
      <c r="BH52" s="10"/>
      <c r="BI52" s="10"/>
      <c r="BJ52" s="10"/>
      <c r="BK52" s="10"/>
      <c r="BL52" s="10"/>
      <c r="BM52" s="147">
        <f t="shared" si="8"/>
        <v>0</v>
      </c>
      <c r="BN52" s="147">
        <f t="shared" si="9"/>
        <v>0</v>
      </c>
      <c r="BO52" s="149"/>
      <c r="DN52" s="116" t="e">
        <f>(($I$5*#REF!)/100)+((#REF!*$J$5)/100)+(($K$5*#REF!)/100)+($L$5*#REF!)+($M$5*#REF!)</f>
        <v>#REF!</v>
      </c>
    </row>
    <row r="53" spans="2:118" x14ac:dyDescent="0.3">
      <c r="B53" s="64"/>
      <c r="C53" s="148"/>
      <c r="D53" s="109"/>
      <c r="E53" s="63"/>
      <c r="F53" s="127"/>
      <c r="G53" s="50"/>
      <c r="H53" s="10"/>
      <c r="I53" s="10"/>
      <c r="J53" s="10"/>
      <c r="K53" s="10"/>
      <c r="L53" s="10"/>
      <c r="M53" s="39"/>
      <c r="N53" s="33">
        <f t="shared" si="0"/>
        <v>0</v>
      </c>
      <c r="O53" s="52" t="b">
        <f>IF(AND(E53="CLIENT S+L",F53="HUILE"),(S53*3333.33+(VLOOKUP(H53,'BASE '!$I$112:$J$142,2,0)))-((S53*3333.33)*G53),IF(AND(E53="CLIENT S+L",F53="LAIT"),((S53*952.4)-(S53*952.4)*G53),IF(E53="CLIENT O","OFFERT",IF(AND(F53="HUILE",E53="CLIENT L"),(((VLOOKUP(H53,'BASE '!$I$112:$J$142,2,0))+(VLOOKUP(S53,'BASE '!#REF!,2,0)))),IF(AND(F53="LAIT",E53="CLIENT L"),(S53*952.4),IF(AND(F53="HUILE",E53="CLIENT D"),(S53*3809.53+(VLOOKUP(H53,'BASE '!$I$112:$J$142,2,0))),IF(AND(F53="LAIT",E53="CLIENT D"),(S53*952.4),IF(AND(F53="HUILE",E53="CLIENT S+D"),((S53*3809.53+(VLOOKUP(H53,'BASE '!$I$112:$J$142,2,0)))-((S53*3809.53)*G53)),IF(AND(F53="LAIT",E53="CLIENT S+D"),((S53*952.4)-((S53*952.4)*G53)),IF(AND(E53="CLIENT S",F53="LAIT"),((S53*952.4)-((S53*952.4)*G53)),IF(AND(F53="HUILE",E53="CLIENT S"),(VLOOKUP(H53,'BASE '!$I$112:$J$142,2,0)+(VLOOKUP(S53,'BASE '!#REF!,2,0)))-(G53*((VLOOKUP(S53,'BASE '!#REF!,2,0)+(VLOOKUP(H53,'BASE '!$I$112:$J$142,2,0))))))))))))))))</f>
        <v>0</v>
      </c>
      <c r="P53" s="52" t="b">
        <f t="shared" si="1"/>
        <v>0</v>
      </c>
      <c r="Q53" s="53" t="b">
        <f t="shared" si="2"/>
        <v>0</v>
      </c>
      <c r="R53" s="152" t="s">
        <v>175</v>
      </c>
      <c r="S53" s="184">
        <f t="shared" si="6"/>
        <v>0</v>
      </c>
      <c r="T53" s="124"/>
      <c r="U53" s="41" t="s">
        <v>175</v>
      </c>
      <c r="V53" s="70" t="e">
        <f>VLOOKUP(U53,'BASE '!$A$4:$H$144,2,0)</f>
        <v>#N/A</v>
      </c>
      <c r="W53" s="159"/>
      <c r="X53" s="159"/>
      <c r="Y53" s="160"/>
      <c r="Z53" s="158" t="e">
        <f>VLOOKUP(U53,'BASE '!$A$4:$H$144,3,0)</f>
        <v>#N/A</v>
      </c>
      <c r="AA53" s="94" t="e">
        <f t="shared" si="3"/>
        <v>#N/A</v>
      </c>
      <c r="AB53" s="95" t="e">
        <f>VLOOKUP(U53,'BASE '!$A$4:$H$144,6,0)*Y53/100</f>
        <v>#N/A</v>
      </c>
      <c r="AC53" s="95" t="e">
        <f>VLOOKUP(U53,'BASE '!$A$4:$H$144,7,0)*Y53/100</f>
        <v>#N/A</v>
      </c>
      <c r="AD53" s="95" t="e">
        <f>VLOOKUP(U53,'BASE '!$A$4:$H$144,8,0)*Y53/100</f>
        <v>#N/A</v>
      </c>
      <c r="AE53" s="96" t="e">
        <f t="shared" si="7"/>
        <v>#N/A</v>
      </c>
      <c r="AF53" s="431"/>
      <c r="AG53" s="91" t="s">
        <v>157</v>
      </c>
      <c r="AH53" s="36" t="e">
        <f>SUMIFS($H$6:$H$165,$D$6:$D$165,AF53,CHOIX,AG53)</f>
        <v>#NAME?</v>
      </c>
      <c r="AI53" s="36" t="e">
        <f>SUMIFS($I$6:$I$165,$D$6:$D$165,AF53,CHOIX,AG53)</f>
        <v>#NAME?</v>
      </c>
      <c r="AJ53" s="36" t="e">
        <f>SUMIFS($J$6:$J$165,$D$6:$D$165,AF53,CHOIX,AG53)</f>
        <v>#NAME?</v>
      </c>
      <c r="AK53" s="36" t="e">
        <f>SUMIFS($K$6:$K$165,$D$6:$D$165,AF53,CHOIX,AG53)</f>
        <v>#NAME?</v>
      </c>
      <c r="AL53" s="36" t="e">
        <f>SUMIFS($L$6:$L$165,$D$6:$D$165,AF53,CHOIX,AG53)</f>
        <v>#NAME?</v>
      </c>
      <c r="AM53" s="36" t="e">
        <f>SUMIFS($M$6:$M$165,$D$6:$D$165,AF53,CHOIX,AG53)</f>
        <v>#NAME?</v>
      </c>
      <c r="AN53" s="91" t="s">
        <v>157</v>
      </c>
      <c r="AO53" s="83"/>
      <c r="AP53" s="63"/>
      <c r="AQ53" s="63"/>
      <c r="AR53" s="63"/>
      <c r="AS53" s="79"/>
      <c r="AT53" s="79"/>
      <c r="AU53" s="55" t="e">
        <f>SUMIFS($O$6:$O$165,$D$6:$D$165,AF53,CHOIX,AG53)</f>
        <v>#NAME?</v>
      </c>
      <c r="AV53" s="80" t="e">
        <f>SUMIFS($Q$6:$Q$165,$D$6:$D$165,AF53,CHOIX,AG53)</f>
        <v>#NAME?</v>
      </c>
      <c r="AZ53" s="8"/>
      <c r="BA53" s="148"/>
      <c r="BB53" s="148"/>
      <c r="BC53" s="148"/>
      <c r="BD53" s="10"/>
      <c r="BE53" s="10"/>
      <c r="BF53" s="10"/>
      <c r="BG53" s="10"/>
      <c r="BH53" s="10"/>
      <c r="BI53" s="10"/>
      <c r="BJ53" s="10"/>
      <c r="BK53" s="10"/>
      <c r="BL53" s="10"/>
      <c r="BM53" s="147">
        <f t="shared" si="8"/>
        <v>0</v>
      </c>
      <c r="BN53" s="147">
        <f t="shared" si="9"/>
        <v>0</v>
      </c>
      <c r="BO53" s="149"/>
      <c r="DN53" s="116" t="e">
        <f>(($I$5*#REF!)/100)+((#REF!*$J$5)/100)+(($K$5*#REF!)/100)+($L$5*#REF!)+($M$5*#REF!)</f>
        <v>#REF!</v>
      </c>
    </row>
    <row r="54" spans="2:118" x14ac:dyDescent="0.3">
      <c r="B54" s="64"/>
      <c r="C54" s="148"/>
      <c r="D54" s="109"/>
      <c r="E54" s="63"/>
      <c r="F54" s="127"/>
      <c r="G54" s="50"/>
      <c r="H54" s="10"/>
      <c r="I54" s="10"/>
      <c r="J54" s="10"/>
      <c r="K54" s="10"/>
      <c r="L54" s="10"/>
      <c r="M54" s="39"/>
      <c r="N54" s="33">
        <f t="shared" si="0"/>
        <v>0</v>
      </c>
      <c r="O54" s="52" t="b">
        <f>IF(AND(E54="CLIENT S+L",F54="HUILE"),(S54*3333.33+(VLOOKUP(H54,'BASE '!$I$112:$J$142,2,0)))-((S54*3333.33)*G54),IF(AND(E54="CLIENT S+L",F54="LAIT"),((S54*952.4)-(S54*952.4)*G54),IF(E54="CLIENT O","OFFERT",IF(AND(F54="HUILE",E54="CLIENT L"),(((VLOOKUP(H54,'BASE '!$I$112:$J$142,2,0))+(VLOOKUP(S54,'BASE '!#REF!,2,0)))),IF(AND(F54="LAIT",E54="CLIENT L"),(S54*952.4),IF(AND(F54="HUILE",E54="CLIENT D"),(S54*3809.53+(VLOOKUP(H54,'BASE '!$I$112:$J$142,2,0))),IF(AND(F54="LAIT",E54="CLIENT D"),(S54*952.4),IF(AND(F54="HUILE",E54="CLIENT S+D"),((S54*3809.53+(VLOOKUP(H54,'BASE '!$I$112:$J$142,2,0)))-((S54*3809.53)*G54)),IF(AND(F54="LAIT",E54="CLIENT S+D"),((S54*952.4)-((S54*952.4)*G54)),IF(AND(E54="CLIENT S",F54="LAIT"),((S54*952.4)-((S54*952.4)*G54)),IF(AND(F54="HUILE",E54="CLIENT S"),(VLOOKUP(H54,'BASE '!$I$112:$J$142,2,0)+(VLOOKUP(S54,'BASE '!#REF!,2,0)))-(G54*((VLOOKUP(S54,'BASE '!#REF!,2,0)+(VLOOKUP(H54,'BASE '!$I$112:$J$142,2,0))))))))))))))))</f>
        <v>0</v>
      </c>
      <c r="P54" s="52" t="b">
        <f t="shared" si="1"/>
        <v>0</v>
      </c>
      <c r="Q54" s="53" t="b">
        <f t="shared" si="2"/>
        <v>0</v>
      </c>
      <c r="R54" s="152" t="s">
        <v>175</v>
      </c>
      <c r="S54" s="184">
        <f t="shared" si="6"/>
        <v>0</v>
      </c>
      <c r="T54" s="124"/>
      <c r="U54" s="41" t="s">
        <v>175</v>
      </c>
      <c r="V54" s="70" t="e">
        <f>VLOOKUP(U54,'BASE '!$A$4:$H$144,2,0)</f>
        <v>#N/A</v>
      </c>
      <c r="W54" s="159"/>
      <c r="X54" s="159"/>
      <c r="Y54" s="160"/>
      <c r="Z54" s="158" t="e">
        <f>VLOOKUP(U54,'BASE '!$A$4:$H$144,3,0)</f>
        <v>#N/A</v>
      </c>
      <c r="AA54" s="94" t="e">
        <f t="shared" si="3"/>
        <v>#N/A</v>
      </c>
      <c r="AB54" s="95" t="e">
        <f>VLOOKUP(U54,'BASE '!$A$4:$H$144,6,0)*Y54/100</f>
        <v>#N/A</v>
      </c>
      <c r="AC54" s="95" t="e">
        <f>VLOOKUP(U54,'BASE '!$A$4:$H$144,7,0)*Y54/100</f>
        <v>#N/A</v>
      </c>
      <c r="AD54" s="95" t="e">
        <f>VLOOKUP(U54,'BASE '!$A$4:$H$144,8,0)*Y54/100</f>
        <v>#N/A</v>
      </c>
      <c r="AE54" s="96" t="e">
        <f t="shared" si="7"/>
        <v>#N/A</v>
      </c>
      <c r="AF54" s="431"/>
      <c r="AG54" s="1" t="s">
        <v>155</v>
      </c>
      <c r="AH54" s="36" t="e">
        <f>SUMIFS($H$6:$H$165,$D$6:$D$165,AF53,CHOIX,AG54)</f>
        <v>#NAME?</v>
      </c>
      <c r="AI54" s="36" t="e">
        <f>SUMIFS($I$6:$I$165,$D$6:$D$165,AF53,CHOIX,AG54)</f>
        <v>#NAME?</v>
      </c>
      <c r="AJ54" s="36" t="e">
        <f>SUMIFS($J$6:$J$165,$D$6:$D$165,AF53,CHOIX,AG54)</f>
        <v>#NAME?</v>
      </c>
      <c r="AK54" s="36" t="e">
        <f>SUMIFS($K$6:$K$165,$D$6:$D$165,AF53,CHOIX,AG54)</f>
        <v>#NAME?</v>
      </c>
      <c r="AL54" s="36" t="e">
        <f>SUMIFS($L$6:$L$165,$D$6:$D$165,AF53,CHOIX,AG54)</f>
        <v>#NAME?</v>
      </c>
      <c r="AM54" s="36" t="e">
        <f>SUMIFS($M$6:$M$165,$D$6:$D$165,AF53,CHOIX,AG54)</f>
        <v>#NAME?</v>
      </c>
      <c r="AN54" s="1" t="s">
        <v>155</v>
      </c>
      <c r="AO54" s="83"/>
      <c r="AP54" s="63"/>
      <c r="AQ54" s="63"/>
      <c r="AR54" s="63"/>
      <c r="AS54" s="79"/>
      <c r="AT54" s="79"/>
      <c r="AU54" s="55" t="e">
        <f>SUMIFS($O$6:$O$165,$D$6:$D$165,AF53,CHOIX,AG54)</f>
        <v>#NAME?</v>
      </c>
      <c r="AV54" s="80" t="e">
        <f>SUMIFS($Q$6:$Q$165,$D$6:$D$165,AF53,CHOIX,AG54)</f>
        <v>#NAME?</v>
      </c>
      <c r="AZ54" s="8"/>
      <c r="BA54" s="148"/>
      <c r="BB54" s="148"/>
      <c r="BC54" s="148"/>
      <c r="BD54" s="10"/>
      <c r="BE54" s="10"/>
      <c r="BF54" s="10"/>
      <c r="BG54" s="10"/>
      <c r="BH54" s="10"/>
      <c r="BI54" s="10"/>
      <c r="BJ54" s="10"/>
      <c r="BK54" s="10"/>
      <c r="BL54" s="10"/>
      <c r="BM54" s="147">
        <f t="shared" si="8"/>
        <v>0</v>
      </c>
      <c r="BN54" s="147">
        <f t="shared" si="9"/>
        <v>0</v>
      </c>
      <c r="BO54" s="149"/>
      <c r="DN54" s="116" t="e">
        <f>(($I$5*#REF!)/100)+((#REF!*$J$5)/100)+(($K$5*#REF!)/100)+($L$5*#REF!)+($M$5*#REF!)</f>
        <v>#REF!</v>
      </c>
    </row>
    <row r="55" spans="2:118" x14ac:dyDescent="0.3">
      <c r="B55" s="64"/>
      <c r="C55" s="148"/>
      <c r="D55" s="109"/>
      <c r="E55" s="63"/>
      <c r="F55" s="127"/>
      <c r="G55" s="50"/>
      <c r="H55" s="10"/>
      <c r="I55" s="10"/>
      <c r="J55" s="10"/>
      <c r="K55" s="10"/>
      <c r="L55" s="10"/>
      <c r="M55" s="39"/>
      <c r="N55" s="33">
        <f t="shared" si="0"/>
        <v>0</v>
      </c>
      <c r="O55" s="52" t="b">
        <f>IF(AND(E55="CLIENT S+L",F55="HUILE"),(S55*3333.33+(VLOOKUP(H55,'BASE '!$I$112:$J$142,2,0)))-((S55*3333.33)*G55),IF(AND(E55="CLIENT S+L",F55="LAIT"),((S55*952.4)-(S55*952.4)*G55),IF(E55="CLIENT O","OFFERT",IF(AND(F55="HUILE",E55="CLIENT L"),(((VLOOKUP(H55,'BASE '!$I$112:$J$142,2,0))+(VLOOKUP(S55,'BASE '!#REF!,2,0)))),IF(AND(F55="LAIT",E55="CLIENT L"),(S55*952.4),IF(AND(F55="HUILE",E55="CLIENT D"),(S55*3809.53+(VLOOKUP(H55,'BASE '!$I$112:$J$142,2,0))),IF(AND(F55="LAIT",E55="CLIENT D"),(S55*952.4),IF(AND(F55="HUILE",E55="CLIENT S+D"),((S55*3809.53+(VLOOKUP(H55,'BASE '!$I$112:$J$142,2,0)))-((S55*3809.53)*G55)),IF(AND(F55="LAIT",E55="CLIENT S+D"),((S55*952.4)-((S55*952.4)*G55)),IF(AND(E55="CLIENT S",F55="LAIT"),((S55*952.4)-((S55*952.4)*G55)),IF(AND(F55="HUILE",E55="CLIENT S"),(VLOOKUP(H55,'BASE '!$I$112:$J$142,2,0)+(VLOOKUP(S55,'BASE '!#REF!,2,0)))-(G55*((VLOOKUP(S55,'BASE '!#REF!,2,0)+(VLOOKUP(H55,'BASE '!$I$112:$J$142,2,0))))))))))))))))</f>
        <v>0</v>
      </c>
      <c r="P55" s="52" t="b">
        <f t="shared" si="1"/>
        <v>0</v>
      </c>
      <c r="Q55" s="53" t="b">
        <f t="shared" si="2"/>
        <v>0</v>
      </c>
      <c r="R55" s="152" t="s">
        <v>175</v>
      </c>
      <c r="S55" s="184">
        <f t="shared" si="6"/>
        <v>0</v>
      </c>
      <c r="T55" s="124"/>
      <c r="U55" s="41" t="s">
        <v>175</v>
      </c>
      <c r="V55" s="70" t="e">
        <f>VLOOKUP(U55,'BASE '!$A$4:$H$144,2,0)</f>
        <v>#N/A</v>
      </c>
      <c r="W55" s="159"/>
      <c r="X55" s="159"/>
      <c r="Y55" s="160"/>
      <c r="Z55" s="158" t="e">
        <f>VLOOKUP(U55,'BASE '!$A$4:$H$144,3,0)</f>
        <v>#N/A</v>
      </c>
      <c r="AA55" s="94" t="e">
        <f t="shared" si="3"/>
        <v>#N/A</v>
      </c>
      <c r="AB55" s="95" t="e">
        <f>VLOOKUP(U55,'BASE '!$A$4:$H$144,6,0)*Y55/100</f>
        <v>#N/A</v>
      </c>
      <c r="AC55" s="95" t="e">
        <f>VLOOKUP(U55,'BASE '!$A$4:$H$144,7,0)*Y55/100</f>
        <v>#N/A</v>
      </c>
      <c r="AD55" s="95" t="e">
        <f>VLOOKUP(U55,'BASE '!$A$4:$H$144,8,0)*Y55/100</f>
        <v>#N/A</v>
      </c>
      <c r="AE55" s="96" t="e">
        <f t="shared" si="7"/>
        <v>#N/A</v>
      </c>
      <c r="AF55" s="431"/>
      <c r="AG55" s="91" t="s">
        <v>157</v>
      </c>
      <c r="AH55" s="36" t="e">
        <f>SUMIFS($H$6:$H$165,$D$6:$D$165,AF55,CHOIX,AG55)</f>
        <v>#NAME?</v>
      </c>
      <c r="AI55" s="36" t="e">
        <f>SUMIFS($I$6:$I$165,$D$6:$D$165,AF55,CHOIX,AG55)</f>
        <v>#NAME?</v>
      </c>
      <c r="AJ55" s="36" t="e">
        <f>SUMIFS($J$6:$J$165,$D$6:$D$165,AF55,CHOIX,AG55)</f>
        <v>#NAME?</v>
      </c>
      <c r="AK55" s="36" t="e">
        <f>SUMIFS($K$6:$K$165,$D$6:$D$165,AF55,CHOIX,AG55)</f>
        <v>#NAME?</v>
      </c>
      <c r="AL55" s="36" t="e">
        <f>SUMIFS($L$6:$L$165,$D$6:$D$165,AF55,CHOIX,AG55)</f>
        <v>#NAME?</v>
      </c>
      <c r="AM55" s="36" t="e">
        <f>SUMIFS($M$6:$M$165,$D$6:$D$165,AF55,CHOIX,AG55)</f>
        <v>#NAME?</v>
      </c>
      <c r="AN55" s="91" t="s">
        <v>157</v>
      </c>
      <c r="AO55" s="83"/>
      <c r="AP55" s="63"/>
      <c r="AQ55" s="63"/>
      <c r="AR55" s="63"/>
      <c r="AS55" s="79"/>
      <c r="AT55" s="79"/>
      <c r="AU55" s="55" t="e">
        <f>SUMIFS($O$6:$O$165,$D$6:$D$165,AF55,CHOIX,AG55)</f>
        <v>#NAME?</v>
      </c>
      <c r="AV55" s="80" t="e">
        <f>SUMIFS($Q$6:$Q$165,$D$6:$D$165,AF55,CHOIX,AG55)</f>
        <v>#NAME?</v>
      </c>
      <c r="AZ55" s="8"/>
      <c r="BA55" s="148"/>
      <c r="BB55" s="148"/>
      <c r="BC55" s="148"/>
      <c r="BD55" s="10"/>
      <c r="BE55" s="10"/>
      <c r="BF55" s="10"/>
      <c r="BG55" s="10"/>
      <c r="BH55" s="10"/>
      <c r="BI55" s="10"/>
      <c r="BJ55" s="10"/>
      <c r="BK55" s="10"/>
      <c r="BL55" s="10"/>
      <c r="BM55" s="147">
        <f t="shared" si="8"/>
        <v>0</v>
      </c>
      <c r="BN55" s="147">
        <f t="shared" si="9"/>
        <v>0</v>
      </c>
      <c r="BO55" s="149"/>
      <c r="DN55" s="116" t="e">
        <f>(($I$5*#REF!)/100)+((#REF!*$J$5)/100)+(($K$5*#REF!)/100)+($L$5*#REF!)+($M$5*#REF!)</f>
        <v>#REF!</v>
      </c>
    </row>
    <row r="56" spans="2:118" x14ac:dyDescent="0.3">
      <c r="B56" s="64"/>
      <c r="C56" s="148"/>
      <c r="D56" s="109"/>
      <c r="E56" s="63"/>
      <c r="F56" s="127"/>
      <c r="G56" s="50"/>
      <c r="H56" s="10"/>
      <c r="I56" s="10"/>
      <c r="J56" s="10"/>
      <c r="K56" s="10"/>
      <c r="L56" s="10"/>
      <c r="M56" s="39"/>
      <c r="N56" s="33">
        <f t="shared" si="0"/>
        <v>0</v>
      </c>
      <c r="O56" s="52" t="b">
        <f>IF(AND(E56="CLIENT S+L",F56="HUILE"),(S56*3333.33+(VLOOKUP(H56,'BASE '!$I$112:$J$142,2,0)))-((S56*3333.33)*G56),IF(AND(E56="CLIENT S+L",F56="LAIT"),((S56*952.4)-(S56*952.4)*G56),IF(E56="CLIENT O","OFFERT",IF(AND(F56="HUILE",E56="CLIENT L"),(((VLOOKUP(H56,'BASE '!$I$112:$J$142,2,0))+(VLOOKUP(S56,'BASE '!#REF!,2,0)))),IF(AND(F56="LAIT",E56="CLIENT L"),(S56*952.4),IF(AND(F56="HUILE",E56="CLIENT D"),(S56*3809.53+(VLOOKUP(H56,'BASE '!$I$112:$J$142,2,0))),IF(AND(F56="LAIT",E56="CLIENT D"),(S56*952.4),IF(AND(F56="HUILE",E56="CLIENT S+D"),((S56*3809.53+(VLOOKUP(H56,'BASE '!$I$112:$J$142,2,0)))-((S56*3809.53)*G56)),IF(AND(F56="LAIT",E56="CLIENT S+D"),((S56*952.4)-((S56*952.4)*G56)),IF(AND(E56="CLIENT S",F56="LAIT"),((S56*952.4)-((S56*952.4)*G56)),IF(AND(F56="HUILE",E56="CLIENT S"),(VLOOKUP(H56,'BASE '!$I$112:$J$142,2,0)+(VLOOKUP(S56,'BASE '!#REF!,2,0)))-(G56*((VLOOKUP(S56,'BASE '!#REF!,2,0)+(VLOOKUP(H56,'BASE '!$I$112:$J$142,2,0))))))))))))))))</f>
        <v>0</v>
      </c>
      <c r="P56" s="52" t="b">
        <f t="shared" si="1"/>
        <v>0</v>
      </c>
      <c r="Q56" s="53" t="b">
        <f t="shared" si="2"/>
        <v>0</v>
      </c>
      <c r="R56" s="152" t="s">
        <v>175</v>
      </c>
      <c r="S56" s="184">
        <f t="shared" si="6"/>
        <v>0</v>
      </c>
      <c r="T56" s="124"/>
      <c r="U56" s="41" t="s">
        <v>175</v>
      </c>
      <c r="V56" s="70" t="e">
        <f>VLOOKUP(U56,'BASE '!$A$4:$H$144,2,0)</f>
        <v>#N/A</v>
      </c>
      <c r="W56" s="159"/>
      <c r="X56" s="159"/>
      <c r="Y56" s="160"/>
      <c r="Z56" s="158" t="e">
        <f>VLOOKUP(U56,'BASE '!$A$4:$H$144,3,0)</f>
        <v>#N/A</v>
      </c>
      <c r="AA56" s="94" t="e">
        <f t="shared" si="3"/>
        <v>#N/A</v>
      </c>
      <c r="AB56" s="95" t="e">
        <f>VLOOKUP(U56,'BASE '!$A$4:$H$144,6,0)*Y56/100</f>
        <v>#N/A</v>
      </c>
      <c r="AC56" s="95" t="e">
        <f>VLOOKUP(U56,'BASE '!$A$4:$H$144,7,0)*Y56/100</f>
        <v>#N/A</v>
      </c>
      <c r="AD56" s="95" t="e">
        <f>VLOOKUP(U56,'BASE '!$A$4:$H$144,8,0)*Y56/100</f>
        <v>#N/A</v>
      </c>
      <c r="AE56" s="96" t="e">
        <f t="shared" si="7"/>
        <v>#N/A</v>
      </c>
      <c r="AF56" s="431"/>
      <c r="AG56" s="1" t="s">
        <v>155</v>
      </c>
      <c r="AH56" s="36" t="e">
        <f>SUMIFS($H$6:$H$165,$D$6:$D$165,AF55,CHOIX,AG56)</f>
        <v>#NAME?</v>
      </c>
      <c r="AI56" s="36" t="e">
        <f>SUMIFS($I$6:$I$165,$D$6:$D$165,AF55,CHOIX,AG56)</f>
        <v>#NAME?</v>
      </c>
      <c r="AJ56" s="36" t="e">
        <f>SUMIFS($J$6:$J$165,$D$6:$D$165,AF55,CHOIX,AG56)</f>
        <v>#NAME?</v>
      </c>
      <c r="AK56" s="36" t="e">
        <f>SUMIFS($K$6:$K$165,$D$6:$D$165,AF55,CHOIX,AG56)</f>
        <v>#NAME?</v>
      </c>
      <c r="AL56" s="36" t="e">
        <f>SUMIFS($L$6:$L$165,$D$6:$D$165,AF55,CHOIX,AG56)</f>
        <v>#NAME?</v>
      </c>
      <c r="AM56" s="36" t="e">
        <f>SUMIFS($M$6:$M$165,$D$6:$D$165,AF55,CHOIX,AG56)</f>
        <v>#NAME?</v>
      </c>
      <c r="AN56" s="1" t="s">
        <v>155</v>
      </c>
      <c r="AO56" s="83"/>
      <c r="AP56" s="63"/>
      <c r="AQ56" s="63"/>
      <c r="AR56" s="63"/>
      <c r="AS56" s="79"/>
      <c r="AT56" s="79"/>
      <c r="AU56" s="55" t="e">
        <f>SUMIFS($O$6:$O$165,$D$6:$D$165,AF55,CHOIX,AG56)</f>
        <v>#NAME?</v>
      </c>
      <c r="AV56" s="80" t="e">
        <f>SUMIFS($Q$6:$Q$165,$D$6:$D$165,AF55,CHOIX,AG56)</f>
        <v>#NAME?</v>
      </c>
      <c r="AZ56" s="8"/>
      <c r="BA56" s="148"/>
      <c r="BB56" s="148"/>
      <c r="BC56" s="148"/>
      <c r="BD56" s="10"/>
      <c r="BE56" s="10"/>
      <c r="BF56" s="10"/>
      <c r="BG56" s="10"/>
      <c r="BH56" s="10"/>
      <c r="BI56" s="10"/>
      <c r="BJ56" s="10"/>
      <c r="BK56" s="10"/>
      <c r="BL56" s="10"/>
      <c r="BM56" s="147">
        <f t="shared" si="8"/>
        <v>0</v>
      </c>
      <c r="BN56" s="147">
        <f t="shared" si="9"/>
        <v>0</v>
      </c>
      <c r="BO56" s="149"/>
      <c r="DN56" s="116" t="e">
        <f>(($I$5*#REF!)/100)+((#REF!*$J$5)/100)+(($K$5*#REF!)/100)+($L$5*#REF!)+($M$5*#REF!)</f>
        <v>#REF!</v>
      </c>
    </row>
    <row r="57" spans="2:118" x14ac:dyDescent="0.3">
      <c r="B57" s="64"/>
      <c r="C57" s="148"/>
      <c r="D57" s="109"/>
      <c r="E57" s="63"/>
      <c r="F57" s="127"/>
      <c r="G57" s="50"/>
      <c r="H57" s="10"/>
      <c r="I57" s="10"/>
      <c r="J57" s="10"/>
      <c r="K57" s="10"/>
      <c r="L57" s="10"/>
      <c r="M57" s="39"/>
      <c r="N57" s="33">
        <f t="shared" si="0"/>
        <v>0</v>
      </c>
      <c r="O57" s="52" t="b">
        <f>IF(AND(E57="CLIENT S+L",F57="HUILE"),(S57*3333.33+(VLOOKUP(H57,'BASE '!$I$112:$J$142,2,0)))-((S57*3333.33)*G57),IF(AND(E57="CLIENT S+L",F57="LAIT"),((S57*952.4)-(S57*952.4)*G57),IF(E57="CLIENT O","OFFERT",IF(AND(F57="HUILE",E57="CLIENT L"),(((VLOOKUP(H57,'BASE '!$I$112:$J$142,2,0))+(VLOOKUP(S57,'BASE '!#REF!,2,0)))),IF(AND(F57="LAIT",E57="CLIENT L"),(S57*952.4),IF(AND(F57="HUILE",E57="CLIENT D"),(S57*3809.53+(VLOOKUP(H57,'BASE '!$I$112:$J$142,2,0))),IF(AND(F57="LAIT",E57="CLIENT D"),(S57*952.4),IF(AND(F57="HUILE",E57="CLIENT S+D"),((S57*3809.53+(VLOOKUP(H57,'BASE '!$I$112:$J$142,2,0)))-((S57*3809.53)*G57)),IF(AND(F57="LAIT",E57="CLIENT S+D"),((S57*952.4)-((S57*952.4)*G57)),IF(AND(E57="CLIENT S",F57="LAIT"),((S57*952.4)-((S57*952.4)*G57)),IF(AND(F57="HUILE",E57="CLIENT S"),(VLOOKUP(H57,'BASE '!$I$112:$J$142,2,0)+(VLOOKUP(S57,'BASE '!#REF!,2,0)))-(G57*((VLOOKUP(S57,'BASE '!#REF!,2,0)+(VLOOKUP(H57,'BASE '!$I$112:$J$142,2,0))))))))))))))))</f>
        <v>0</v>
      </c>
      <c r="P57" s="52" t="b">
        <f t="shared" si="1"/>
        <v>0</v>
      </c>
      <c r="Q57" s="53" t="b">
        <f t="shared" si="2"/>
        <v>0</v>
      </c>
      <c r="R57" s="152" t="s">
        <v>175</v>
      </c>
      <c r="S57" s="184">
        <f t="shared" si="6"/>
        <v>0</v>
      </c>
      <c r="T57" s="124"/>
      <c r="U57" s="41" t="s">
        <v>175</v>
      </c>
      <c r="V57" s="70" t="e">
        <f>VLOOKUP(U57,'BASE '!$A$4:$H$144,2,0)</f>
        <v>#N/A</v>
      </c>
      <c r="W57" s="159"/>
      <c r="X57" s="159"/>
      <c r="Y57" s="160"/>
      <c r="Z57" s="158" t="e">
        <f>VLOOKUP(U57,'BASE '!$A$4:$H$144,3,0)</f>
        <v>#N/A</v>
      </c>
      <c r="AA57" s="94" t="e">
        <f t="shared" si="3"/>
        <v>#N/A</v>
      </c>
      <c r="AB57" s="95" t="e">
        <f>VLOOKUP(U57,'BASE '!$A$4:$H$144,6,0)*Y57/100</f>
        <v>#N/A</v>
      </c>
      <c r="AC57" s="95" t="e">
        <f>VLOOKUP(U57,'BASE '!$A$4:$H$144,7,0)*Y57/100</f>
        <v>#N/A</v>
      </c>
      <c r="AD57" s="95" t="e">
        <f>VLOOKUP(U57,'BASE '!$A$4:$H$144,8,0)*Y57/100</f>
        <v>#N/A</v>
      </c>
      <c r="AE57" s="96" t="e">
        <f t="shared" si="7"/>
        <v>#N/A</v>
      </c>
      <c r="AF57" s="431"/>
      <c r="AG57" s="91" t="s">
        <v>157</v>
      </c>
      <c r="AH57" s="36" t="e">
        <f>SUMIFS($H$6:$H$165,$D$6:$D$165,AF57,CHOIX,AG57)</f>
        <v>#NAME?</v>
      </c>
      <c r="AI57" s="36" t="e">
        <f>SUMIFS($I$6:$I$165,$D$6:$D$165,AF57,CHOIX,AG57)</f>
        <v>#NAME?</v>
      </c>
      <c r="AJ57" s="36" t="e">
        <f>SUMIFS($J$6:$J$165,$D$6:$D$165,AF57,CHOIX,AG57)</f>
        <v>#NAME?</v>
      </c>
      <c r="AK57" s="36" t="e">
        <f>SUMIFS($K$6:$K$165,$D$6:$D$165,AF57,CHOIX,AG57)</f>
        <v>#NAME?</v>
      </c>
      <c r="AL57" s="36" t="e">
        <f>SUMIFS($L$6:$L$165,$D$6:$D$165,AF57,CHOIX,AG57)</f>
        <v>#NAME?</v>
      </c>
      <c r="AM57" s="36" t="e">
        <f>SUMIFS($M$6:$M$165,$D$6:$D$165,AF57,CHOIX,AG57)</f>
        <v>#NAME?</v>
      </c>
      <c r="AN57" s="91" t="s">
        <v>157</v>
      </c>
      <c r="AO57" s="83"/>
      <c r="AP57" s="63"/>
      <c r="AQ57" s="63"/>
      <c r="AR57" s="63"/>
      <c r="AS57" s="79"/>
      <c r="AT57" s="79"/>
      <c r="AU57" s="55" t="e">
        <f>SUMIFS($O$6:$O$165,$D$6:$D$165,AF57,CHOIX,AG57)</f>
        <v>#NAME?</v>
      </c>
      <c r="AV57" s="80" t="e">
        <f>SUMIFS($Q$6:$Q$165,$D$6:$D$165,AF57,CHOIX,AG57)</f>
        <v>#NAME?</v>
      </c>
      <c r="AZ57" s="8"/>
      <c r="BA57" s="148"/>
      <c r="BB57" s="148"/>
      <c r="BC57" s="148"/>
      <c r="BD57" s="10"/>
      <c r="BE57" s="10"/>
      <c r="BF57" s="10"/>
      <c r="BG57" s="10"/>
      <c r="BH57" s="10"/>
      <c r="BI57" s="10"/>
      <c r="BJ57" s="10"/>
      <c r="BK57" s="10"/>
      <c r="BL57" s="10"/>
      <c r="BM57" s="147">
        <f t="shared" si="8"/>
        <v>0</v>
      </c>
      <c r="BN57" s="147">
        <f t="shared" si="9"/>
        <v>0</v>
      </c>
      <c r="BO57" s="149"/>
      <c r="DN57" s="116" t="e">
        <f>(($I$5*#REF!)/100)+((#REF!*$J$5)/100)+(($K$5*#REF!)/100)+($L$5*#REF!)+($M$5*#REF!)</f>
        <v>#REF!</v>
      </c>
    </row>
    <row r="58" spans="2:118" x14ac:dyDescent="0.3">
      <c r="B58" s="64"/>
      <c r="C58" s="148"/>
      <c r="D58" s="109"/>
      <c r="E58" s="63"/>
      <c r="F58" s="127"/>
      <c r="G58" s="50"/>
      <c r="H58" s="10"/>
      <c r="I58" s="10"/>
      <c r="J58" s="10"/>
      <c r="K58" s="10"/>
      <c r="L58" s="10"/>
      <c r="M58" s="39"/>
      <c r="N58" s="33">
        <f t="shared" si="0"/>
        <v>0</v>
      </c>
      <c r="O58" s="52" t="b">
        <f>IF(AND(E58="CLIENT S+L",F58="HUILE"),(S58*3333.33+(VLOOKUP(H58,'BASE '!$I$112:$J$142,2,0)))-((S58*3333.33)*G58),IF(AND(E58="CLIENT S+L",F58="LAIT"),((S58*952.4)-(S58*952.4)*G58),IF(E58="CLIENT O","OFFERT",IF(AND(F58="HUILE",E58="CLIENT L"),(((VLOOKUP(H58,'BASE '!$I$112:$J$142,2,0))+(VLOOKUP(S58,'BASE '!#REF!,2,0)))),IF(AND(F58="LAIT",E58="CLIENT L"),(S58*952.4),IF(AND(F58="HUILE",E58="CLIENT D"),(S58*3809.53+(VLOOKUP(H58,'BASE '!$I$112:$J$142,2,0))),IF(AND(F58="LAIT",E58="CLIENT D"),(S58*952.4),IF(AND(F58="HUILE",E58="CLIENT S+D"),((S58*3809.53+(VLOOKUP(H58,'BASE '!$I$112:$J$142,2,0)))-((S58*3809.53)*G58)),IF(AND(F58="LAIT",E58="CLIENT S+D"),((S58*952.4)-((S58*952.4)*G58)),IF(AND(E58="CLIENT S",F58="LAIT"),((S58*952.4)-((S58*952.4)*G58)),IF(AND(F58="HUILE",E58="CLIENT S"),(VLOOKUP(H58,'BASE '!$I$112:$J$142,2,0)+(VLOOKUP(S58,'BASE '!#REF!,2,0)))-(G58*((VLOOKUP(S58,'BASE '!#REF!,2,0)+(VLOOKUP(H58,'BASE '!$I$112:$J$142,2,0))))))))))))))))</f>
        <v>0</v>
      </c>
      <c r="P58" s="52" t="b">
        <f t="shared" si="1"/>
        <v>0</v>
      </c>
      <c r="Q58" s="53" t="b">
        <f t="shared" si="2"/>
        <v>0</v>
      </c>
      <c r="R58" s="152" t="s">
        <v>175</v>
      </c>
      <c r="S58" s="184">
        <f t="shared" si="6"/>
        <v>0</v>
      </c>
      <c r="T58" s="124"/>
      <c r="U58" s="41" t="s">
        <v>175</v>
      </c>
      <c r="V58" s="70" t="e">
        <f>VLOOKUP(U58,'BASE '!$A$4:$H$144,2,0)</f>
        <v>#N/A</v>
      </c>
      <c r="W58" s="159"/>
      <c r="X58" s="159"/>
      <c r="Y58" s="160"/>
      <c r="Z58" s="158" t="e">
        <f>VLOOKUP(U58,'BASE '!$A$4:$H$144,3,0)</f>
        <v>#N/A</v>
      </c>
      <c r="AA58" s="94" t="e">
        <f t="shared" si="3"/>
        <v>#N/A</v>
      </c>
      <c r="AB58" s="95" t="e">
        <f>VLOOKUP(U58,'BASE '!$A$4:$H$144,6,0)*Y58/100</f>
        <v>#N/A</v>
      </c>
      <c r="AC58" s="95" t="e">
        <f>VLOOKUP(U58,'BASE '!$A$4:$H$144,7,0)*Y58/100</f>
        <v>#N/A</v>
      </c>
      <c r="AD58" s="95" t="e">
        <f>VLOOKUP(U58,'BASE '!$A$4:$H$144,8,0)*Y58/100</f>
        <v>#N/A</v>
      </c>
      <c r="AE58" s="96" t="e">
        <f t="shared" si="7"/>
        <v>#N/A</v>
      </c>
      <c r="AF58" s="431"/>
      <c r="AG58" s="1" t="s">
        <v>155</v>
      </c>
      <c r="AH58" s="36" t="e">
        <f>SUMIFS($H$6:$H$165,$D$6:$D$165,AF57,CHOIX,AG58)</f>
        <v>#NAME?</v>
      </c>
      <c r="AI58" s="36" t="e">
        <f>SUMIFS($I$6:$I$165,$D$6:$D$165,AF57,CHOIX,AG58)</f>
        <v>#NAME?</v>
      </c>
      <c r="AJ58" s="36" t="e">
        <f>SUMIFS($J$6:$J$165,$D$6:$D$165,AF57,CHOIX,AG58)</f>
        <v>#NAME?</v>
      </c>
      <c r="AK58" s="36" t="e">
        <f>SUMIFS($K$6:$K$165,$D$6:$D$165,AF57,CHOIX,AG58)</f>
        <v>#NAME?</v>
      </c>
      <c r="AL58" s="36" t="e">
        <f>SUMIFS($L$6:$L$165,$D$6:$D$165,AF57,CHOIX,AG58)</f>
        <v>#NAME?</v>
      </c>
      <c r="AM58" s="36" t="e">
        <f>SUMIFS($M$6:$M$165,$D$6:$D$165,AF57,CHOIX,AG58)</f>
        <v>#NAME?</v>
      </c>
      <c r="AN58" s="1" t="s">
        <v>155</v>
      </c>
      <c r="AO58" s="83"/>
      <c r="AP58" s="63"/>
      <c r="AQ58" s="63"/>
      <c r="AR58" s="63"/>
      <c r="AS58" s="79"/>
      <c r="AT58" s="79"/>
      <c r="AU58" s="55" t="e">
        <f>SUMIFS($O$6:$O$165,$D$6:$D$165,AF57,CHOIX,AG58)</f>
        <v>#NAME?</v>
      </c>
      <c r="AV58" s="80" t="e">
        <f>SUMIFS($Q$6:$Q$165,$D$6:$D$165,AF57,CHOIX,AG58)</f>
        <v>#NAME?</v>
      </c>
      <c r="AZ58" s="8"/>
      <c r="BA58" s="148"/>
      <c r="BB58" s="148"/>
      <c r="BC58" s="148"/>
      <c r="BD58" s="10"/>
      <c r="BE58" s="10"/>
      <c r="BF58" s="10"/>
      <c r="BG58" s="10"/>
      <c r="BH58" s="10"/>
      <c r="BI58" s="10"/>
      <c r="BJ58" s="10"/>
      <c r="BK58" s="10"/>
      <c r="BL58" s="10"/>
      <c r="BM58" s="147">
        <f t="shared" si="8"/>
        <v>0</v>
      </c>
      <c r="BN58" s="147">
        <f t="shared" si="9"/>
        <v>0</v>
      </c>
      <c r="BO58" s="149"/>
      <c r="DN58" s="116" t="e">
        <f>(($I$5*#REF!)/100)+((#REF!*$J$5)/100)+(($K$5*#REF!)/100)+($L$5*#REF!)+($M$5*#REF!)</f>
        <v>#REF!</v>
      </c>
    </row>
    <row r="59" spans="2:118" x14ac:dyDescent="0.3">
      <c r="B59" s="64"/>
      <c r="C59" s="148"/>
      <c r="D59" s="109"/>
      <c r="E59" s="63"/>
      <c r="F59" s="127"/>
      <c r="G59" s="50"/>
      <c r="H59" s="10"/>
      <c r="I59" s="10"/>
      <c r="J59" s="10"/>
      <c r="K59" s="10"/>
      <c r="L59" s="10"/>
      <c r="M59" s="39"/>
      <c r="N59" s="33">
        <f t="shared" si="0"/>
        <v>0</v>
      </c>
      <c r="O59" s="52" t="b">
        <f>IF(AND(E59="CLIENT S+L",F59="HUILE"),(S59*3333.33+(VLOOKUP(H59,'BASE '!$I$112:$J$142,2,0)))-((S59*3333.33)*G59),IF(AND(E59="CLIENT S+L",F59="LAIT"),((S59*952.4)-(S59*952.4)*G59),IF(E59="CLIENT O","OFFERT",IF(AND(F59="HUILE",E59="CLIENT L"),(((VLOOKUP(H59,'BASE '!$I$112:$J$142,2,0))+(VLOOKUP(S59,'BASE '!#REF!,2,0)))),IF(AND(F59="LAIT",E59="CLIENT L"),(S59*952.4),IF(AND(F59="HUILE",E59="CLIENT D"),(S59*3809.53+(VLOOKUP(H59,'BASE '!$I$112:$J$142,2,0))),IF(AND(F59="LAIT",E59="CLIENT D"),(S59*952.4),IF(AND(F59="HUILE",E59="CLIENT S+D"),((S59*3809.53+(VLOOKUP(H59,'BASE '!$I$112:$J$142,2,0)))-((S59*3809.53)*G59)),IF(AND(F59="LAIT",E59="CLIENT S+D"),((S59*952.4)-((S59*952.4)*G59)),IF(AND(E59="CLIENT S",F59="LAIT"),((S59*952.4)-((S59*952.4)*G59)),IF(AND(F59="HUILE",E59="CLIENT S"),(VLOOKUP(H59,'BASE '!$I$112:$J$142,2,0)+(VLOOKUP(S59,'BASE '!#REF!,2,0)))-(G59*((VLOOKUP(S59,'BASE '!#REF!,2,0)+(VLOOKUP(H59,'BASE '!$I$112:$J$142,2,0))))))))))))))))</f>
        <v>0</v>
      </c>
      <c r="P59" s="52" t="b">
        <f t="shared" si="1"/>
        <v>0</v>
      </c>
      <c r="Q59" s="53" t="b">
        <f t="shared" si="2"/>
        <v>0</v>
      </c>
      <c r="R59" s="152" t="s">
        <v>175</v>
      </c>
      <c r="S59" s="184">
        <f t="shared" si="6"/>
        <v>0</v>
      </c>
      <c r="T59" s="124"/>
      <c r="U59" s="41" t="s">
        <v>175</v>
      </c>
      <c r="V59" s="70" t="e">
        <f>VLOOKUP(U59,'BASE '!$A$4:$H$144,2,0)</f>
        <v>#N/A</v>
      </c>
      <c r="W59" s="159"/>
      <c r="X59" s="159"/>
      <c r="Y59" s="160"/>
      <c r="Z59" s="158" t="e">
        <f>VLOOKUP(U59,'BASE '!$A$4:$H$144,3,0)</f>
        <v>#N/A</v>
      </c>
      <c r="AA59" s="94" t="e">
        <f t="shared" si="3"/>
        <v>#N/A</v>
      </c>
      <c r="AB59" s="95" t="e">
        <f>VLOOKUP(U59,'BASE '!$A$4:$H$144,6,0)*Y59/100</f>
        <v>#N/A</v>
      </c>
      <c r="AC59" s="95" t="e">
        <f>VLOOKUP(U59,'BASE '!$A$4:$H$144,7,0)*Y59/100</f>
        <v>#N/A</v>
      </c>
      <c r="AD59" s="95" t="e">
        <f>VLOOKUP(U59,'BASE '!$A$4:$H$144,8,0)*Y59/100</f>
        <v>#N/A</v>
      </c>
      <c r="AE59" s="96" t="e">
        <f t="shared" si="7"/>
        <v>#N/A</v>
      </c>
      <c r="AF59" s="431"/>
      <c r="AG59" s="91" t="s">
        <v>157</v>
      </c>
      <c r="AH59" s="36" t="e">
        <f>SUMIFS($H$6:$H$165,$D$6:$D$165,AF59,CHOIX,AG59)</f>
        <v>#NAME?</v>
      </c>
      <c r="AI59" s="36" t="e">
        <f>SUMIFS($I$6:$I$165,$D$6:$D$165,AF59,CHOIX,AG59)</f>
        <v>#NAME?</v>
      </c>
      <c r="AJ59" s="36" t="e">
        <f>SUMIFS($J$6:$J$165,$D$6:$D$165,AF59,CHOIX,AG59)</f>
        <v>#NAME?</v>
      </c>
      <c r="AK59" s="36" t="e">
        <f>SUMIFS($K$6:$K$165,$D$6:$D$165,AF59,CHOIX,AG59)</f>
        <v>#NAME?</v>
      </c>
      <c r="AL59" s="36" t="e">
        <f>SUMIFS($L$6:$L$165,$D$6:$D$165,AF59,CHOIX,AG59)</f>
        <v>#NAME?</v>
      </c>
      <c r="AM59" s="36" t="e">
        <f>SUMIFS($M$6:$M$165,$D$6:$D$165,AF59,CHOIX,AG59)</f>
        <v>#NAME?</v>
      </c>
      <c r="AN59" s="91" t="s">
        <v>157</v>
      </c>
      <c r="AO59" s="83"/>
      <c r="AP59" s="63"/>
      <c r="AQ59" s="63"/>
      <c r="AR59" s="63"/>
      <c r="AS59" s="79"/>
      <c r="AT59" s="79"/>
      <c r="AU59" s="55" t="e">
        <f>SUMIFS($O$6:$O$165,$D$6:$D$165,AF59,CHOIX,AG59)</f>
        <v>#NAME?</v>
      </c>
      <c r="AV59" s="80" t="e">
        <f>SUMIFS($Q$6:$Q$165,$D$6:$D$165,AF59,CHOIX,AG59)</f>
        <v>#NAME?</v>
      </c>
      <c r="AZ59" s="8"/>
      <c r="BA59" s="148"/>
      <c r="BB59" s="148"/>
      <c r="BC59" s="148"/>
      <c r="BD59" s="10"/>
      <c r="BE59" s="10"/>
      <c r="BF59" s="10"/>
      <c r="BG59" s="10"/>
      <c r="BH59" s="10"/>
      <c r="BI59" s="10"/>
      <c r="BJ59" s="10"/>
      <c r="BK59" s="10"/>
      <c r="BL59" s="10"/>
      <c r="BM59" s="147">
        <f t="shared" si="8"/>
        <v>0</v>
      </c>
      <c r="BN59" s="147">
        <f t="shared" si="9"/>
        <v>0</v>
      </c>
      <c r="BO59" s="149"/>
      <c r="DN59" s="116" t="e">
        <f>(($I$5*#REF!)/100)+((#REF!*$J$5)/100)+(($K$5*#REF!)/100)+($L$5*#REF!)+($M$5*#REF!)</f>
        <v>#REF!</v>
      </c>
    </row>
    <row r="60" spans="2:118" x14ac:dyDescent="0.3">
      <c r="B60" s="64"/>
      <c r="C60" s="148"/>
      <c r="D60" s="109"/>
      <c r="E60" s="63"/>
      <c r="F60" s="127"/>
      <c r="G60" s="50"/>
      <c r="H60" s="10"/>
      <c r="I60" s="10"/>
      <c r="J60" s="10"/>
      <c r="K60" s="10"/>
      <c r="L60" s="10"/>
      <c r="M60" s="39"/>
      <c r="N60" s="33">
        <f t="shared" si="0"/>
        <v>0</v>
      </c>
      <c r="O60" s="52" t="b">
        <f>IF(AND(E60="CLIENT S+L",F60="HUILE"),(S60*3333.33+(VLOOKUP(H60,'BASE '!$I$112:$J$142,2,0)))-((S60*3333.33)*G60),IF(AND(E60="CLIENT S+L",F60="LAIT"),((S60*952.4)-(S60*952.4)*G60),IF(E60="CLIENT O","OFFERT",IF(AND(F60="HUILE",E60="CLIENT L"),(((VLOOKUP(H60,'BASE '!$I$112:$J$142,2,0))+(VLOOKUP(S60,'BASE '!#REF!,2,0)))),IF(AND(F60="LAIT",E60="CLIENT L"),(S60*952.4),IF(AND(F60="HUILE",E60="CLIENT D"),(S60*3809.53+(VLOOKUP(H60,'BASE '!$I$112:$J$142,2,0))),IF(AND(F60="LAIT",E60="CLIENT D"),(S60*952.4),IF(AND(F60="HUILE",E60="CLIENT S+D"),((S60*3809.53+(VLOOKUP(H60,'BASE '!$I$112:$J$142,2,0)))-((S60*3809.53)*G60)),IF(AND(F60="LAIT",E60="CLIENT S+D"),((S60*952.4)-((S60*952.4)*G60)),IF(AND(E60="CLIENT S",F60="LAIT"),((S60*952.4)-((S60*952.4)*G60)),IF(AND(F60="HUILE",E60="CLIENT S"),(VLOOKUP(H60,'BASE '!$I$112:$J$142,2,0)+(VLOOKUP(S60,'BASE '!#REF!,2,0)))-(G60*((VLOOKUP(S60,'BASE '!#REF!,2,0)+(VLOOKUP(H60,'BASE '!$I$112:$J$142,2,0))))))))))))))))</f>
        <v>0</v>
      </c>
      <c r="P60" s="52" t="b">
        <f t="shared" si="1"/>
        <v>0</v>
      </c>
      <c r="Q60" s="53" t="b">
        <f t="shared" si="2"/>
        <v>0</v>
      </c>
      <c r="R60" s="152" t="s">
        <v>175</v>
      </c>
      <c r="S60" s="184">
        <f t="shared" si="6"/>
        <v>0</v>
      </c>
      <c r="T60" s="124"/>
      <c r="U60" s="41" t="s">
        <v>175</v>
      </c>
      <c r="V60" s="70" t="e">
        <f>VLOOKUP(U60,'BASE '!$A$4:$H$144,2,0)</f>
        <v>#N/A</v>
      </c>
      <c r="W60" s="159"/>
      <c r="X60" s="159"/>
      <c r="Y60" s="160"/>
      <c r="Z60" s="158" t="e">
        <f>VLOOKUP(U60,'BASE '!$A$4:$H$144,3,0)</f>
        <v>#N/A</v>
      </c>
      <c r="AA60" s="94" t="e">
        <f t="shared" si="3"/>
        <v>#N/A</v>
      </c>
      <c r="AB60" s="95" t="e">
        <f>VLOOKUP(U60,'BASE '!$A$4:$H$144,6,0)*Y60/100</f>
        <v>#N/A</v>
      </c>
      <c r="AC60" s="95" t="e">
        <f>VLOOKUP(U60,'BASE '!$A$4:$H$144,7,0)*Y60/100</f>
        <v>#N/A</v>
      </c>
      <c r="AD60" s="95" t="e">
        <f>VLOOKUP(U60,'BASE '!$A$4:$H$144,8,0)*Y60/100</f>
        <v>#N/A</v>
      </c>
      <c r="AE60" s="96" t="e">
        <f t="shared" si="7"/>
        <v>#N/A</v>
      </c>
      <c r="AF60" s="431"/>
      <c r="AG60" s="1" t="s">
        <v>155</v>
      </c>
      <c r="AH60" s="36" t="e">
        <f>SUMIFS($H$6:$H$165,$D$6:$D$165,AF59,CHOIX,AG60)</f>
        <v>#NAME?</v>
      </c>
      <c r="AI60" s="36" t="e">
        <f>SUMIFS($I$6:$I$165,$D$6:$D$165,AF59,CHOIX,AG60)</f>
        <v>#NAME?</v>
      </c>
      <c r="AJ60" s="36" t="e">
        <f>SUMIFS($J$6:$J$165,$D$6:$D$165,AF59,CHOIX,AG60)</f>
        <v>#NAME?</v>
      </c>
      <c r="AK60" s="36" t="e">
        <f>SUMIFS($K$6:$K$165,$D$6:$D$165,AF59,CHOIX,AG60)</f>
        <v>#NAME?</v>
      </c>
      <c r="AL60" s="36" t="e">
        <f>SUMIFS($L$6:$L$165,$D$6:$D$165,AF59,CHOIX,AG60)</f>
        <v>#NAME?</v>
      </c>
      <c r="AM60" s="36" t="e">
        <f>SUMIFS($M$6:$M$165,$D$6:$D$165,AF59,CHOIX,AG60)</f>
        <v>#NAME?</v>
      </c>
      <c r="AN60" s="1" t="s">
        <v>155</v>
      </c>
      <c r="AO60" s="83"/>
      <c r="AP60" s="63"/>
      <c r="AQ60" s="63"/>
      <c r="AR60" s="63"/>
      <c r="AS60" s="79"/>
      <c r="AT60" s="79"/>
      <c r="AU60" s="55" t="e">
        <f>SUMIFS($O$6:$O$165,$D$6:$D$165,AF59,CHOIX,AG60)</f>
        <v>#NAME?</v>
      </c>
      <c r="AV60" s="80" t="e">
        <f>SUMIFS($Q$6:$Q$165,$D$6:$D$165,AF59,CHOIX,AG60)</f>
        <v>#NAME?</v>
      </c>
      <c r="AZ60" s="8"/>
      <c r="BA60" s="148"/>
      <c r="BB60" s="148"/>
      <c r="BC60" s="148"/>
      <c r="BD60" s="10"/>
      <c r="BE60" s="10"/>
      <c r="BF60" s="10"/>
      <c r="BG60" s="10"/>
      <c r="BH60" s="10"/>
      <c r="BI60" s="10"/>
      <c r="BJ60" s="10"/>
      <c r="BK60" s="10"/>
      <c r="BL60" s="10"/>
      <c r="BM60" s="147">
        <f t="shared" si="8"/>
        <v>0</v>
      </c>
      <c r="BN60" s="147">
        <f t="shared" si="9"/>
        <v>0</v>
      </c>
      <c r="BO60" s="149"/>
      <c r="DN60" s="116" t="e">
        <f>(($I$5*#REF!)/100)+((#REF!*$J$5)/100)+(($K$5*#REF!)/100)+($L$5*#REF!)+($M$5*#REF!)</f>
        <v>#REF!</v>
      </c>
    </row>
    <row r="61" spans="2:118" ht="15" thickBot="1" x14ac:dyDescent="0.35">
      <c r="B61" s="64"/>
      <c r="C61" s="148"/>
      <c r="D61" s="109"/>
      <c r="E61" s="63"/>
      <c r="F61" s="127"/>
      <c r="G61" s="50"/>
      <c r="H61" s="10"/>
      <c r="I61" s="10"/>
      <c r="J61" s="10"/>
      <c r="K61" s="10"/>
      <c r="L61" s="10"/>
      <c r="M61" s="39"/>
      <c r="N61" s="33">
        <f t="shared" si="0"/>
        <v>0</v>
      </c>
      <c r="O61" s="52" t="b">
        <f>IF(AND(E61="CLIENT S+L",F61="HUILE"),(S61*3333.33+(VLOOKUP(H61,'BASE '!$I$112:$J$142,2,0)))-((S61*3333.33)*G61),IF(AND(E61="CLIENT S+L",F61="LAIT"),((S61*952.4)-(S61*952.4)*G61),IF(E61="CLIENT O","OFFERT",IF(AND(F61="HUILE",E61="CLIENT L"),(((VLOOKUP(H61,'BASE '!$I$112:$J$142,2,0))+(VLOOKUP(S61,'BASE '!#REF!,2,0)))),IF(AND(F61="LAIT",E61="CLIENT L"),(S61*952.4),IF(AND(F61="HUILE",E61="CLIENT D"),(S61*3809.53+(VLOOKUP(H61,'BASE '!$I$112:$J$142,2,0))),IF(AND(F61="LAIT",E61="CLIENT D"),(S61*952.4),IF(AND(F61="HUILE",E61="CLIENT S+D"),((S61*3809.53+(VLOOKUP(H61,'BASE '!$I$112:$J$142,2,0)))-((S61*3809.53)*G61)),IF(AND(F61="LAIT",E61="CLIENT S+D"),((S61*952.4)-((S61*952.4)*G61)),IF(AND(E61="CLIENT S",F61="LAIT"),((S61*952.4)-((S61*952.4)*G61)),IF(AND(F61="HUILE",E61="CLIENT S"),(VLOOKUP(H61,'BASE '!$I$112:$J$142,2,0)+(VLOOKUP(S61,'BASE '!#REF!,2,0)))-(G61*((VLOOKUP(S61,'BASE '!#REF!,2,0)+(VLOOKUP(H61,'BASE '!$I$112:$J$142,2,0))))))))))))))))</f>
        <v>0</v>
      </c>
      <c r="P61" s="52" t="b">
        <f t="shared" si="1"/>
        <v>0</v>
      </c>
      <c r="Q61" s="53" t="b">
        <f t="shared" si="2"/>
        <v>0</v>
      </c>
      <c r="R61" s="152" t="s">
        <v>175</v>
      </c>
      <c r="S61" s="184">
        <f t="shared" si="6"/>
        <v>0</v>
      </c>
      <c r="T61" s="124"/>
      <c r="U61" s="41" t="s">
        <v>175</v>
      </c>
      <c r="V61" s="70" t="e">
        <f>VLOOKUP(U61,'BASE '!$A$4:$H$144,2,0)</f>
        <v>#N/A</v>
      </c>
      <c r="W61" s="159"/>
      <c r="X61" s="159"/>
      <c r="Y61" s="160"/>
      <c r="Z61" s="158" t="e">
        <f>VLOOKUP(U61,'BASE '!$A$4:$H$144,3,0)</f>
        <v>#N/A</v>
      </c>
      <c r="AA61" s="94" t="e">
        <f t="shared" si="3"/>
        <v>#N/A</v>
      </c>
      <c r="AB61" s="95" t="e">
        <f>VLOOKUP(U61,'BASE '!$A$4:$H$144,6,0)*Y61/100</f>
        <v>#N/A</v>
      </c>
      <c r="AC61" s="95" t="e">
        <f>VLOOKUP(U61,'BASE '!$A$4:$H$144,7,0)*Y61/100</f>
        <v>#N/A</v>
      </c>
      <c r="AD61" s="95" t="e">
        <f>VLOOKUP(U61,'BASE '!$A$4:$H$144,8,0)*Y61/100</f>
        <v>#N/A</v>
      </c>
      <c r="AE61" s="96" t="e">
        <f t="shared" si="7"/>
        <v>#N/A</v>
      </c>
      <c r="AF61" s="431"/>
      <c r="AG61" s="91" t="s">
        <v>157</v>
      </c>
      <c r="AH61" s="36" t="e">
        <f>SUMIFS($H$6:$H$165,$D$6:$D$165,AF61,CHOIX,AG61)</f>
        <v>#NAME?</v>
      </c>
      <c r="AI61" s="36" t="e">
        <f>SUMIFS($I$6:$I$165,$D$6:$D$165,AF61,CHOIX,AG61)</f>
        <v>#NAME?</v>
      </c>
      <c r="AJ61" s="36" t="e">
        <f>SUMIFS($J$6:$J$165,$D$6:$D$165,AF61,CHOIX,AG61)</f>
        <v>#NAME?</v>
      </c>
      <c r="AK61" s="36" t="e">
        <f>SUMIFS($K$6:$K$165,$D$6:$D$165,AF61,CHOIX,AG61)</f>
        <v>#NAME?</v>
      </c>
      <c r="AL61" s="36" t="e">
        <f>SUMIFS($L$6:$L$165,$D$6:$D$165,AF61,CHOIX,AG61)</f>
        <v>#NAME?</v>
      </c>
      <c r="AM61" s="36" t="e">
        <f>SUMIFS($M$6:$M$165,$D$6:$D$165,AF61,CHOIX,AG61)</f>
        <v>#NAME?</v>
      </c>
      <c r="AN61" s="91" t="s">
        <v>157</v>
      </c>
      <c r="AO61" s="83"/>
      <c r="AP61" s="63"/>
      <c r="AQ61" s="63"/>
      <c r="AR61" s="63"/>
      <c r="AS61" s="79"/>
      <c r="AT61" s="79"/>
      <c r="AU61" s="55" t="e">
        <f>SUMIFS($O$6:$O$165,$D$6:$D$165,AF61,CHOIX,AG61)</f>
        <v>#NAME?</v>
      </c>
      <c r="AV61" s="80" t="e">
        <f>SUMIFS($Q$6:$Q$165,$D$6:$D$165,AF61,CHOIX,AG61)</f>
        <v>#NAME?</v>
      </c>
      <c r="AZ61" s="102"/>
      <c r="BA61" s="156"/>
      <c r="BB61" s="156"/>
      <c r="BC61" s="156"/>
      <c r="BD61" s="103"/>
      <c r="BE61" s="103"/>
      <c r="BF61" s="103"/>
      <c r="BG61" s="103"/>
      <c r="BH61" s="103"/>
      <c r="BI61" s="103"/>
      <c r="BJ61" s="103"/>
      <c r="BK61" s="103"/>
      <c r="BL61" s="103"/>
      <c r="BM61" s="155">
        <f t="shared" si="8"/>
        <v>0</v>
      </c>
      <c r="BN61" s="106">
        <f t="shared" si="9"/>
        <v>0</v>
      </c>
      <c r="BO61" s="157"/>
      <c r="DN61" s="116" t="e">
        <f>(($I$5*#REF!)/100)+((#REF!*$J$5)/100)+(($K$5*#REF!)/100)+($L$5*#REF!)+($M$5*#REF!)</f>
        <v>#REF!</v>
      </c>
    </row>
    <row r="62" spans="2:118" ht="15.6" thickTop="1" thickBot="1" x14ac:dyDescent="0.35">
      <c r="B62" s="64"/>
      <c r="C62" s="148"/>
      <c r="D62" s="109"/>
      <c r="E62" s="63"/>
      <c r="F62" s="127"/>
      <c r="G62" s="50"/>
      <c r="H62" s="10"/>
      <c r="I62" s="10"/>
      <c r="J62" s="10"/>
      <c r="K62" s="10"/>
      <c r="L62" s="10"/>
      <c r="M62" s="39"/>
      <c r="N62" s="33">
        <f t="shared" si="0"/>
        <v>0</v>
      </c>
      <c r="O62" s="52" t="b">
        <f>IF(AND(E62="CLIENT S+L",F62="HUILE"),(S62*3333.33+(VLOOKUP(H62,'BASE '!$I$112:$J$142,2,0)))-((S62*3333.33)*G62),IF(AND(E62="CLIENT S+L",F62="LAIT"),((S62*952.4)-(S62*952.4)*G62),IF(E62="CLIENT O","OFFERT",IF(AND(F62="HUILE",E62="CLIENT L"),(((VLOOKUP(H62,'BASE '!$I$112:$J$142,2,0))+(VLOOKUP(S62,'BASE '!#REF!,2,0)))),IF(AND(F62="LAIT",E62="CLIENT L"),(S62*952.4),IF(AND(F62="HUILE",E62="CLIENT D"),(S62*3809.53+(VLOOKUP(H62,'BASE '!$I$112:$J$142,2,0))),IF(AND(F62="LAIT",E62="CLIENT D"),(S62*952.4),IF(AND(F62="HUILE",E62="CLIENT S+D"),((S62*3809.53+(VLOOKUP(H62,'BASE '!$I$112:$J$142,2,0)))-((S62*3809.53)*G62)),IF(AND(F62="LAIT",E62="CLIENT S+D"),((S62*952.4)-((S62*952.4)*G62)),IF(AND(E62="CLIENT S",F62="LAIT"),((S62*952.4)-((S62*952.4)*G62)),IF(AND(F62="HUILE",E62="CLIENT S"),(VLOOKUP(H62,'BASE '!$I$112:$J$142,2,0)+(VLOOKUP(S62,'BASE '!#REF!,2,0)))-(G62*((VLOOKUP(S62,'BASE '!#REF!,2,0)+(VLOOKUP(H62,'BASE '!$I$112:$J$142,2,0))))))))))))))))</f>
        <v>0</v>
      </c>
      <c r="P62" s="52" t="b">
        <f t="shared" si="1"/>
        <v>0</v>
      </c>
      <c r="Q62" s="53" t="b">
        <f t="shared" si="2"/>
        <v>0</v>
      </c>
      <c r="R62" s="152" t="s">
        <v>175</v>
      </c>
      <c r="S62" s="184">
        <f t="shared" si="6"/>
        <v>0</v>
      </c>
      <c r="T62" s="124"/>
      <c r="U62" s="41" t="s">
        <v>175</v>
      </c>
      <c r="V62" s="70" t="e">
        <f>VLOOKUP(U62,'BASE '!$A$4:$H$144,2,0)</f>
        <v>#N/A</v>
      </c>
      <c r="W62" s="159"/>
      <c r="X62" s="159"/>
      <c r="Y62" s="160"/>
      <c r="Z62" s="158" t="e">
        <f>VLOOKUP(U62,'BASE '!$A$4:$H$144,3,0)</f>
        <v>#N/A</v>
      </c>
      <c r="AA62" s="94" t="e">
        <f t="shared" si="3"/>
        <v>#N/A</v>
      </c>
      <c r="AB62" s="95" t="e">
        <f>VLOOKUP(U62,'BASE '!$A$4:$H$144,6,0)*Y62/100</f>
        <v>#N/A</v>
      </c>
      <c r="AC62" s="95" t="e">
        <f>VLOOKUP(U62,'BASE '!$A$4:$H$144,7,0)*Y62/100</f>
        <v>#N/A</v>
      </c>
      <c r="AD62" s="95" t="e">
        <f>VLOOKUP(U62,'BASE '!$A$4:$H$144,8,0)*Y62/100</f>
        <v>#N/A</v>
      </c>
      <c r="AE62" s="96" t="e">
        <f t="shared" si="7"/>
        <v>#N/A</v>
      </c>
      <c r="AF62" s="431"/>
      <c r="AG62" s="1" t="s">
        <v>155</v>
      </c>
      <c r="AH62" s="36" t="e">
        <f>SUMIFS($H$6:$H$165,$D$6:$D$165,AF61,CHOIX,AG62)</f>
        <v>#NAME?</v>
      </c>
      <c r="AI62" s="36" t="e">
        <f>SUMIFS($I$6:$I$165,$D$6:$D$165,AF61,CHOIX,AG62)</f>
        <v>#NAME?</v>
      </c>
      <c r="AJ62" s="36" t="e">
        <f>SUMIFS($J$6:$J$165,$D$6:$D$165,AF61,CHOIX,AG62)</f>
        <v>#NAME?</v>
      </c>
      <c r="AK62" s="36" t="e">
        <f>SUMIFS($K$6:$K$165,$D$6:$D$165,AF61,CHOIX,AG62)</f>
        <v>#NAME?</v>
      </c>
      <c r="AL62" s="36" t="e">
        <f>SUMIFS($L$6:$L$165,$D$6:$D$165,AF61,CHOIX,AG62)</f>
        <v>#NAME?</v>
      </c>
      <c r="AM62" s="36" t="e">
        <f>SUMIFS($M$6:$M$165,$D$6:$D$165,AF61,CHOIX,AG62)</f>
        <v>#NAME?</v>
      </c>
      <c r="AN62" s="1" t="s">
        <v>155</v>
      </c>
      <c r="AO62" s="83"/>
      <c r="AP62" s="63"/>
      <c r="AQ62" s="63"/>
      <c r="AR62" s="63"/>
      <c r="AS62" s="79"/>
      <c r="AT62" s="79"/>
      <c r="AU62" s="55" t="e">
        <f>SUMIFS($O$6:$O$165,$D$6:$D$165,AF61,CHOIX,AG62)</f>
        <v>#NAME?</v>
      </c>
      <c r="AV62" s="80" t="e">
        <f>SUMIFS($Q$6:$Q$165,$D$6:$D$165,AF61,CHOIX,AG62)</f>
        <v>#NAME?</v>
      </c>
      <c r="AZ62" s="13" t="s">
        <v>62</v>
      </c>
      <c r="BA62" s="469">
        <f>SUM(BA6:BA61)</f>
        <v>0</v>
      </c>
      <c r="BB62" s="469"/>
      <c r="BC62" s="469"/>
      <c r="BD62" s="469"/>
      <c r="BE62" s="469"/>
      <c r="BF62" s="469"/>
      <c r="BG62" s="469"/>
      <c r="BH62" s="469"/>
      <c r="BI62" s="469"/>
      <c r="BJ62" s="469"/>
      <c r="BK62" s="469"/>
      <c r="BL62" s="469"/>
      <c r="BM62" s="469"/>
      <c r="BN62" s="469"/>
      <c r="BO62" s="469"/>
      <c r="DN62" s="116" t="e">
        <f>(($I$5*#REF!)/100)+((#REF!*$J$5)/100)+(($K$5*#REF!)/100)+($L$5*#REF!)+($M$5*#REF!)</f>
        <v>#REF!</v>
      </c>
    </row>
    <row r="63" spans="2:118" ht="15" thickBot="1" x14ac:dyDescent="0.35">
      <c r="B63" s="64"/>
      <c r="C63" s="148"/>
      <c r="D63" s="109"/>
      <c r="E63" s="63"/>
      <c r="F63" s="127"/>
      <c r="G63" s="50"/>
      <c r="H63" s="10"/>
      <c r="I63" s="10"/>
      <c r="J63" s="10"/>
      <c r="K63" s="10"/>
      <c r="L63" s="10"/>
      <c r="M63" s="39"/>
      <c r="N63" s="33">
        <f t="shared" si="0"/>
        <v>0</v>
      </c>
      <c r="O63" s="52" t="b">
        <f>IF(AND(E63="CLIENT S+L",F63="HUILE"),(S63*3333.33+(VLOOKUP(H63,'BASE '!$I$112:$J$142,2,0)))-((S63*3333.33)*G63),IF(AND(E63="CLIENT S+L",F63="LAIT"),((S63*952.4)-(S63*952.4)*G63),IF(E63="CLIENT O","OFFERT",IF(AND(F63="HUILE",E63="CLIENT L"),(((VLOOKUP(H63,'BASE '!$I$112:$J$142,2,0))+(VLOOKUP(S63,'BASE '!#REF!,2,0)))),IF(AND(F63="LAIT",E63="CLIENT L"),(S63*952.4),IF(AND(F63="HUILE",E63="CLIENT D"),(S63*3809.53+(VLOOKUP(H63,'BASE '!$I$112:$J$142,2,0))),IF(AND(F63="LAIT",E63="CLIENT D"),(S63*952.4),IF(AND(F63="HUILE",E63="CLIENT S+D"),((S63*3809.53+(VLOOKUP(H63,'BASE '!$I$112:$J$142,2,0)))-((S63*3809.53)*G63)),IF(AND(F63="LAIT",E63="CLIENT S+D"),((S63*952.4)-((S63*952.4)*G63)),IF(AND(E63="CLIENT S",F63="LAIT"),((S63*952.4)-((S63*952.4)*G63)),IF(AND(F63="HUILE",E63="CLIENT S"),(VLOOKUP(H63,'BASE '!$I$112:$J$142,2,0)+(VLOOKUP(S63,'BASE '!#REF!,2,0)))-(G63*((VLOOKUP(S63,'BASE '!#REF!,2,0)+(VLOOKUP(H63,'BASE '!$I$112:$J$142,2,0))))))))))))))))</f>
        <v>0</v>
      </c>
      <c r="P63" s="52" t="b">
        <f t="shared" si="1"/>
        <v>0</v>
      </c>
      <c r="Q63" s="53" t="b">
        <f t="shared" si="2"/>
        <v>0</v>
      </c>
      <c r="R63" s="152" t="s">
        <v>175</v>
      </c>
      <c r="S63" s="184">
        <f t="shared" si="6"/>
        <v>0</v>
      </c>
      <c r="T63" s="124"/>
      <c r="U63" s="41" t="s">
        <v>175</v>
      </c>
      <c r="V63" s="70" t="e">
        <f>VLOOKUP(U63,'BASE '!$A$4:$H$144,2,0)</f>
        <v>#N/A</v>
      </c>
      <c r="W63" s="159"/>
      <c r="X63" s="159"/>
      <c r="Y63" s="160"/>
      <c r="Z63" s="158" t="e">
        <f>VLOOKUP(U63,'BASE '!$A$4:$H$144,3,0)</f>
        <v>#N/A</v>
      </c>
      <c r="AA63" s="94" t="e">
        <f t="shared" si="3"/>
        <v>#N/A</v>
      </c>
      <c r="AB63" s="95" t="e">
        <f>VLOOKUP(U63,'BASE '!$A$4:$H$144,6,0)*Y63/100</f>
        <v>#N/A</v>
      </c>
      <c r="AC63" s="95" t="e">
        <f>VLOOKUP(U63,'BASE '!$A$4:$H$144,7,0)*Y63/100</f>
        <v>#N/A</v>
      </c>
      <c r="AD63" s="95" t="e">
        <f>VLOOKUP(U63,'BASE '!$A$4:$H$144,8,0)*Y63/100</f>
        <v>#N/A</v>
      </c>
      <c r="AE63" s="96" t="e">
        <f t="shared" si="7"/>
        <v>#N/A</v>
      </c>
      <c r="AF63" s="431"/>
      <c r="AG63" s="91" t="s">
        <v>157</v>
      </c>
      <c r="AH63" s="36" t="e">
        <f>SUMIFS($H$6:$H$165,$D$6:$D$165,AF63,CHOIX,AG63)</f>
        <v>#NAME?</v>
      </c>
      <c r="AI63" s="36" t="e">
        <f>SUMIFS($I$6:$I$165,$D$6:$D$165,AF63,CHOIX,AG63)</f>
        <v>#NAME?</v>
      </c>
      <c r="AJ63" s="36" t="e">
        <f>SUMIFS($J$6:$J$165,$D$6:$D$165,AF63,CHOIX,AG63)</f>
        <v>#NAME?</v>
      </c>
      <c r="AK63" s="36" t="e">
        <f>SUMIFS($K$6:$K$165,$D$6:$D$165,AF63,CHOIX,AG63)</f>
        <v>#NAME?</v>
      </c>
      <c r="AL63" s="36" t="e">
        <f>SUMIFS($L$6:$L$165,$D$6:$D$165,AF63,CHOIX,AG63)</f>
        <v>#NAME?</v>
      </c>
      <c r="AM63" s="36" t="e">
        <f>SUMIFS($M$6:$M$165,$D$6:$D$165,AF63,CHOIX,AG63)</f>
        <v>#NAME?</v>
      </c>
      <c r="AN63" s="91" t="s">
        <v>157</v>
      </c>
      <c r="AO63" s="83"/>
      <c r="AP63" s="63"/>
      <c r="AQ63" s="63"/>
      <c r="AR63" s="63"/>
      <c r="AS63" s="79"/>
      <c r="AT63" s="79"/>
      <c r="AU63" s="55" t="e">
        <f>SUMIFS($O$6:$O$165,$D$6:$D$165,AF63,CHOIX,AG63)</f>
        <v>#NAME?</v>
      </c>
      <c r="AV63" s="80" t="e">
        <f>SUMIFS($Q$6:$Q$165,$D$6:$D$165,AF63,CHOIX,AG63)</f>
        <v>#NAME?</v>
      </c>
      <c r="AZ63" s="470" t="s">
        <v>61</v>
      </c>
      <c r="BA63" s="470"/>
      <c r="BB63" s="470">
        <f>SUM(BB6:BB61)</f>
        <v>0</v>
      </c>
      <c r="BC63" s="470"/>
      <c r="BD63" s="470"/>
      <c r="BE63" s="470"/>
      <c r="BF63" s="470"/>
      <c r="BG63" s="470"/>
      <c r="BH63" s="470"/>
      <c r="BI63" s="470"/>
      <c r="BJ63" s="470"/>
      <c r="BK63" s="470"/>
      <c r="BL63" s="470"/>
      <c r="BM63" s="470"/>
      <c r="BN63" s="470"/>
      <c r="BO63" s="470"/>
      <c r="DN63" s="116" t="e">
        <f>(($I$5*#REF!)/100)+((#REF!*$J$5)/100)+(($K$5*#REF!)/100)+($L$5*#REF!)+($M$5*#REF!)</f>
        <v>#REF!</v>
      </c>
    </row>
    <row r="64" spans="2:118" ht="15" thickBot="1" x14ac:dyDescent="0.35">
      <c r="B64" s="64"/>
      <c r="C64" s="148"/>
      <c r="D64" s="109"/>
      <c r="E64" s="63"/>
      <c r="F64" s="127"/>
      <c r="G64" s="50"/>
      <c r="H64" s="10"/>
      <c r="I64" s="10"/>
      <c r="J64" s="10"/>
      <c r="K64" s="10"/>
      <c r="L64" s="10"/>
      <c r="M64" s="39"/>
      <c r="N64" s="33">
        <f t="shared" si="0"/>
        <v>0</v>
      </c>
      <c r="O64" s="52" t="b">
        <f>IF(AND(E64="CLIENT S+L",F64="HUILE"),(S64*3333.33+(VLOOKUP(H64,'BASE '!$I$112:$J$142,2,0)))-((S64*3333.33)*G64),IF(AND(E64="CLIENT S+L",F64="LAIT"),((S64*952.4)-(S64*952.4)*G64),IF(E64="CLIENT O","OFFERT",IF(AND(F64="HUILE",E64="CLIENT L"),(((VLOOKUP(H64,'BASE '!$I$112:$J$142,2,0))+(VLOOKUP(S64,'BASE '!#REF!,2,0)))),IF(AND(F64="LAIT",E64="CLIENT L"),(S64*952.4),IF(AND(F64="HUILE",E64="CLIENT D"),(S64*3809.53+(VLOOKUP(H64,'BASE '!$I$112:$J$142,2,0))),IF(AND(F64="LAIT",E64="CLIENT D"),(S64*952.4),IF(AND(F64="HUILE",E64="CLIENT S+D"),((S64*3809.53+(VLOOKUP(H64,'BASE '!$I$112:$J$142,2,0)))-((S64*3809.53)*G64)),IF(AND(F64="LAIT",E64="CLIENT S+D"),((S64*952.4)-((S64*952.4)*G64)),IF(AND(E64="CLIENT S",F64="LAIT"),((S64*952.4)-((S64*952.4)*G64)),IF(AND(F64="HUILE",E64="CLIENT S"),(VLOOKUP(H64,'BASE '!$I$112:$J$142,2,0)+(VLOOKUP(S64,'BASE '!#REF!,2,0)))-(G64*((VLOOKUP(S64,'BASE '!#REF!,2,0)+(VLOOKUP(H64,'BASE '!$I$112:$J$142,2,0))))))))))))))))</f>
        <v>0</v>
      </c>
      <c r="P64" s="52" t="b">
        <f t="shared" si="1"/>
        <v>0</v>
      </c>
      <c r="Q64" s="53" t="b">
        <f t="shared" si="2"/>
        <v>0</v>
      </c>
      <c r="R64" s="152" t="s">
        <v>175</v>
      </c>
      <c r="S64" s="184">
        <f t="shared" si="6"/>
        <v>0</v>
      </c>
      <c r="T64" s="124"/>
      <c r="U64" s="41" t="s">
        <v>175</v>
      </c>
      <c r="V64" s="70" t="e">
        <f>VLOOKUP(U64,'BASE '!$A$4:$H$144,2,0)</f>
        <v>#N/A</v>
      </c>
      <c r="W64" s="159"/>
      <c r="X64" s="159"/>
      <c r="Y64" s="160"/>
      <c r="Z64" s="158" t="e">
        <f>VLOOKUP(U64,'BASE '!$A$4:$H$144,3,0)</f>
        <v>#N/A</v>
      </c>
      <c r="AA64" s="94" t="e">
        <f t="shared" si="3"/>
        <v>#N/A</v>
      </c>
      <c r="AB64" s="95" t="e">
        <f>VLOOKUP(U64,'BASE '!$A$4:$H$144,6,0)*Y64/100</f>
        <v>#N/A</v>
      </c>
      <c r="AC64" s="95" t="e">
        <f>VLOOKUP(U64,'BASE '!$A$4:$H$144,7,0)*Y64/100</f>
        <v>#N/A</v>
      </c>
      <c r="AD64" s="95" t="e">
        <f>VLOOKUP(U64,'BASE '!$A$4:$H$144,8,0)*Y64/100</f>
        <v>#N/A</v>
      </c>
      <c r="AE64" s="96" t="e">
        <f t="shared" si="7"/>
        <v>#N/A</v>
      </c>
      <c r="AF64" s="431"/>
      <c r="AG64" s="1" t="s">
        <v>155</v>
      </c>
      <c r="AH64" s="36" t="e">
        <f>SUMIFS($H$6:$H$165,$D$6:$D$165,AF63,CHOIX,AG64)</f>
        <v>#NAME?</v>
      </c>
      <c r="AI64" s="36" t="e">
        <f>SUMIFS($I$6:$I$165,$D$6:$D$165,AF63,CHOIX,AG64)</f>
        <v>#NAME?</v>
      </c>
      <c r="AJ64" s="36" t="e">
        <f>SUMIFS($J$6:$J$165,$D$6:$D$165,AF63,CHOIX,AG64)</f>
        <v>#NAME?</v>
      </c>
      <c r="AK64" s="36" t="e">
        <f>SUMIFS($K$6:$K$165,$D$6:$D$165,AF63,CHOIX,AG64)</f>
        <v>#NAME?</v>
      </c>
      <c r="AL64" s="36" t="e">
        <f>SUMIFS($L$6:$L$165,$D$6:$D$165,AF63,CHOIX,AG64)</f>
        <v>#NAME?</v>
      </c>
      <c r="AM64" s="36" t="e">
        <f>SUMIFS($M$6:$M$165,$D$6:$D$165,AF63,CHOIX,AG64)</f>
        <v>#NAME?</v>
      </c>
      <c r="AN64" s="1" t="s">
        <v>155</v>
      </c>
      <c r="AO64" s="83"/>
      <c r="AP64" s="63"/>
      <c r="AQ64" s="63"/>
      <c r="AR64" s="63"/>
      <c r="AS64" s="79"/>
      <c r="AT64" s="79"/>
      <c r="AU64" s="55" t="e">
        <f>SUMIFS($O$6:$O$165,$D$6:$D$165,AF63,CHOIX,AG64)</f>
        <v>#NAME?</v>
      </c>
      <c r="AV64" s="80" t="e">
        <f>SUMIFS($Q$6:$Q$165,$D$6:$D$165,AF63,CHOIX,AG64)</f>
        <v>#NAME?</v>
      </c>
      <c r="AZ64" s="470" t="s">
        <v>60</v>
      </c>
      <c r="BA64" s="470"/>
      <c r="BB64" s="470"/>
      <c r="BC64" s="470">
        <f>SUM(BC6:BC61)</f>
        <v>0</v>
      </c>
      <c r="BD64" s="470"/>
      <c r="BE64" s="470"/>
      <c r="BF64" s="470"/>
      <c r="BG64" s="470"/>
      <c r="BH64" s="470"/>
      <c r="BI64" s="470"/>
      <c r="BJ64" s="470"/>
      <c r="BK64" s="470"/>
      <c r="BL64" s="470"/>
      <c r="BM64" s="470"/>
      <c r="BN64" s="470"/>
      <c r="BO64" s="470"/>
      <c r="DN64" s="116" t="e">
        <f>(($I$5*#REF!)/100)+((#REF!*$J$5)/100)+(($K$5*#REF!)/100)+($L$5*#REF!)+($M$5*#REF!)</f>
        <v>#REF!</v>
      </c>
    </row>
    <row r="65" spans="2:118" ht="15" thickBot="1" x14ac:dyDescent="0.35">
      <c r="B65" s="64"/>
      <c r="C65" s="148"/>
      <c r="D65" s="109"/>
      <c r="E65" s="63"/>
      <c r="F65" s="127"/>
      <c r="G65" s="50"/>
      <c r="H65" s="10"/>
      <c r="I65" s="10"/>
      <c r="J65" s="10"/>
      <c r="K65" s="10"/>
      <c r="L65" s="10"/>
      <c r="M65" s="39"/>
      <c r="N65" s="33">
        <f t="shared" si="0"/>
        <v>0</v>
      </c>
      <c r="O65" s="52" t="b">
        <f>IF(AND(E65="CLIENT S+L",F65="HUILE"),(S65*3333.33+(VLOOKUP(H65,'BASE '!$I$112:$J$142,2,0)))-((S65*3333.33)*G65),IF(AND(E65="CLIENT S+L",F65="LAIT"),((S65*952.4)-(S65*952.4)*G65),IF(E65="CLIENT O","OFFERT",IF(AND(F65="HUILE",E65="CLIENT L"),(((VLOOKUP(H65,'BASE '!$I$112:$J$142,2,0))+(VLOOKUP(S65,'BASE '!#REF!,2,0)))),IF(AND(F65="LAIT",E65="CLIENT L"),(S65*952.4),IF(AND(F65="HUILE",E65="CLIENT D"),(S65*3809.53+(VLOOKUP(H65,'BASE '!$I$112:$J$142,2,0))),IF(AND(F65="LAIT",E65="CLIENT D"),(S65*952.4),IF(AND(F65="HUILE",E65="CLIENT S+D"),((S65*3809.53+(VLOOKUP(H65,'BASE '!$I$112:$J$142,2,0)))-((S65*3809.53)*G65)),IF(AND(F65="LAIT",E65="CLIENT S+D"),((S65*952.4)-((S65*952.4)*G65)),IF(AND(E65="CLIENT S",F65="LAIT"),((S65*952.4)-((S65*952.4)*G65)),IF(AND(F65="HUILE",E65="CLIENT S"),(VLOOKUP(H65,'BASE '!$I$112:$J$142,2,0)+(VLOOKUP(S65,'BASE '!#REF!,2,0)))-(G65*((VLOOKUP(S65,'BASE '!#REF!,2,0)+(VLOOKUP(H65,'BASE '!$I$112:$J$142,2,0))))))))))))))))</f>
        <v>0</v>
      </c>
      <c r="P65" s="52" t="b">
        <f t="shared" si="1"/>
        <v>0</v>
      </c>
      <c r="Q65" s="53" t="b">
        <f t="shared" si="2"/>
        <v>0</v>
      </c>
      <c r="R65" s="152" t="s">
        <v>175</v>
      </c>
      <c r="S65" s="184">
        <f t="shared" si="6"/>
        <v>0</v>
      </c>
      <c r="T65" s="124"/>
      <c r="U65" s="41" t="s">
        <v>175</v>
      </c>
      <c r="V65" s="70" t="e">
        <f>VLOOKUP(U65,'BASE '!$A$4:$H$144,2,0)</f>
        <v>#N/A</v>
      </c>
      <c r="W65" s="159"/>
      <c r="X65" s="159"/>
      <c r="Y65" s="160"/>
      <c r="Z65" s="158" t="e">
        <f>VLOOKUP(U65,'BASE '!$A$4:$H$144,3,0)</f>
        <v>#N/A</v>
      </c>
      <c r="AA65" s="94" t="e">
        <f t="shared" si="3"/>
        <v>#N/A</v>
      </c>
      <c r="AB65" s="95" t="e">
        <f>VLOOKUP(U65,'BASE '!$A$4:$H$144,6,0)*Y65/100</f>
        <v>#N/A</v>
      </c>
      <c r="AC65" s="95" t="e">
        <f>VLOOKUP(U65,'BASE '!$A$4:$H$144,7,0)*Y65/100</f>
        <v>#N/A</v>
      </c>
      <c r="AD65" s="95" t="e">
        <f>VLOOKUP(U65,'BASE '!$A$4:$H$144,8,0)*Y65/100</f>
        <v>#N/A</v>
      </c>
      <c r="AE65" s="96" t="e">
        <f t="shared" si="7"/>
        <v>#N/A</v>
      </c>
      <c r="AF65" s="431"/>
      <c r="AG65" s="91" t="s">
        <v>157</v>
      </c>
      <c r="AH65" s="36" t="e">
        <f>SUMIFS($H$6:$H$165,$D$6:$D$165,AF65,CHOIX,AG65)</f>
        <v>#NAME?</v>
      </c>
      <c r="AI65" s="36" t="e">
        <f>SUMIFS($I$6:$I$165,$D$6:$D$165,AF65,CHOIX,AG65)</f>
        <v>#NAME?</v>
      </c>
      <c r="AJ65" s="36" t="e">
        <f>SUMIFS($J$6:$J$165,$D$6:$D$165,AF65,CHOIX,AG65)</f>
        <v>#NAME?</v>
      </c>
      <c r="AK65" s="36" t="e">
        <f>SUMIFS($K$6:$K$165,$D$6:$D$165,AF65,CHOIX,AG65)</f>
        <v>#NAME?</v>
      </c>
      <c r="AL65" s="36" t="e">
        <f>SUMIFS($L$6:$L$165,$D$6:$D$165,AF65,CHOIX,AG65)</f>
        <v>#NAME?</v>
      </c>
      <c r="AM65" s="36" t="e">
        <f>SUMIFS($M$6:$M$165,$D$6:$D$165,AF65,CHOIX,AG65)</f>
        <v>#NAME?</v>
      </c>
      <c r="AN65" s="91" t="s">
        <v>157</v>
      </c>
      <c r="AO65" s="83"/>
      <c r="AP65" s="63"/>
      <c r="AQ65" s="63"/>
      <c r="AR65" s="63"/>
      <c r="AS65" s="79"/>
      <c r="AT65" s="79"/>
      <c r="AU65" s="55" t="e">
        <f>SUMIFS($O$6:$O$165,$D$6:$D$165,AF65,CHOIX,AG65)</f>
        <v>#NAME?</v>
      </c>
      <c r="AV65" s="80" t="e">
        <f>SUMIFS($Q$6:$Q$165,$D$6:$D$165,AF65,CHOIX,AG65)</f>
        <v>#NAME?</v>
      </c>
      <c r="AZ65" s="478" t="s">
        <v>165</v>
      </c>
      <c r="BA65" s="478"/>
      <c r="BB65" s="478"/>
      <c r="BC65" s="478"/>
      <c r="BD65" s="470">
        <f>SUM(BD6:BD61)</f>
        <v>0</v>
      </c>
      <c r="BE65" s="470"/>
      <c r="BF65" s="470"/>
      <c r="BG65" s="470"/>
      <c r="BH65" s="470"/>
      <c r="BI65" s="470"/>
      <c r="BJ65" s="470"/>
      <c r="BK65" s="470"/>
      <c r="BL65" s="470"/>
      <c r="BM65" s="470"/>
      <c r="BN65" s="470"/>
      <c r="BO65" s="470"/>
      <c r="DN65" s="116" t="e">
        <f>(($I$5*#REF!)/100)+((#REF!*$J$5)/100)+(($K$5*#REF!)/100)+($L$5*#REF!)+($M$5*#REF!)</f>
        <v>#REF!</v>
      </c>
    </row>
    <row r="66" spans="2:118" ht="15" thickBot="1" x14ac:dyDescent="0.35">
      <c r="B66" s="64"/>
      <c r="C66" s="148"/>
      <c r="D66" s="109"/>
      <c r="E66" s="63"/>
      <c r="F66" s="127"/>
      <c r="G66" s="50"/>
      <c r="H66" s="10"/>
      <c r="I66" s="10"/>
      <c r="J66" s="10"/>
      <c r="K66" s="10"/>
      <c r="L66" s="10"/>
      <c r="M66" s="39"/>
      <c r="N66" s="33">
        <f t="shared" si="0"/>
        <v>0</v>
      </c>
      <c r="O66" s="52" t="b">
        <f>IF(AND(E66="CLIENT S+L",F66="HUILE"),(S66*3333.33+(VLOOKUP(H66,'BASE '!$I$112:$J$142,2,0)))-((S66*3333.33)*G66),IF(AND(E66="CLIENT S+L",F66="LAIT"),((S66*952.4)-(S66*952.4)*G66),IF(E66="CLIENT O","OFFERT",IF(AND(F66="HUILE",E66="CLIENT L"),(((VLOOKUP(H66,'BASE '!$I$112:$J$142,2,0))+(VLOOKUP(S66,'BASE '!#REF!,2,0)))),IF(AND(F66="LAIT",E66="CLIENT L"),(S66*952.4),IF(AND(F66="HUILE",E66="CLIENT D"),(S66*3809.53+(VLOOKUP(H66,'BASE '!$I$112:$J$142,2,0))),IF(AND(F66="LAIT",E66="CLIENT D"),(S66*952.4),IF(AND(F66="HUILE",E66="CLIENT S+D"),((S66*3809.53+(VLOOKUP(H66,'BASE '!$I$112:$J$142,2,0)))-((S66*3809.53)*G66)),IF(AND(F66="LAIT",E66="CLIENT S+D"),((S66*952.4)-((S66*952.4)*G66)),IF(AND(E66="CLIENT S",F66="LAIT"),((S66*952.4)-((S66*952.4)*G66)),IF(AND(F66="HUILE",E66="CLIENT S"),(VLOOKUP(H66,'BASE '!$I$112:$J$142,2,0)+(VLOOKUP(S66,'BASE '!#REF!,2,0)))-(G66*((VLOOKUP(S66,'BASE '!#REF!,2,0)+(VLOOKUP(H66,'BASE '!$I$112:$J$142,2,0))))))))))))))))</f>
        <v>0</v>
      </c>
      <c r="P66" s="52" t="b">
        <f t="shared" si="1"/>
        <v>0</v>
      </c>
      <c r="Q66" s="53" t="b">
        <f t="shared" si="2"/>
        <v>0</v>
      </c>
      <c r="R66" s="152" t="s">
        <v>175</v>
      </c>
      <c r="S66" s="184">
        <f t="shared" si="6"/>
        <v>0</v>
      </c>
      <c r="T66" s="124"/>
      <c r="U66" s="41" t="s">
        <v>175</v>
      </c>
      <c r="V66" s="70" t="e">
        <f>VLOOKUP(U66,'BASE '!$A$4:$H$144,2,0)</f>
        <v>#N/A</v>
      </c>
      <c r="W66" s="159"/>
      <c r="X66" s="159"/>
      <c r="Y66" s="160"/>
      <c r="Z66" s="158" t="e">
        <f>VLOOKUP(U66,'BASE '!$A$4:$H$144,3,0)</f>
        <v>#N/A</v>
      </c>
      <c r="AA66" s="94" t="e">
        <f t="shared" si="3"/>
        <v>#N/A</v>
      </c>
      <c r="AB66" s="95" t="e">
        <f>VLOOKUP(U66,'BASE '!$A$4:$H$144,6,0)*Y66/100</f>
        <v>#N/A</v>
      </c>
      <c r="AC66" s="95" t="e">
        <f>VLOOKUP(U66,'BASE '!$A$4:$H$144,7,0)*Y66/100</f>
        <v>#N/A</v>
      </c>
      <c r="AD66" s="95" t="e">
        <f>VLOOKUP(U66,'BASE '!$A$4:$H$144,8,0)*Y66/100</f>
        <v>#N/A</v>
      </c>
      <c r="AE66" s="96" t="e">
        <f t="shared" si="7"/>
        <v>#N/A</v>
      </c>
      <c r="AF66" s="431"/>
      <c r="AG66" s="1" t="s">
        <v>155</v>
      </c>
      <c r="AH66" s="36" t="e">
        <f>SUMIFS($H$6:$H$165,$D$6:$D$165,AF65,CHOIX,AG66)</f>
        <v>#NAME?</v>
      </c>
      <c r="AI66" s="36" t="e">
        <f>SUMIFS($I$6:$I$165,$D$6:$D$165,AF65,CHOIX,AG66)</f>
        <v>#NAME?</v>
      </c>
      <c r="AJ66" s="36" t="e">
        <f>SUMIFS($J$6:$J$165,$D$6:$D$165,AF65,CHOIX,AG66)</f>
        <v>#NAME?</v>
      </c>
      <c r="AK66" s="36" t="e">
        <f>SUMIFS($K$6:$K$165,$D$6:$D$165,AF65,CHOIX,AG66)</f>
        <v>#NAME?</v>
      </c>
      <c r="AL66" s="36" t="e">
        <f>SUMIFS($L$6:$L$165,$D$6:$D$165,AF65,CHOIX,AG66)</f>
        <v>#NAME?</v>
      </c>
      <c r="AM66" s="36" t="e">
        <f>SUMIFS($M$6:$M$165,$D$6:$D$165,AF65,CHOIX,AG66)</f>
        <v>#NAME?</v>
      </c>
      <c r="AN66" s="1" t="s">
        <v>155</v>
      </c>
      <c r="AO66" s="83"/>
      <c r="AP66" s="63"/>
      <c r="AQ66" s="63"/>
      <c r="AR66" s="63"/>
      <c r="AS66" s="79"/>
      <c r="AT66" s="79"/>
      <c r="AU66" s="55" t="e">
        <f>SUMIFS($O$6:$O$165,$D$6:$D$165,AF65,CHOIX,AG66)</f>
        <v>#NAME?</v>
      </c>
      <c r="AV66" s="80" t="e">
        <f>SUMIFS($Q$6:$Q$165,$D$6:$D$165,AF65,CHOIX,AG66)</f>
        <v>#NAME?</v>
      </c>
      <c r="AZ66" s="470" t="s">
        <v>166</v>
      </c>
      <c r="BA66" s="470"/>
      <c r="BB66" s="470"/>
      <c r="BC66" s="470"/>
      <c r="BD66" s="470"/>
      <c r="BE66" s="470">
        <f>SUM(BE6:BE61)</f>
        <v>0</v>
      </c>
      <c r="BF66" s="470"/>
      <c r="BG66" s="470"/>
      <c r="BH66" s="470"/>
      <c r="BI66" s="470"/>
      <c r="BJ66" s="470"/>
      <c r="BK66" s="470"/>
      <c r="BL66" s="470"/>
      <c r="BM66" s="470"/>
      <c r="BN66" s="470"/>
      <c r="BO66" s="470"/>
      <c r="DN66" s="116" t="e">
        <f>(($I$5*#REF!)/100)+((#REF!*$J$5)/100)+(($K$5*#REF!)/100)+($L$5*#REF!)+($M$5*#REF!)</f>
        <v>#REF!</v>
      </c>
    </row>
    <row r="67" spans="2:118" ht="15" thickBot="1" x14ac:dyDescent="0.35">
      <c r="B67" s="64"/>
      <c r="C67" s="148"/>
      <c r="D67" s="109"/>
      <c r="E67" s="63"/>
      <c r="F67" s="127"/>
      <c r="G67" s="50"/>
      <c r="H67" s="10"/>
      <c r="I67" s="10"/>
      <c r="J67" s="10"/>
      <c r="K67" s="10"/>
      <c r="L67" s="10"/>
      <c r="M67" s="39"/>
      <c r="N67" s="33">
        <f t="shared" si="0"/>
        <v>0</v>
      </c>
      <c r="O67" s="52" t="b">
        <f>IF(AND(E67="CLIENT S+L",F67="HUILE"),(S67*3333.33+(VLOOKUP(H67,'BASE '!$I$112:$J$142,2,0)))-((S67*3333.33)*G67),IF(AND(E67="CLIENT S+L",F67="LAIT"),((S67*952.4)-(S67*952.4)*G67),IF(E67="CLIENT O","OFFERT",IF(AND(F67="HUILE",E67="CLIENT L"),(((VLOOKUP(H67,'BASE '!$I$112:$J$142,2,0))+(VLOOKUP(S67,'BASE '!#REF!,2,0)))),IF(AND(F67="LAIT",E67="CLIENT L"),(S67*952.4),IF(AND(F67="HUILE",E67="CLIENT D"),(S67*3809.53+(VLOOKUP(H67,'BASE '!$I$112:$J$142,2,0))),IF(AND(F67="LAIT",E67="CLIENT D"),(S67*952.4),IF(AND(F67="HUILE",E67="CLIENT S+D"),((S67*3809.53+(VLOOKUP(H67,'BASE '!$I$112:$J$142,2,0)))-((S67*3809.53)*G67)),IF(AND(F67="LAIT",E67="CLIENT S+D"),((S67*952.4)-((S67*952.4)*G67)),IF(AND(E67="CLIENT S",F67="LAIT"),((S67*952.4)-((S67*952.4)*G67)),IF(AND(F67="HUILE",E67="CLIENT S"),(VLOOKUP(H67,'BASE '!$I$112:$J$142,2,0)+(VLOOKUP(S67,'BASE '!#REF!,2,0)))-(G67*((VLOOKUP(S67,'BASE '!#REF!,2,0)+(VLOOKUP(H67,'BASE '!$I$112:$J$142,2,0))))))))))))))))</f>
        <v>0</v>
      </c>
      <c r="P67" s="52" t="b">
        <f t="shared" si="1"/>
        <v>0</v>
      </c>
      <c r="Q67" s="53" t="b">
        <f t="shared" si="2"/>
        <v>0</v>
      </c>
      <c r="R67" s="152" t="s">
        <v>175</v>
      </c>
      <c r="S67" s="184">
        <f t="shared" si="6"/>
        <v>0</v>
      </c>
      <c r="T67" s="124"/>
      <c r="U67" s="41" t="s">
        <v>175</v>
      </c>
      <c r="V67" s="70" t="e">
        <f>VLOOKUP(U67,'BASE '!$A$4:$H$144,2,0)</f>
        <v>#N/A</v>
      </c>
      <c r="W67" s="159"/>
      <c r="X67" s="159"/>
      <c r="Y67" s="160"/>
      <c r="Z67" s="158" t="e">
        <f>VLOOKUP(U67,'BASE '!$A$4:$H$144,3,0)</f>
        <v>#N/A</v>
      </c>
      <c r="AA67" s="94" t="e">
        <f t="shared" si="3"/>
        <v>#N/A</v>
      </c>
      <c r="AB67" s="95" t="e">
        <f>VLOOKUP(U67,'BASE '!$A$4:$H$144,6,0)*Y67/100</f>
        <v>#N/A</v>
      </c>
      <c r="AC67" s="95" t="e">
        <f>VLOOKUP(U67,'BASE '!$A$4:$H$144,7,0)*Y67/100</f>
        <v>#N/A</v>
      </c>
      <c r="AD67" s="95" t="e">
        <f>VLOOKUP(U67,'BASE '!$A$4:$H$144,8,0)*Y67/100</f>
        <v>#N/A</v>
      </c>
      <c r="AE67" s="96" t="e">
        <f t="shared" si="7"/>
        <v>#N/A</v>
      </c>
      <c r="AF67" s="431"/>
      <c r="AG67" s="91" t="s">
        <v>157</v>
      </c>
      <c r="AH67" s="36" t="e">
        <f>SUMIFS($H$6:$H$165,$D$6:$D$165,AF67,CHOIX,AG67)</f>
        <v>#NAME?</v>
      </c>
      <c r="AI67" s="36" t="e">
        <f>SUMIFS($I$6:$I$165,$D$6:$D$165,AF67,CHOIX,AG67)</f>
        <v>#NAME?</v>
      </c>
      <c r="AJ67" s="36" t="e">
        <f>SUMIFS($J$6:$J$165,$D$6:$D$165,AF67,CHOIX,AG67)</f>
        <v>#NAME?</v>
      </c>
      <c r="AK67" s="36" t="e">
        <f>SUMIFS($K$6:$K$165,$D$6:$D$165,AF67,CHOIX,AG67)</f>
        <v>#NAME?</v>
      </c>
      <c r="AL67" s="36" t="e">
        <f>SUMIFS($L$6:$L$165,$D$6:$D$165,AF67,CHOIX,AG67)</f>
        <v>#NAME?</v>
      </c>
      <c r="AM67" s="36" t="e">
        <f>SUMIFS($M$6:$M$165,$D$6:$D$165,AF67,CHOIX,AG67)</f>
        <v>#NAME?</v>
      </c>
      <c r="AN67" s="91" t="s">
        <v>157</v>
      </c>
      <c r="AO67" s="83"/>
      <c r="AP67" s="63"/>
      <c r="AQ67" s="63"/>
      <c r="AR67" s="63"/>
      <c r="AS67" s="79"/>
      <c r="AT67" s="79"/>
      <c r="AU67" s="55" t="e">
        <f>SUMIFS($O$6:$O$165,$D$6:$D$165,AF67,CHOIX,AG67)</f>
        <v>#NAME?</v>
      </c>
      <c r="AV67" s="80" t="e">
        <f>SUMIFS($Q$6:$Q$165,$D$6:$D$165,AF67,CHOIX,AG67)</f>
        <v>#NAME?</v>
      </c>
      <c r="AZ67" s="470" t="s">
        <v>167</v>
      </c>
      <c r="BA67" s="470"/>
      <c r="BB67" s="470"/>
      <c r="BC67" s="470"/>
      <c r="BD67" s="470"/>
      <c r="BE67" s="470"/>
      <c r="BF67" s="470">
        <f>SUM(BF6:BF61)</f>
        <v>0</v>
      </c>
      <c r="BG67" s="470"/>
      <c r="BH67" s="470"/>
      <c r="BI67" s="470"/>
      <c r="BJ67" s="470"/>
      <c r="BK67" s="470"/>
      <c r="BL67" s="470"/>
      <c r="BM67" s="470"/>
      <c r="BN67" s="470"/>
      <c r="BO67" s="470"/>
      <c r="DN67" s="116" t="e">
        <f>(($I$5*#REF!)/100)+((#REF!*$J$5)/100)+(($K$5*#REF!)/100)+($L$5*#REF!)+($M$5*#REF!)</f>
        <v>#REF!</v>
      </c>
    </row>
    <row r="68" spans="2:118" ht="15" customHeight="1" thickBot="1" x14ac:dyDescent="0.35">
      <c r="B68" s="64"/>
      <c r="C68" s="148"/>
      <c r="D68" s="109"/>
      <c r="E68" s="63"/>
      <c r="F68" s="127"/>
      <c r="G68" s="50"/>
      <c r="H68" s="10"/>
      <c r="I68" s="10"/>
      <c r="J68" s="10"/>
      <c r="K68" s="10"/>
      <c r="L68" s="10"/>
      <c r="M68" s="39"/>
      <c r="N68" s="33">
        <f t="shared" si="0"/>
        <v>0</v>
      </c>
      <c r="O68" s="52" t="b">
        <f>IF(AND(E68="CLIENT S+L",F68="HUILE"),(S68*3333.33+(VLOOKUP(H68,'BASE '!$I$112:$J$142,2,0)))-((S68*3333.33)*G68),IF(AND(E68="CLIENT S+L",F68="LAIT"),((S68*952.4)-(S68*952.4)*G68),IF(E68="CLIENT O","OFFERT",IF(AND(F68="HUILE",E68="CLIENT L"),(((VLOOKUP(H68,'BASE '!$I$112:$J$142,2,0))+(VLOOKUP(S68,'BASE '!#REF!,2,0)))),IF(AND(F68="LAIT",E68="CLIENT L"),(S68*952.4),IF(AND(F68="HUILE",E68="CLIENT D"),(S68*3809.53+(VLOOKUP(H68,'BASE '!$I$112:$J$142,2,0))),IF(AND(F68="LAIT",E68="CLIENT D"),(S68*952.4),IF(AND(F68="HUILE",E68="CLIENT S+D"),((S68*3809.53+(VLOOKUP(H68,'BASE '!$I$112:$J$142,2,0)))-((S68*3809.53)*G68)),IF(AND(F68="LAIT",E68="CLIENT S+D"),((S68*952.4)-((S68*952.4)*G68)),IF(AND(E68="CLIENT S",F68="LAIT"),((S68*952.4)-((S68*952.4)*G68)),IF(AND(F68="HUILE",E68="CLIENT S"),(VLOOKUP(H68,'BASE '!$I$112:$J$142,2,0)+(VLOOKUP(S68,'BASE '!#REF!,2,0)))-(G68*((VLOOKUP(S68,'BASE '!#REF!,2,0)+(VLOOKUP(H68,'BASE '!$I$112:$J$142,2,0))))))))))))))))</f>
        <v>0</v>
      </c>
      <c r="P68" s="52" t="b">
        <f t="shared" si="1"/>
        <v>0</v>
      </c>
      <c r="Q68" s="53" t="b">
        <f t="shared" si="2"/>
        <v>0</v>
      </c>
      <c r="R68" s="152" t="s">
        <v>175</v>
      </c>
      <c r="S68" s="184">
        <f t="shared" si="6"/>
        <v>0</v>
      </c>
      <c r="T68" s="124"/>
      <c r="U68" s="41" t="s">
        <v>175</v>
      </c>
      <c r="V68" s="70" t="e">
        <f>VLOOKUP(U68,'BASE '!$A$4:$H$144,2,0)</f>
        <v>#N/A</v>
      </c>
      <c r="W68" s="159"/>
      <c r="X68" s="159"/>
      <c r="Y68" s="160"/>
      <c r="Z68" s="158" t="e">
        <f>VLOOKUP(U68,'BASE '!$A$4:$H$144,3,0)</f>
        <v>#N/A</v>
      </c>
      <c r="AA68" s="94" t="e">
        <f t="shared" si="3"/>
        <v>#N/A</v>
      </c>
      <c r="AB68" s="95" t="e">
        <f>VLOOKUP(U68,'BASE '!$A$4:$H$144,6,0)*Y68/100</f>
        <v>#N/A</v>
      </c>
      <c r="AC68" s="95" t="e">
        <f>VLOOKUP(U68,'BASE '!$A$4:$H$144,7,0)*Y68/100</f>
        <v>#N/A</v>
      </c>
      <c r="AD68" s="95" t="e">
        <f>VLOOKUP(U68,'BASE '!$A$4:$H$144,8,0)*Y68/100</f>
        <v>#N/A</v>
      </c>
      <c r="AE68" s="96" t="e">
        <f t="shared" si="7"/>
        <v>#N/A</v>
      </c>
      <c r="AF68" s="432"/>
      <c r="AG68" s="92" t="s">
        <v>155</v>
      </c>
      <c r="AH68" s="37" t="e">
        <f>SUMIFS($H$6:$H$165,$D$6:$D$165,AF67,CHOIX,AG68)</f>
        <v>#NAME?</v>
      </c>
      <c r="AI68" s="37" t="e">
        <f>SUMIFS($I$6:$I$165,$D$6:$D$165,AF67,CHOIX,AG68)</f>
        <v>#NAME?</v>
      </c>
      <c r="AJ68" s="37" t="e">
        <f>SUMIFS($J$6:$J$165,$D$6:$D$165,AF67,CHOIX,AG68)</f>
        <v>#NAME?</v>
      </c>
      <c r="AK68" s="37" t="e">
        <f>SUMIFS($K$6:$K$165,$D$6:$D$165,AF67,CHOIX,AG68)</f>
        <v>#NAME?</v>
      </c>
      <c r="AL68" s="37" t="e">
        <f>SUMIFS($L$6:$L$165,$D$6:$D$165,AF67,CHOIX,AG68)</f>
        <v>#NAME?</v>
      </c>
      <c r="AM68" s="37" t="e">
        <f>SUMIFS($M$6:$M$165,$D$6:$D$165,AF67,CHOIX,AG68)</f>
        <v>#NAME?</v>
      </c>
      <c r="AN68" s="92" t="s">
        <v>155</v>
      </c>
      <c r="AO68" s="84"/>
      <c r="AP68" s="44"/>
      <c r="AQ68" s="44"/>
      <c r="AR68" s="44"/>
      <c r="AS68" s="85"/>
      <c r="AT68" s="85"/>
      <c r="AU68" s="56" t="e">
        <f>SUMIFS($O$6:$O$165,$D$6:$D$165,AF67,CHOIX,AG68)</f>
        <v>#NAME?</v>
      </c>
      <c r="AV68" s="86" t="e">
        <f>SUMIFS($Q$6:$Q$165,$D$6:$D$165,AF67,CHOIX,AG68)</f>
        <v>#NAME?</v>
      </c>
      <c r="AZ68" s="470" t="s">
        <v>168</v>
      </c>
      <c r="BA68" s="470"/>
      <c r="BB68" s="470"/>
      <c r="BC68" s="470"/>
      <c r="BD68" s="470"/>
      <c r="BE68" s="470"/>
      <c r="BF68" s="470"/>
      <c r="BG68" s="470">
        <f>SUM(BG6:BG61)</f>
        <v>0</v>
      </c>
      <c r="BH68" s="470"/>
      <c r="BI68" s="470"/>
      <c r="BJ68" s="470"/>
      <c r="BK68" s="470"/>
      <c r="BL68" s="470"/>
      <c r="BM68" s="470"/>
      <c r="BN68" s="470"/>
      <c r="BO68" s="470"/>
      <c r="DN68" s="116" t="e">
        <f>(($I$5*#REF!)/100)+((#REF!*$J$5)/100)+(($K$5*#REF!)/100)+($L$5*#REF!)+($M$5*#REF!)</f>
        <v>#REF!</v>
      </c>
    </row>
    <row r="69" spans="2:118" ht="15" customHeight="1" thickBot="1" x14ac:dyDescent="0.35">
      <c r="B69" s="64"/>
      <c r="C69" s="148"/>
      <c r="D69" s="109"/>
      <c r="E69" s="63"/>
      <c r="F69" s="127"/>
      <c r="G69" s="50"/>
      <c r="H69" s="10"/>
      <c r="I69" s="10"/>
      <c r="J69" s="10"/>
      <c r="K69" s="10"/>
      <c r="L69" s="10"/>
      <c r="M69" s="39"/>
      <c r="N69" s="33">
        <f t="shared" si="0"/>
        <v>0</v>
      </c>
      <c r="O69" s="52" t="b">
        <f>IF(AND(E69="CLIENT S+L",F69="HUILE"),(S69*3333.33+(VLOOKUP(H69,'BASE '!$I$112:$J$142,2,0)))-((S69*3333.33)*G69),IF(AND(E69="CLIENT S+L",F69="LAIT"),((S69*952.4)-(S69*952.4)*G69),IF(E69="CLIENT O","OFFERT",IF(AND(F69="HUILE",E69="CLIENT L"),(((VLOOKUP(H69,'BASE '!$I$112:$J$142,2,0))+(VLOOKUP(S69,'BASE '!#REF!,2,0)))),IF(AND(F69="LAIT",E69="CLIENT L"),(S69*952.4),IF(AND(F69="HUILE",E69="CLIENT D"),(S69*3809.53+(VLOOKUP(H69,'BASE '!$I$112:$J$142,2,0))),IF(AND(F69="LAIT",E69="CLIENT D"),(S69*952.4),IF(AND(F69="HUILE",E69="CLIENT S+D"),((S69*3809.53+(VLOOKUP(H69,'BASE '!$I$112:$J$142,2,0)))-((S69*3809.53)*G69)),IF(AND(F69="LAIT",E69="CLIENT S+D"),((S69*952.4)-((S69*952.4)*G69)),IF(AND(E69="CLIENT S",F69="LAIT"),((S69*952.4)-((S69*952.4)*G69)),IF(AND(F69="HUILE",E69="CLIENT S"),(VLOOKUP(H69,'BASE '!$I$112:$J$142,2,0)+(VLOOKUP(S69,'BASE '!#REF!,2,0)))-(G69*((VLOOKUP(S69,'BASE '!#REF!,2,0)+(VLOOKUP(H69,'BASE '!$I$112:$J$142,2,0))))))))))))))))</f>
        <v>0</v>
      </c>
      <c r="P69" s="52" t="b">
        <f t="shared" si="1"/>
        <v>0</v>
      </c>
      <c r="Q69" s="53" t="b">
        <f t="shared" si="2"/>
        <v>0</v>
      </c>
      <c r="R69" s="152" t="s">
        <v>175</v>
      </c>
      <c r="S69" s="184">
        <f t="shared" si="6"/>
        <v>0</v>
      </c>
      <c r="T69" s="124"/>
      <c r="U69" s="41" t="s">
        <v>175</v>
      </c>
      <c r="V69" s="70" t="e">
        <f>VLOOKUP(U69,'BASE '!$A$4:$H$144,2,0)</f>
        <v>#N/A</v>
      </c>
      <c r="W69" s="159"/>
      <c r="X69" s="159"/>
      <c r="Y69" s="160"/>
      <c r="Z69" s="158" t="e">
        <f>VLOOKUP(U69,'BASE '!$A$4:$H$144,3,0)</f>
        <v>#N/A</v>
      </c>
      <c r="AA69" s="94" t="e">
        <f t="shared" si="3"/>
        <v>#N/A</v>
      </c>
      <c r="AB69" s="95" t="e">
        <f>VLOOKUP(U69,'BASE '!$A$4:$H$144,6,0)*Y69/100</f>
        <v>#N/A</v>
      </c>
      <c r="AC69" s="95" t="e">
        <f>VLOOKUP(U69,'BASE '!$A$4:$H$144,7,0)*Y69/100</f>
        <v>#N/A</v>
      </c>
      <c r="AD69" s="95" t="e">
        <f>VLOOKUP(U69,'BASE '!$A$4:$H$144,8,0)*Y69/100</f>
        <v>#N/A</v>
      </c>
      <c r="AE69" s="96" t="e">
        <f t="shared" si="7"/>
        <v>#N/A</v>
      </c>
      <c r="AF69" s="455" t="s">
        <v>63</v>
      </c>
      <c r="AG69" s="91" t="s">
        <v>157</v>
      </c>
      <c r="AH69" s="87" t="e">
        <f>SUM(AH7,AH9,AH11,AH13,AH15,AH17,AH19,AH21,AH23,AH25,AH27,AH29,AH31,AH33,AH35,AH37,AH39,AH41,AH43,AH45,AH47,AH49,AH51,AH53,AH55,AH57,AH59,AH61,AH63,AH65,AH67)</f>
        <v>#NAME?</v>
      </c>
      <c r="AI69" s="87" t="e">
        <f>SUM(AI7,AI9,AI11,AI13,AI15,AI17,AI19,AI21,AI23,AI25,AI27,AI29,AI31,AI33,AI35,AI37,AI39,AI41,AI43,AI45,AI47,AI49,AI51,AI53,AI55,AI57,AI59,AI61,AI63,AI65,AI67)</f>
        <v>#NAME?</v>
      </c>
      <c r="AJ69" s="87" t="e">
        <f t="shared" ref="AJ69:AT70" si="30">SUM(AJ7,AJ9,AJ11,AJ13,AJ15,AJ17,AJ19,AJ21,AJ23,AJ25,AJ27,AJ29,AJ31,AJ33,AJ35,AJ37,AJ39,AJ41,AJ43,AJ45,AJ47,AJ49,AJ51,AJ53,AJ55,AJ57,AJ59,AJ61,AJ63,AJ65,AJ67)</f>
        <v>#NAME?</v>
      </c>
      <c r="AK69" s="87" t="e">
        <f t="shared" si="30"/>
        <v>#NAME?</v>
      </c>
      <c r="AL69" s="87" t="e">
        <f t="shared" si="30"/>
        <v>#NAME?</v>
      </c>
      <c r="AM69" s="87" t="e">
        <f t="shared" si="30"/>
        <v>#NAME?</v>
      </c>
      <c r="AN69" s="91" t="s">
        <v>157</v>
      </c>
      <c r="AO69" s="87">
        <f t="shared" si="30"/>
        <v>0</v>
      </c>
      <c r="AP69" s="87">
        <f t="shared" si="30"/>
        <v>0</v>
      </c>
      <c r="AQ69" s="87">
        <f t="shared" si="30"/>
        <v>0</v>
      </c>
      <c r="AR69" s="87">
        <f t="shared" si="30"/>
        <v>0</v>
      </c>
      <c r="AS69" s="87">
        <f t="shared" si="30"/>
        <v>0</v>
      </c>
      <c r="AT69" s="87">
        <f t="shared" si="30"/>
        <v>0</v>
      </c>
      <c r="AU69" s="472" t="e">
        <f>SUMIF(AU7:AU68,"&lt;&gt;#N/A")</f>
        <v>#NAME?</v>
      </c>
      <c r="AV69" s="472" t="e">
        <f>SUMIF(AV7:AV68,"&lt;&gt;#N/A")</f>
        <v>#NAME?</v>
      </c>
      <c r="AZ69" s="470" t="s">
        <v>169</v>
      </c>
      <c r="BA69" s="470"/>
      <c r="BB69" s="470"/>
      <c r="BC69" s="470"/>
      <c r="BD69" s="470"/>
      <c r="BE69" s="470"/>
      <c r="BF69" s="470"/>
      <c r="BG69" s="470"/>
      <c r="BH69" s="470">
        <f>SUM(BH6:BH61)</f>
        <v>0</v>
      </c>
      <c r="BI69" s="470"/>
      <c r="BJ69" s="470"/>
      <c r="BK69" s="470"/>
      <c r="BL69" s="470"/>
      <c r="BM69" s="470"/>
      <c r="BN69" s="470"/>
      <c r="BO69" s="470"/>
      <c r="DN69" s="116" t="e">
        <f>(($I$5*#REF!)/100)+((#REF!*$J$5)/100)+(($K$5*#REF!)/100)+($L$5*#REF!)+($M$5*#REF!)</f>
        <v>#REF!</v>
      </c>
    </row>
    <row r="70" spans="2:118" ht="15" customHeight="1" thickBot="1" x14ac:dyDescent="0.35">
      <c r="B70" s="64"/>
      <c r="C70" s="148"/>
      <c r="D70" s="109"/>
      <c r="E70" s="63"/>
      <c r="F70" s="127"/>
      <c r="G70" s="50"/>
      <c r="H70" s="10"/>
      <c r="I70" s="10"/>
      <c r="J70" s="10"/>
      <c r="K70" s="10"/>
      <c r="L70" s="10"/>
      <c r="M70" s="39"/>
      <c r="N70" s="33">
        <f t="shared" ref="N70:N133" si="31">((($H$5*H70)/100)+($I$5*I70)/100)+((J70*$J$5)/100)+(($K$5*K70)/100)+($L$5*L70)+($M$5*M70)</f>
        <v>0</v>
      </c>
      <c r="O70" s="52" t="b">
        <f>IF(AND(E70="CLIENT S+L",F70="HUILE"),(S70*3333.33+(VLOOKUP(H70,'BASE '!$I$112:$J$142,2,0)))-((S70*3333.33)*G70),IF(AND(E70="CLIENT S+L",F70="LAIT"),((S70*952.4)-(S70*952.4)*G70),IF(E70="CLIENT O","OFFERT",IF(AND(F70="HUILE",E70="CLIENT L"),(((VLOOKUP(H70,'BASE '!$I$112:$J$142,2,0))+(VLOOKUP(S70,'BASE '!#REF!,2,0)))),IF(AND(F70="LAIT",E70="CLIENT L"),(S70*952.4),IF(AND(F70="HUILE",E70="CLIENT D"),(S70*3809.53+(VLOOKUP(H70,'BASE '!$I$112:$J$142,2,0))),IF(AND(F70="LAIT",E70="CLIENT D"),(S70*952.4),IF(AND(F70="HUILE",E70="CLIENT S+D"),((S70*3809.53+(VLOOKUP(H70,'BASE '!$I$112:$J$142,2,0)))-((S70*3809.53)*G70)),IF(AND(F70="LAIT",E70="CLIENT S+D"),((S70*952.4)-((S70*952.4)*G70)),IF(AND(E70="CLIENT S",F70="LAIT"),((S70*952.4)-((S70*952.4)*G70)),IF(AND(F70="HUILE",E70="CLIENT S"),(VLOOKUP(H70,'BASE '!$I$112:$J$142,2,0)+(VLOOKUP(S70,'BASE '!#REF!,2,0)))-(G70*((VLOOKUP(S70,'BASE '!#REF!,2,0)+(VLOOKUP(H70,'BASE '!$I$112:$J$142,2,0))))))))))))))))</f>
        <v>0</v>
      </c>
      <c r="P70" s="52" t="b">
        <f t="shared" ref="P70:P133" si="32">IF(E70="CLIENT S+L",(O70*0.05),IF(E70="CLIENT S",(O70*0.05),IF(E70="CLIENT D",(O70*5/100),IF(E70="CLIENT L",(O70*5)/100,IF(E70="CLIENT S+D",(O70*0.05),IF(E70="CLIENT O",O70))))))</f>
        <v>0</v>
      </c>
      <c r="Q70" s="53" t="b">
        <f t="shared" ref="Q70:Q133" si="33">IF(E70="CLIENT S+L",(O70+P70),IF(E70="CLIENT D",O70+P70,IF(E70="CLIENT S",(O70+P70),IF(E70="CLIENT L",O70+P70,IF(E70="CLIENT S+D",(O70+P70),IF(E70="CLIENT O",P70))))))</f>
        <v>0</v>
      </c>
      <c r="R70" s="152" t="s">
        <v>175</v>
      </c>
      <c r="S70" s="184">
        <f t="shared" si="6"/>
        <v>0</v>
      </c>
      <c r="T70" s="124"/>
      <c r="U70" s="41" t="s">
        <v>175</v>
      </c>
      <c r="V70" s="70" t="e">
        <f>VLOOKUP(U70,'BASE '!$A$4:$H$144,2,0)</f>
        <v>#N/A</v>
      </c>
      <c r="W70" s="159"/>
      <c r="X70" s="159"/>
      <c r="Y70" s="160"/>
      <c r="Z70" s="158" t="e">
        <f>VLOOKUP(U70,'BASE '!$A$4:$H$144,3,0)</f>
        <v>#N/A</v>
      </c>
      <c r="AA70" s="94" t="e">
        <f t="shared" ref="AA70:AA133" si="34">(Y70*Z70)/100</f>
        <v>#N/A</v>
      </c>
      <c r="AB70" s="95" t="e">
        <f>VLOOKUP(U70,'BASE '!$A$4:$H$144,6,0)*Y70/100</f>
        <v>#N/A</v>
      </c>
      <c r="AC70" s="95" t="e">
        <f>VLOOKUP(U70,'BASE '!$A$4:$H$144,7,0)*Y70/100</f>
        <v>#N/A</v>
      </c>
      <c r="AD70" s="95" t="e">
        <f>VLOOKUP(U70,'BASE '!$A$4:$H$144,8,0)*Y70/100</f>
        <v>#N/A</v>
      </c>
      <c r="AE70" s="96" t="e">
        <f t="shared" si="7"/>
        <v>#N/A</v>
      </c>
      <c r="AF70" s="456"/>
      <c r="AG70" s="92" t="s">
        <v>155</v>
      </c>
      <c r="AH70" s="87" t="e">
        <f>SUM(AH8,AH10,AH12,AH14,AH16,AH18,AH20,AH22,AH24,AH26,AH28,AH30,AH32,AH34,AH36,AH38,AH40,AH42,AH44,AH46,AH48,AH50,AH52,AH54,AH56,AH58,AH60,AH62,AH64,AH66,AH68)</f>
        <v>#NAME?</v>
      </c>
      <c r="AI70" s="87" t="e">
        <f>SUM(AI8,AI10,AI12,AI14,AI16,AI18,AI20,AI22,AI24,AI26,AI28,AI30,AI32,AI34,AI36,AI38,AI40,AI42,AI44,AI46,AI48,AI50,AI52,AI54,AI56,AI58,AI60,AI62,AI64,AI66,AI68)</f>
        <v>#NAME?</v>
      </c>
      <c r="AJ70" s="87" t="e">
        <f t="shared" si="30"/>
        <v>#NAME?</v>
      </c>
      <c r="AK70" s="87" t="e">
        <f t="shared" si="30"/>
        <v>#NAME?</v>
      </c>
      <c r="AL70" s="87" t="e">
        <f t="shared" si="30"/>
        <v>#NAME?</v>
      </c>
      <c r="AM70" s="87" t="e">
        <f t="shared" si="30"/>
        <v>#NAME?</v>
      </c>
      <c r="AN70" s="92" t="s">
        <v>155</v>
      </c>
      <c r="AO70" s="87">
        <f t="shared" si="30"/>
        <v>0</v>
      </c>
      <c r="AP70" s="87">
        <f t="shared" si="30"/>
        <v>0</v>
      </c>
      <c r="AQ70" s="87">
        <f t="shared" si="30"/>
        <v>0</v>
      </c>
      <c r="AR70" s="87">
        <f t="shared" si="30"/>
        <v>0</v>
      </c>
      <c r="AS70" s="87">
        <f t="shared" si="30"/>
        <v>0</v>
      </c>
      <c r="AT70" s="87">
        <f t="shared" si="30"/>
        <v>0</v>
      </c>
      <c r="AU70" s="473"/>
      <c r="AV70" s="473"/>
      <c r="AZ70" s="471" t="s">
        <v>170</v>
      </c>
      <c r="BA70" s="471"/>
      <c r="BB70" s="471"/>
      <c r="BC70" s="471"/>
      <c r="BD70" s="471"/>
      <c r="BE70" s="471"/>
      <c r="BF70" s="471"/>
      <c r="BG70" s="471"/>
      <c r="BH70" s="471"/>
      <c r="BI70" s="471">
        <f>SUM(BI6:BI61)</f>
        <v>0</v>
      </c>
      <c r="BJ70" s="471"/>
      <c r="BK70" s="471"/>
      <c r="BL70" s="471"/>
      <c r="BM70" s="471"/>
      <c r="BN70" s="471"/>
      <c r="BO70" s="471"/>
      <c r="DN70" s="116" t="e">
        <f>(($I$5*#REF!)/100)+((#REF!*$J$5)/100)+(($K$5*#REF!)/100)+($L$5*#REF!)+($M$5*#REF!)</f>
        <v>#REF!</v>
      </c>
    </row>
    <row r="71" spans="2:118" ht="15" customHeight="1" thickBot="1" x14ac:dyDescent="0.35">
      <c r="B71" s="64"/>
      <c r="C71" s="148"/>
      <c r="D71" s="109"/>
      <c r="E71" s="63"/>
      <c r="F71" s="127"/>
      <c r="G71" s="50"/>
      <c r="H71" s="10"/>
      <c r="I71" s="10"/>
      <c r="J71" s="10"/>
      <c r="K71" s="10"/>
      <c r="L71" s="10"/>
      <c r="M71" s="39"/>
      <c r="N71" s="33">
        <f t="shared" si="31"/>
        <v>0</v>
      </c>
      <c r="O71" s="52" t="b">
        <f>IF(AND(E71="CLIENT S+L",F71="HUILE"),(S71*3333.33+(VLOOKUP(H71,'BASE '!$I$112:$J$142,2,0)))-((S71*3333.33)*G71),IF(AND(E71="CLIENT S+L",F71="LAIT"),((S71*952.4)-(S71*952.4)*G71),IF(E71="CLIENT O","OFFERT",IF(AND(F71="HUILE",E71="CLIENT L"),(((VLOOKUP(H71,'BASE '!$I$112:$J$142,2,0))+(VLOOKUP(S71,'BASE '!#REF!,2,0)))),IF(AND(F71="LAIT",E71="CLIENT L"),(S71*952.4),IF(AND(F71="HUILE",E71="CLIENT D"),(S71*3809.53+(VLOOKUP(H71,'BASE '!$I$112:$J$142,2,0))),IF(AND(F71="LAIT",E71="CLIENT D"),(S71*952.4),IF(AND(F71="HUILE",E71="CLIENT S+D"),((S71*3809.53+(VLOOKUP(H71,'BASE '!$I$112:$J$142,2,0)))-((S71*3809.53)*G71)),IF(AND(F71="LAIT",E71="CLIENT S+D"),((S71*952.4)-((S71*952.4)*G71)),IF(AND(E71="CLIENT S",F71="LAIT"),((S71*952.4)-((S71*952.4)*G71)),IF(AND(F71="HUILE",E71="CLIENT S"),(VLOOKUP(H71,'BASE '!$I$112:$J$142,2,0)+(VLOOKUP(S71,'BASE '!#REF!,2,0)))-(G71*((VLOOKUP(S71,'BASE '!#REF!,2,0)+(VLOOKUP(H71,'BASE '!$I$112:$J$142,2,0))))))))))))))))</f>
        <v>0</v>
      </c>
      <c r="P71" s="52" t="b">
        <f t="shared" si="32"/>
        <v>0</v>
      </c>
      <c r="Q71" s="53" t="b">
        <f t="shared" si="33"/>
        <v>0</v>
      </c>
      <c r="R71" s="152" t="s">
        <v>175</v>
      </c>
      <c r="S71" s="184">
        <f t="shared" ref="S71:S134" si="35">(($I$5*I71)/100)+((J71*$J$5)/100)+(($K$5*K71)/100)+($L$5*L71)+($M$5*M71)</f>
        <v>0</v>
      </c>
      <c r="T71" s="124"/>
      <c r="U71" s="41" t="s">
        <v>175</v>
      </c>
      <c r="V71" s="70" t="e">
        <f>VLOOKUP(U71,'BASE '!$A$4:$H$144,2,0)</f>
        <v>#N/A</v>
      </c>
      <c r="W71" s="159"/>
      <c r="X71" s="159"/>
      <c r="Y71" s="160"/>
      <c r="Z71" s="158" t="e">
        <f>VLOOKUP(U71,'BASE '!$A$4:$H$144,3,0)</f>
        <v>#N/A</v>
      </c>
      <c r="AA71" s="94" t="e">
        <f t="shared" si="34"/>
        <v>#N/A</v>
      </c>
      <c r="AB71" s="95" t="e">
        <f>VLOOKUP(U71,'BASE '!$A$4:$H$144,6,0)*Y71/100</f>
        <v>#N/A</v>
      </c>
      <c r="AC71" s="95" t="e">
        <f>VLOOKUP(U71,'BASE '!$A$4:$H$144,7,0)*Y71/100</f>
        <v>#N/A</v>
      </c>
      <c r="AD71" s="95" t="e">
        <f>VLOOKUP(U71,'BASE '!$A$4:$H$144,8,0)*Y71/100</f>
        <v>#N/A</v>
      </c>
      <c r="AE71" s="96" t="e">
        <f t="shared" ref="AE71:AE134" si="36">AA71+AB71+AC71+AD71</f>
        <v>#N/A</v>
      </c>
      <c r="AF71" s="457" t="s">
        <v>64</v>
      </c>
      <c r="AG71" s="451"/>
      <c r="AH71" s="458"/>
      <c r="AI71" s="462" t="e">
        <f>AV69</f>
        <v>#NAME?</v>
      </c>
      <c r="AJ71" s="463"/>
      <c r="AK71" s="463"/>
      <c r="AL71" s="464"/>
      <c r="AM71" s="88"/>
      <c r="AN71" s="88"/>
      <c r="AO71" s="88"/>
      <c r="AP71" s="88"/>
      <c r="AQ71" s="88"/>
      <c r="AR71" s="88"/>
      <c r="AS71" s="104"/>
      <c r="AT71" s="104"/>
      <c r="AU71" s="105"/>
      <c r="AV71" s="105"/>
      <c r="AZ71" s="471" t="s">
        <v>162</v>
      </c>
      <c r="BA71" s="471"/>
      <c r="BB71" s="471"/>
      <c r="BC71" s="471"/>
      <c r="BD71" s="471"/>
      <c r="BE71" s="471"/>
      <c r="BF71" s="471"/>
      <c r="BG71" s="471"/>
      <c r="BH71" s="471"/>
      <c r="BI71" s="471"/>
      <c r="BJ71" s="471">
        <f>SUM(BJ6:BJ61)</f>
        <v>0</v>
      </c>
      <c r="BK71" s="471"/>
      <c r="BL71" s="471"/>
      <c r="BM71" s="471"/>
      <c r="BN71" s="471"/>
      <c r="BO71" s="471"/>
      <c r="DN71" s="116"/>
    </row>
    <row r="72" spans="2:118" ht="15" customHeight="1" thickBot="1" x14ac:dyDescent="0.35">
      <c r="B72" s="64"/>
      <c r="C72" s="148"/>
      <c r="D72" s="109"/>
      <c r="E72" s="63"/>
      <c r="F72" s="127"/>
      <c r="G72" s="50"/>
      <c r="H72" s="10"/>
      <c r="I72" s="10"/>
      <c r="J72" s="10"/>
      <c r="K72" s="10"/>
      <c r="L72" s="10"/>
      <c r="M72" s="39"/>
      <c r="N72" s="33">
        <f t="shared" si="31"/>
        <v>0</v>
      </c>
      <c r="O72" s="52" t="b">
        <f>IF(AND(E72="CLIENT S+L",F72="HUILE"),(S72*3333.33+(VLOOKUP(H72,'BASE '!$I$112:$J$142,2,0)))-((S72*3333.33)*G72),IF(AND(E72="CLIENT S+L",F72="LAIT"),((S72*952.4)-(S72*952.4)*G72),IF(E72="CLIENT O","OFFERT",IF(AND(F72="HUILE",E72="CLIENT L"),(((VLOOKUP(H72,'BASE '!$I$112:$J$142,2,0))+(VLOOKUP(S72,'BASE '!#REF!,2,0)))),IF(AND(F72="LAIT",E72="CLIENT L"),(S72*952.4),IF(AND(F72="HUILE",E72="CLIENT D"),(S72*3809.53+(VLOOKUP(H72,'BASE '!$I$112:$J$142,2,0))),IF(AND(F72="LAIT",E72="CLIENT D"),(S72*952.4),IF(AND(F72="HUILE",E72="CLIENT S+D"),((S72*3809.53+(VLOOKUP(H72,'BASE '!$I$112:$J$142,2,0)))-((S72*3809.53)*G72)),IF(AND(F72="LAIT",E72="CLIENT S+D"),((S72*952.4)-((S72*952.4)*G72)),IF(AND(E72="CLIENT S",F72="LAIT"),((S72*952.4)-((S72*952.4)*G72)),IF(AND(F72="HUILE",E72="CLIENT S"),(VLOOKUP(H72,'BASE '!$I$112:$J$142,2,0)+(VLOOKUP(S72,'BASE '!#REF!,2,0)))-(G72*((VLOOKUP(S72,'BASE '!#REF!,2,0)+(VLOOKUP(H72,'BASE '!$I$112:$J$142,2,0))))))))))))))))</f>
        <v>0</v>
      </c>
      <c r="P72" s="52" t="b">
        <f t="shared" si="32"/>
        <v>0</v>
      </c>
      <c r="Q72" s="53" t="b">
        <f t="shared" si="33"/>
        <v>0</v>
      </c>
      <c r="R72" s="152" t="s">
        <v>175</v>
      </c>
      <c r="S72" s="184">
        <f t="shared" si="35"/>
        <v>0</v>
      </c>
      <c r="T72" s="124"/>
      <c r="U72" s="41" t="s">
        <v>175</v>
      </c>
      <c r="V72" s="70" t="e">
        <f>VLOOKUP(U72,'BASE '!$A$4:$H$144,2,0)</f>
        <v>#N/A</v>
      </c>
      <c r="W72" s="159"/>
      <c r="X72" s="159"/>
      <c r="Y72" s="160"/>
      <c r="Z72" s="158" t="e">
        <f>VLOOKUP(U72,'BASE '!$A$4:$H$144,3,0)</f>
        <v>#N/A</v>
      </c>
      <c r="AA72" s="94" t="e">
        <f t="shared" si="34"/>
        <v>#N/A</v>
      </c>
      <c r="AB72" s="95" t="e">
        <f>VLOOKUP(U72,'BASE '!$A$4:$H$144,6,0)*Y72/100</f>
        <v>#N/A</v>
      </c>
      <c r="AC72" s="95" t="e">
        <f>VLOOKUP(U72,'BASE '!$A$4:$H$144,7,0)*Y72/100</f>
        <v>#N/A</v>
      </c>
      <c r="AD72" s="95" t="e">
        <f>VLOOKUP(U72,'BASE '!$A$4:$H$144,8,0)*Y72/100</f>
        <v>#N/A</v>
      </c>
      <c r="AE72" s="96" t="e">
        <f t="shared" si="36"/>
        <v>#N/A</v>
      </c>
      <c r="AF72" s="459"/>
      <c r="AG72" s="460"/>
      <c r="AH72" s="461"/>
      <c r="AI72" s="465"/>
      <c r="AJ72" s="466"/>
      <c r="AK72" s="466"/>
      <c r="AL72" s="467"/>
      <c r="AM72" s="89"/>
      <c r="AN72" s="89"/>
      <c r="AO72" s="89"/>
      <c r="AP72" s="89"/>
      <c r="AQ72" s="89"/>
      <c r="AR72" s="89"/>
      <c r="AS72" s="104"/>
      <c r="AT72" s="104"/>
      <c r="AU72" s="105"/>
      <c r="AV72" s="105"/>
      <c r="AZ72" s="471" t="s">
        <v>163</v>
      </c>
      <c r="BA72" s="471"/>
      <c r="BB72" s="471"/>
      <c r="BC72" s="471"/>
      <c r="BD72" s="471"/>
      <c r="BE72" s="471"/>
      <c r="BF72" s="471"/>
      <c r="BG72" s="471"/>
      <c r="BH72" s="471"/>
      <c r="BI72" s="471"/>
      <c r="BJ72" s="471"/>
      <c r="BK72" s="471">
        <f>SUM(BK6:BK61)</f>
        <v>0</v>
      </c>
      <c r="BL72" s="471"/>
      <c r="BM72" s="471"/>
      <c r="BN72" s="471"/>
      <c r="BO72" s="471"/>
      <c r="DN72" s="116"/>
    </row>
    <row r="73" spans="2:118" ht="15" customHeight="1" thickBot="1" x14ac:dyDescent="0.35">
      <c r="B73" s="64"/>
      <c r="C73" s="148"/>
      <c r="D73" s="109"/>
      <c r="E73" s="63"/>
      <c r="F73" s="127"/>
      <c r="G73" s="50"/>
      <c r="H73" s="10"/>
      <c r="I73" s="10"/>
      <c r="J73" s="10"/>
      <c r="K73" s="10"/>
      <c r="L73" s="10"/>
      <c r="M73" s="39"/>
      <c r="N73" s="33">
        <f t="shared" si="31"/>
        <v>0</v>
      </c>
      <c r="O73" s="52" t="b">
        <f>IF(AND(E73="CLIENT S+L",F73="HUILE"),(S73*3333.33+(VLOOKUP(H73,'BASE '!$I$112:$J$142,2,0)))-((S73*3333.33)*G73),IF(AND(E73="CLIENT S+L",F73="LAIT"),((S73*952.4)-(S73*952.4)*G73),IF(E73="CLIENT O","OFFERT",IF(AND(F73="HUILE",E73="CLIENT L"),(((VLOOKUP(H73,'BASE '!$I$112:$J$142,2,0))+(VLOOKUP(S73,'BASE '!#REF!,2,0)))),IF(AND(F73="LAIT",E73="CLIENT L"),(S73*952.4),IF(AND(F73="HUILE",E73="CLIENT D"),(S73*3809.53+(VLOOKUP(H73,'BASE '!$I$112:$J$142,2,0))),IF(AND(F73="LAIT",E73="CLIENT D"),(S73*952.4),IF(AND(F73="HUILE",E73="CLIENT S+D"),((S73*3809.53+(VLOOKUP(H73,'BASE '!$I$112:$J$142,2,0)))-((S73*3809.53)*G73)),IF(AND(F73="LAIT",E73="CLIENT S+D"),((S73*952.4)-((S73*952.4)*G73)),IF(AND(E73="CLIENT S",F73="LAIT"),((S73*952.4)-((S73*952.4)*G73)),IF(AND(F73="HUILE",E73="CLIENT S"),(VLOOKUP(H73,'BASE '!$I$112:$J$142,2,0)+(VLOOKUP(S73,'BASE '!#REF!,2,0)))-(G73*((VLOOKUP(S73,'BASE '!#REF!,2,0)+(VLOOKUP(H73,'BASE '!$I$112:$J$142,2,0))))))))))))))))</f>
        <v>0</v>
      </c>
      <c r="P73" s="52" t="b">
        <f t="shared" si="32"/>
        <v>0</v>
      </c>
      <c r="Q73" s="53" t="b">
        <f t="shared" si="33"/>
        <v>0</v>
      </c>
      <c r="R73" s="152" t="s">
        <v>175</v>
      </c>
      <c r="S73" s="184">
        <f t="shared" si="35"/>
        <v>0</v>
      </c>
      <c r="T73" s="124"/>
      <c r="U73" s="41" t="s">
        <v>175</v>
      </c>
      <c r="V73" s="70" t="e">
        <f>VLOOKUP(U73,'BASE '!$A$4:$H$144,2,0)</f>
        <v>#N/A</v>
      </c>
      <c r="W73" s="159"/>
      <c r="X73" s="159"/>
      <c r="Y73" s="160"/>
      <c r="Z73" s="158" t="e">
        <f>VLOOKUP(U73,'BASE '!$A$4:$H$144,3,0)</f>
        <v>#N/A</v>
      </c>
      <c r="AA73" s="94" t="e">
        <f t="shared" si="34"/>
        <v>#N/A</v>
      </c>
      <c r="AB73" s="95" t="e">
        <f>VLOOKUP(U73,'BASE '!$A$4:$H$144,6,0)*Y73/100</f>
        <v>#N/A</v>
      </c>
      <c r="AC73" s="95" t="e">
        <f>VLOOKUP(U73,'BASE '!$A$4:$H$144,7,0)*Y73/100</f>
        <v>#N/A</v>
      </c>
      <c r="AD73" s="95" t="e">
        <f>VLOOKUP(U73,'BASE '!$A$4:$H$144,8,0)*Y73/100</f>
        <v>#N/A</v>
      </c>
      <c r="AE73" s="96" t="e">
        <f t="shared" si="36"/>
        <v>#N/A</v>
      </c>
      <c r="AS73" s="104"/>
      <c r="AT73" s="104"/>
      <c r="AU73" s="105"/>
      <c r="AV73" s="105"/>
      <c r="AZ73" s="471" t="s">
        <v>164</v>
      </c>
      <c r="BA73" s="471"/>
      <c r="BB73" s="471"/>
      <c r="BC73" s="471"/>
      <c r="BD73" s="471"/>
      <c r="BE73" s="471"/>
      <c r="BF73" s="471"/>
      <c r="BG73" s="471"/>
      <c r="BH73" s="471"/>
      <c r="BI73" s="471"/>
      <c r="BJ73" s="471"/>
      <c r="BK73" s="471"/>
      <c r="BL73" s="471">
        <f>SUM(BL6:BL61)</f>
        <v>0</v>
      </c>
      <c r="BM73" s="471"/>
      <c r="BN73" s="471"/>
      <c r="BO73" s="471"/>
      <c r="DN73" s="116"/>
    </row>
    <row r="74" spans="2:118" ht="15" customHeight="1" thickBot="1" x14ac:dyDescent="0.35">
      <c r="B74" s="64"/>
      <c r="C74" s="148"/>
      <c r="D74" s="109"/>
      <c r="E74" s="63"/>
      <c r="F74" s="127"/>
      <c r="G74" s="50"/>
      <c r="H74" s="10"/>
      <c r="I74" s="10"/>
      <c r="J74" s="10"/>
      <c r="K74" s="10"/>
      <c r="L74" s="10"/>
      <c r="M74" s="39"/>
      <c r="N74" s="33">
        <f t="shared" si="31"/>
        <v>0</v>
      </c>
      <c r="O74" s="52" t="b">
        <f>IF(AND(E74="CLIENT S+L",F74="HUILE"),(S74*3333.33+(VLOOKUP(H74,'BASE '!$I$112:$J$142,2,0)))-((S74*3333.33)*G74),IF(AND(E74="CLIENT S+L",F74="LAIT"),((S74*952.4)-(S74*952.4)*G74),IF(E74="CLIENT O","OFFERT",IF(AND(F74="HUILE",E74="CLIENT L"),(((VLOOKUP(H74,'BASE '!$I$112:$J$142,2,0))+(VLOOKUP(S74,'BASE '!#REF!,2,0)))),IF(AND(F74="LAIT",E74="CLIENT L"),(S74*952.4),IF(AND(F74="HUILE",E74="CLIENT D"),(S74*3809.53+(VLOOKUP(H74,'BASE '!$I$112:$J$142,2,0))),IF(AND(F74="LAIT",E74="CLIENT D"),(S74*952.4),IF(AND(F74="HUILE",E74="CLIENT S+D"),((S74*3809.53+(VLOOKUP(H74,'BASE '!$I$112:$J$142,2,0)))-((S74*3809.53)*G74)),IF(AND(F74="LAIT",E74="CLIENT S+D"),((S74*952.4)-((S74*952.4)*G74)),IF(AND(E74="CLIENT S",F74="LAIT"),((S74*952.4)-((S74*952.4)*G74)),IF(AND(F74="HUILE",E74="CLIENT S"),(VLOOKUP(H74,'BASE '!$I$112:$J$142,2,0)+(VLOOKUP(S74,'BASE '!#REF!,2,0)))-(G74*((VLOOKUP(S74,'BASE '!#REF!,2,0)+(VLOOKUP(H74,'BASE '!$I$112:$J$142,2,0))))))))))))))))</f>
        <v>0</v>
      </c>
      <c r="P74" s="52" t="b">
        <f t="shared" si="32"/>
        <v>0</v>
      </c>
      <c r="Q74" s="53" t="b">
        <f t="shared" si="33"/>
        <v>0</v>
      </c>
      <c r="R74" s="152" t="s">
        <v>175</v>
      </c>
      <c r="S74" s="184">
        <f t="shared" si="35"/>
        <v>0</v>
      </c>
      <c r="T74" s="124"/>
      <c r="U74" s="41" t="s">
        <v>175</v>
      </c>
      <c r="V74" s="70" t="e">
        <f>VLOOKUP(U74,'BASE '!$A$4:$H$144,2,0)</f>
        <v>#N/A</v>
      </c>
      <c r="W74" s="159"/>
      <c r="X74" s="159"/>
      <c r="Y74" s="160"/>
      <c r="Z74" s="158" t="e">
        <f>VLOOKUP(U74,'BASE '!$A$4:$H$144,3,0)</f>
        <v>#N/A</v>
      </c>
      <c r="AA74" s="94" t="e">
        <f t="shared" si="34"/>
        <v>#N/A</v>
      </c>
      <c r="AB74" s="95" t="e">
        <f>VLOOKUP(U74,'BASE '!$A$4:$H$144,6,0)*Y74/100</f>
        <v>#N/A</v>
      </c>
      <c r="AC74" s="95" t="e">
        <f>VLOOKUP(U74,'BASE '!$A$4:$H$144,7,0)*Y74/100</f>
        <v>#N/A</v>
      </c>
      <c r="AD74" s="95" t="e">
        <f>VLOOKUP(U74,'BASE '!$A$4:$H$144,8,0)*Y74/100</f>
        <v>#N/A</v>
      </c>
      <c r="AE74" s="96" t="e">
        <f t="shared" si="36"/>
        <v>#N/A</v>
      </c>
      <c r="AS74" s="104"/>
      <c r="AT74" s="104"/>
      <c r="AU74" s="105"/>
      <c r="AV74" s="105"/>
      <c r="AZ74" s="471" t="s">
        <v>161</v>
      </c>
      <c r="BA74" s="471"/>
      <c r="BB74" s="471"/>
      <c r="BC74" s="471"/>
      <c r="BD74" s="471"/>
      <c r="BE74" s="471"/>
      <c r="BF74" s="471"/>
      <c r="BG74" s="471"/>
      <c r="BH74" s="471"/>
      <c r="BI74" s="471"/>
      <c r="BJ74" s="471"/>
      <c r="BK74" s="471"/>
      <c r="BL74" s="471"/>
      <c r="BM74" s="471">
        <f>SUM(BN6:BN61)</f>
        <v>0</v>
      </c>
      <c r="BN74" s="471"/>
      <c r="BO74" s="471"/>
      <c r="DN74" s="116"/>
    </row>
    <row r="75" spans="2:118" ht="15" customHeight="1" thickBot="1" x14ac:dyDescent="0.35">
      <c r="B75" s="64"/>
      <c r="C75" s="148"/>
      <c r="D75" s="109"/>
      <c r="E75" s="63"/>
      <c r="F75" s="127"/>
      <c r="G75" s="50"/>
      <c r="H75" s="10"/>
      <c r="I75" s="10"/>
      <c r="J75" s="10"/>
      <c r="K75" s="10"/>
      <c r="L75" s="10"/>
      <c r="M75" s="39"/>
      <c r="N75" s="33">
        <f t="shared" si="31"/>
        <v>0</v>
      </c>
      <c r="O75" s="52" t="b">
        <f>IF(AND(E75="CLIENT S+L",F75="HUILE"),(S75*3333.33+(VLOOKUP(H75,'BASE '!$I$112:$J$142,2,0)))-((S75*3333.33)*G75),IF(AND(E75="CLIENT S+L",F75="LAIT"),((S75*952.4)-(S75*952.4)*G75),IF(E75="CLIENT O","OFFERT",IF(AND(F75="HUILE",E75="CLIENT L"),(((VLOOKUP(H75,'BASE '!$I$112:$J$142,2,0))+(VLOOKUP(S75,'BASE '!#REF!,2,0)))),IF(AND(F75="LAIT",E75="CLIENT L"),(S75*952.4),IF(AND(F75="HUILE",E75="CLIENT D"),(S75*3809.53+(VLOOKUP(H75,'BASE '!$I$112:$J$142,2,0))),IF(AND(F75="LAIT",E75="CLIENT D"),(S75*952.4),IF(AND(F75="HUILE",E75="CLIENT S+D"),((S75*3809.53+(VLOOKUP(H75,'BASE '!$I$112:$J$142,2,0)))-((S75*3809.53)*G75)),IF(AND(F75="LAIT",E75="CLIENT S+D"),((S75*952.4)-((S75*952.4)*G75)),IF(AND(E75="CLIENT S",F75="LAIT"),((S75*952.4)-((S75*952.4)*G75)),IF(AND(F75="HUILE",E75="CLIENT S"),(VLOOKUP(H75,'BASE '!$I$112:$J$142,2,0)+(VLOOKUP(S75,'BASE '!#REF!,2,0)))-(G75*((VLOOKUP(S75,'BASE '!#REF!,2,0)+(VLOOKUP(H75,'BASE '!$I$112:$J$142,2,0))))))))))))))))</f>
        <v>0</v>
      </c>
      <c r="P75" s="52" t="b">
        <f t="shared" si="32"/>
        <v>0</v>
      </c>
      <c r="Q75" s="53" t="b">
        <f t="shared" si="33"/>
        <v>0</v>
      </c>
      <c r="R75" s="152" t="s">
        <v>175</v>
      </c>
      <c r="S75" s="184">
        <f t="shared" si="35"/>
        <v>0</v>
      </c>
      <c r="T75" s="124"/>
      <c r="U75" s="41" t="s">
        <v>175</v>
      </c>
      <c r="V75" s="70" t="e">
        <f>VLOOKUP(U75,'BASE '!$A$4:$H$144,2,0)</f>
        <v>#N/A</v>
      </c>
      <c r="W75" s="159"/>
      <c r="X75" s="159"/>
      <c r="Y75" s="160"/>
      <c r="Z75" s="158" t="e">
        <f>VLOOKUP(U75,'BASE '!$A$4:$H$144,3,0)</f>
        <v>#N/A</v>
      </c>
      <c r="AA75" s="94" t="e">
        <f t="shared" si="34"/>
        <v>#N/A</v>
      </c>
      <c r="AB75" s="95" t="e">
        <f>VLOOKUP(U75,'BASE '!$A$4:$H$144,6,0)*Y75/100</f>
        <v>#N/A</v>
      </c>
      <c r="AC75" s="95" t="e">
        <f>VLOOKUP(U75,'BASE '!$A$4:$H$144,7,0)*Y75/100</f>
        <v>#N/A</v>
      </c>
      <c r="AD75" s="95" t="e">
        <f>VLOOKUP(U75,'BASE '!$A$4:$H$144,8,0)*Y75/100</f>
        <v>#N/A</v>
      </c>
      <c r="AE75" s="96" t="e">
        <f t="shared" si="36"/>
        <v>#N/A</v>
      </c>
      <c r="AS75" s="168"/>
      <c r="AT75" s="12"/>
      <c r="AU75" s="12"/>
      <c r="AV75" s="12"/>
      <c r="AZ75" s="470" t="s">
        <v>160</v>
      </c>
      <c r="BA75" s="470"/>
      <c r="BB75" s="470"/>
      <c r="BC75" s="470"/>
      <c r="BD75" s="470"/>
      <c r="BE75" s="470"/>
      <c r="BF75" s="470"/>
      <c r="BG75" s="470"/>
      <c r="BH75" s="470"/>
      <c r="BI75" s="470"/>
      <c r="BJ75" s="470"/>
      <c r="BK75" s="470"/>
      <c r="BL75" s="470"/>
      <c r="BM75" s="470">
        <f>SUM(BM6:BM61)</f>
        <v>0</v>
      </c>
      <c r="BN75" s="470"/>
      <c r="BO75" s="470"/>
      <c r="DN75" s="116" t="e">
        <f>(($I$5*#REF!)/100)+((#REF!*$J$5)/100)+(($K$5*#REF!)/100)+($L$5*#REF!)+($M$5*#REF!)</f>
        <v>#REF!</v>
      </c>
    </row>
    <row r="76" spans="2:118" x14ac:dyDescent="0.3">
      <c r="B76" s="64"/>
      <c r="C76" s="148"/>
      <c r="D76" s="109"/>
      <c r="E76" s="63"/>
      <c r="F76" s="127"/>
      <c r="G76" s="50"/>
      <c r="H76" s="10"/>
      <c r="I76" s="10"/>
      <c r="J76" s="10"/>
      <c r="K76" s="10"/>
      <c r="L76" s="10"/>
      <c r="M76" s="39"/>
      <c r="N76" s="33">
        <f t="shared" si="31"/>
        <v>0</v>
      </c>
      <c r="O76" s="52" t="b">
        <f>IF(AND(E76="CLIENT S+L",F76="HUILE"),(S76*3333.33+(VLOOKUP(H76,'BASE '!$I$112:$J$142,2,0)))-((S76*3333.33)*G76),IF(AND(E76="CLIENT S+L",F76="LAIT"),((S76*952.4)-(S76*952.4)*G76),IF(E76="CLIENT O","OFFERT",IF(AND(F76="HUILE",E76="CLIENT L"),(((VLOOKUP(H76,'BASE '!$I$112:$J$142,2,0))+(VLOOKUP(S76,'BASE '!#REF!,2,0)))),IF(AND(F76="LAIT",E76="CLIENT L"),(S76*952.4),IF(AND(F76="HUILE",E76="CLIENT D"),(S76*3809.53+(VLOOKUP(H76,'BASE '!$I$112:$J$142,2,0))),IF(AND(F76="LAIT",E76="CLIENT D"),(S76*952.4),IF(AND(F76="HUILE",E76="CLIENT S+D"),((S76*3809.53+(VLOOKUP(H76,'BASE '!$I$112:$J$142,2,0)))-((S76*3809.53)*G76)),IF(AND(F76="LAIT",E76="CLIENT S+D"),((S76*952.4)-((S76*952.4)*G76)),IF(AND(E76="CLIENT S",F76="LAIT"),((S76*952.4)-((S76*952.4)*G76)),IF(AND(F76="HUILE",E76="CLIENT S"),(VLOOKUP(H76,'BASE '!$I$112:$J$142,2,0)+(VLOOKUP(S76,'BASE '!#REF!,2,0)))-(G76*((VLOOKUP(S76,'BASE '!#REF!,2,0)+(VLOOKUP(H76,'BASE '!$I$112:$J$142,2,0))))))))))))))))</f>
        <v>0</v>
      </c>
      <c r="P76" s="52" t="b">
        <f t="shared" si="32"/>
        <v>0</v>
      </c>
      <c r="Q76" s="53" t="b">
        <f t="shared" si="33"/>
        <v>0</v>
      </c>
      <c r="R76" s="152" t="s">
        <v>175</v>
      </c>
      <c r="S76" s="184">
        <f t="shared" si="35"/>
        <v>0</v>
      </c>
      <c r="T76" s="124"/>
      <c r="U76" s="41" t="s">
        <v>175</v>
      </c>
      <c r="V76" s="70" t="e">
        <f>VLOOKUP(U76,'BASE '!$A$4:$H$144,2,0)</f>
        <v>#N/A</v>
      </c>
      <c r="W76" s="159"/>
      <c r="X76" s="159"/>
      <c r="Y76" s="160"/>
      <c r="Z76" s="158" t="e">
        <f>VLOOKUP(U76,'BASE '!$A$4:$H$144,3,0)</f>
        <v>#N/A</v>
      </c>
      <c r="AA76" s="94" t="e">
        <f t="shared" si="34"/>
        <v>#N/A</v>
      </c>
      <c r="AB76" s="95" t="e">
        <f>VLOOKUP(U76,'BASE '!$A$4:$H$144,6,0)*Y76/100</f>
        <v>#N/A</v>
      </c>
      <c r="AC76" s="95" t="e">
        <f>VLOOKUP(U76,'BASE '!$A$4:$H$144,7,0)*Y76/100</f>
        <v>#N/A</v>
      </c>
      <c r="AD76" s="95" t="e">
        <f>VLOOKUP(U76,'BASE '!$A$4:$H$144,8,0)*Y76/100</f>
        <v>#N/A</v>
      </c>
      <c r="AE76" s="96" t="e">
        <f t="shared" si="36"/>
        <v>#N/A</v>
      </c>
      <c r="AS76" s="168"/>
      <c r="AT76" s="12"/>
      <c r="AU76" s="12"/>
      <c r="AV76" s="12"/>
      <c r="DN76" s="116" t="e">
        <f>(($I$5*#REF!)/100)+((#REF!*$J$5)/100)+(($K$5*#REF!)/100)+($L$5*#REF!)+($M$5*#REF!)</f>
        <v>#REF!</v>
      </c>
    </row>
    <row r="77" spans="2:118" x14ac:dyDescent="0.3">
      <c r="B77" s="64"/>
      <c r="C77" s="148"/>
      <c r="D77" s="109"/>
      <c r="E77" s="63"/>
      <c r="F77" s="127"/>
      <c r="G77" s="50"/>
      <c r="H77" s="10"/>
      <c r="I77" s="10"/>
      <c r="J77" s="10"/>
      <c r="K77" s="10"/>
      <c r="L77" s="10"/>
      <c r="M77" s="39"/>
      <c r="N77" s="33">
        <f t="shared" si="31"/>
        <v>0</v>
      </c>
      <c r="O77" s="52" t="b">
        <f>IF(AND(E77="CLIENT S+L",F77="HUILE"),(S77*3333.33+(VLOOKUP(H77,'BASE '!$I$112:$J$142,2,0)))-((S77*3333.33)*G77),IF(AND(E77="CLIENT S+L",F77="LAIT"),((S77*952.4)-(S77*952.4)*G77),IF(E77="CLIENT O","OFFERT",IF(AND(F77="HUILE",E77="CLIENT L"),(((VLOOKUP(H77,'BASE '!$I$112:$J$142,2,0))+(VLOOKUP(S77,'BASE '!#REF!,2,0)))),IF(AND(F77="LAIT",E77="CLIENT L"),(S77*952.4),IF(AND(F77="HUILE",E77="CLIENT D"),(S77*3809.53+(VLOOKUP(H77,'BASE '!$I$112:$J$142,2,0))),IF(AND(F77="LAIT",E77="CLIENT D"),(S77*952.4),IF(AND(F77="HUILE",E77="CLIENT S+D"),((S77*3809.53+(VLOOKUP(H77,'BASE '!$I$112:$J$142,2,0)))-((S77*3809.53)*G77)),IF(AND(F77="LAIT",E77="CLIENT S+D"),((S77*952.4)-((S77*952.4)*G77)),IF(AND(E77="CLIENT S",F77="LAIT"),((S77*952.4)-((S77*952.4)*G77)),IF(AND(F77="HUILE",E77="CLIENT S"),(VLOOKUP(H77,'BASE '!$I$112:$J$142,2,0)+(VLOOKUP(S77,'BASE '!#REF!,2,0)))-(G77*((VLOOKUP(S77,'BASE '!#REF!,2,0)+(VLOOKUP(H77,'BASE '!$I$112:$J$142,2,0))))))))))))))))</f>
        <v>0</v>
      </c>
      <c r="P77" s="52" t="b">
        <f t="shared" si="32"/>
        <v>0</v>
      </c>
      <c r="Q77" s="53" t="b">
        <f t="shared" si="33"/>
        <v>0</v>
      </c>
      <c r="R77" s="152" t="s">
        <v>175</v>
      </c>
      <c r="S77" s="184">
        <f t="shared" si="35"/>
        <v>0</v>
      </c>
      <c r="T77" s="124"/>
      <c r="U77" s="41" t="s">
        <v>175</v>
      </c>
      <c r="V77" s="70" t="e">
        <f>VLOOKUP(U77,'BASE '!$A$4:$H$144,2,0)</f>
        <v>#N/A</v>
      </c>
      <c r="W77" s="159"/>
      <c r="X77" s="159"/>
      <c r="Y77" s="160"/>
      <c r="Z77" s="158" t="e">
        <f>VLOOKUP(U77,'BASE '!$A$4:$H$144,3,0)</f>
        <v>#N/A</v>
      </c>
      <c r="AA77" s="94" t="e">
        <f t="shared" si="34"/>
        <v>#N/A</v>
      </c>
      <c r="AB77" s="95" t="e">
        <f>VLOOKUP(U77,'BASE '!$A$4:$H$144,6,0)*Y77/100</f>
        <v>#N/A</v>
      </c>
      <c r="AC77" s="95" t="e">
        <f>VLOOKUP(U77,'BASE '!$A$4:$H$144,7,0)*Y77/100</f>
        <v>#N/A</v>
      </c>
      <c r="AD77" s="95" t="e">
        <f>VLOOKUP(U77,'BASE '!$A$4:$H$144,8,0)*Y77/100</f>
        <v>#N/A</v>
      </c>
      <c r="AE77" s="96" t="e">
        <f t="shared" si="36"/>
        <v>#N/A</v>
      </c>
      <c r="DN77" s="116" t="e">
        <f>(($I$5*#REF!)/100)+((#REF!*$J$5)/100)+(($K$5*#REF!)/100)+($L$5*#REF!)+($M$5*#REF!)</f>
        <v>#REF!</v>
      </c>
    </row>
    <row r="78" spans="2:118" x14ac:dyDescent="0.3">
      <c r="B78" s="64"/>
      <c r="C78" s="148"/>
      <c r="D78" s="109"/>
      <c r="E78" s="63"/>
      <c r="F78" s="127"/>
      <c r="G78" s="50"/>
      <c r="H78" s="10"/>
      <c r="I78" s="10"/>
      <c r="J78" s="10"/>
      <c r="K78" s="10"/>
      <c r="L78" s="10"/>
      <c r="M78" s="39"/>
      <c r="N78" s="33">
        <f t="shared" si="31"/>
        <v>0</v>
      </c>
      <c r="O78" s="52" t="b">
        <f>IF(AND(E78="CLIENT S+L",F78="HUILE"),(S78*3333.33+(VLOOKUP(H78,'BASE '!$I$112:$J$142,2,0)))-((S78*3333.33)*G78),IF(AND(E78="CLIENT S+L",F78="LAIT"),((S78*952.4)-(S78*952.4)*G78),IF(E78="CLIENT O","OFFERT",IF(AND(F78="HUILE",E78="CLIENT L"),(((VLOOKUP(H78,'BASE '!$I$112:$J$142,2,0))+(VLOOKUP(S78,'BASE '!#REF!,2,0)))),IF(AND(F78="LAIT",E78="CLIENT L"),(S78*952.4),IF(AND(F78="HUILE",E78="CLIENT D"),(S78*3809.53+(VLOOKUP(H78,'BASE '!$I$112:$J$142,2,0))),IF(AND(F78="LAIT",E78="CLIENT D"),(S78*952.4),IF(AND(F78="HUILE",E78="CLIENT S+D"),((S78*3809.53+(VLOOKUP(H78,'BASE '!$I$112:$J$142,2,0)))-((S78*3809.53)*G78)),IF(AND(F78="LAIT",E78="CLIENT S+D"),((S78*952.4)-((S78*952.4)*G78)),IF(AND(E78="CLIENT S",F78="LAIT"),((S78*952.4)-((S78*952.4)*G78)),IF(AND(F78="HUILE",E78="CLIENT S"),(VLOOKUP(H78,'BASE '!$I$112:$J$142,2,0)+(VLOOKUP(S78,'BASE '!#REF!,2,0)))-(G78*((VLOOKUP(S78,'BASE '!#REF!,2,0)+(VLOOKUP(H78,'BASE '!$I$112:$J$142,2,0))))))))))))))))</f>
        <v>0</v>
      </c>
      <c r="P78" s="52" t="b">
        <f t="shared" si="32"/>
        <v>0</v>
      </c>
      <c r="Q78" s="53" t="b">
        <f t="shared" si="33"/>
        <v>0</v>
      </c>
      <c r="R78" s="152" t="s">
        <v>175</v>
      </c>
      <c r="S78" s="184">
        <f t="shared" si="35"/>
        <v>0</v>
      </c>
      <c r="T78" s="124"/>
      <c r="U78" s="41" t="s">
        <v>175</v>
      </c>
      <c r="V78" s="70" t="e">
        <f>VLOOKUP(U78,'BASE '!$A$4:$H$144,2,0)</f>
        <v>#N/A</v>
      </c>
      <c r="W78" s="159"/>
      <c r="X78" s="159"/>
      <c r="Y78" s="160"/>
      <c r="Z78" s="158" t="e">
        <f>VLOOKUP(U78,'BASE '!$A$4:$H$144,3,0)</f>
        <v>#N/A</v>
      </c>
      <c r="AA78" s="94" t="e">
        <f t="shared" si="34"/>
        <v>#N/A</v>
      </c>
      <c r="AB78" s="95" t="e">
        <f>VLOOKUP(U78,'BASE '!$A$4:$H$144,6,0)*Y78/100</f>
        <v>#N/A</v>
      </c>
      <c r="AC78" s="95" t="e">
        <f>VLOOKUP(U78,'BASE '!$A$4:$H$144,7,0)*Y78/100</f>
        <v>#N/A</v>
      </c>
      <c r="AD78" s="95" t="e">
        <f>VLOOKUP(U78,'BASE '!$A$4:$H$144,8,0)*Y78/100</f>
        <v>#N/A</v>
      </c>
      <c r="AE78" s="96" t="e">
        <f t="shared" si="36"/>
        <v>#N/A</v>
      </c>
      <c r="DN78" s="116" t="e">
        <f>(($I$5*#REF!)/100)+((#REF!*$J$5)/100)+(($K$5*#REF!)/100)+($L$5*#REF!)+($M$5*#REF!)</f>
        <v>#REF!</v>
      </c>
    </row>
    <row r="79" spans="2:118" x14ac:dyDescent="0.3">
      <c r="B79" s="64"/>
      <c r="C79" s="148"/>
      <c r="D79" s="109"/>
      <c r="E79" s="63"/>
      <c r="F79" s="127"/>
      <c r="G79" s="50"/>
      <c r="H79" s="10"/>
      <c r="I79" s="10"/>
      <c r="J79" s="10"/>
      <c r="K79" s="10"/>
      <c r="L79" s="10"/>
      <c r="M79" s="39"/>
      <c r="N79" s="33">
        <f t="shared" si="31"/>
        <v>0</v>
      </c>
      <c r="O79" s="52" t="b">
        <f>IF(AND(E79="CLIENT S+L",F79="HUILE"),(S79*3333.33+(VLOOKUP(H79,'BASE '!$I$112:$J$142,2,0)))-((S79*3333.33)*G79),IF(AND(E79="CLIENT S+L",F79="LAIT"),((S79*952.4)-(S79*952.4)*G79),IF(E79="CLIENT O","OFFERT",IF(AND(F79="HUILE",E79="CLIENT L"),(((VLOOKUP(H79,'BASE '!$I$112:$J$142,2,0))+(VLOOKUP(S79,'BASE '!#REF!,2,0)))),IF(AND(F79="LAIT",E79="CLIENT L"),(S79*952.4),IF(AND(F79="HUILE",E79="CLIENT D"),(S79*3809.53+(VLOOKUP(H79,'BASE '!$I$112:$J$142,2,0))),IF(AND(F79="LAIT",E79="CLIENT D"),(S79*952.4),IF(AND(F79="HUILE",E79="CLIENT S+D"),((S79*3809.53+(VLOOKUP(H79,'BASE '!$I$112:$J$142,2,0)))-((S79*3809.53)*G79)),IF(AND(F79="LAIT",E79="CLIENT S+D"),((S79*952.4)-((S79*952.4)*G79)),IF(AND(E79="CLIENT S",F79="LAIT"),((S79*952.4)-((S79*952.4)*G79)),IF(AND(F79="HUILE",E79="CLIENT S"),(VLOOKUP(H79,'BASE '!$I$112:$J$142,2,0)+(VLOOKUP(S79,'BASE '!#REF!,2,0)))-(G79*((VLOOKUP(S79,'BASE '!#REF!,2,0)+(VLOOKUP(H79,'BASE '!$I$112:$J$142,2,0))))))))))))))))</f>
        <v>0</v>
      </c>
      <c r="P79" s="52" t="b">
        <f t="shared" si="32"/>
        <v>0</v>
      </c>
      <c r="Q79" s="53" t="b">
        <f t="shared" si="33"/>
        <v>0</v>
      </c>
      <c r="R79" s="152" t="s">
        <v>175</v>
      </c>
      <c r="S79" s="184">
        <f t="shared" si="35"/>
        <v>0</v>
      </c>
      <c r="T79" s="124"/>
      <c r="U79" s="41" t="s">
        <v>175</v>
      </c>
      <c r="V79" s="70" t="e">
        <f>VLOOKUP(U79,'BASE '!$A$4:$H$144,2,0)</f>
        <v>#N/A</v>
      </c>
      <c r="W79" s="159"/>
      <c r="X79" s="159"/>
      <c r="Y79" s="160"/>
      <c r="Z79" s="158" t="e">
        <f>VLOOKUP(U79,'BASE '!$A$4:$H$144,3,0)</f>
        <v>#N/A</v>
      </c>
      <c r="AA79" s="94" t="e">
        <f t="shared" si="34"/>
        <v>#N/A</v>
      </c>
      <c r="AB79" s="95" t="e">
        <f>VLOOKUP(U79,'BASE '!$A$4:$H$144,6,0)*Y79/100</f>
        <v>#N/A</v>
      </c>
      <c r="AC79" s="95" t="e">
        <f>VLOOKUP(U79,'BASE '!$A$4:$H$144,7,0)*Y79/100</f>
        <v>#N/A</v>
      </c>
      <c r="AD79" s="95" t="e">
        <f>VLOOKUP(U79,'BASE '!$A$4:$H$144,8,0)*Y79/100</f>
        <v>#N/A</v>
      </c>
      <c r="AE79" s="96" t="e">
        <f t="shared" si="36"/>
        <v>#N/A</v>
      </c>
      <c r="DN79" s="116" t="e">
        <f>(($I$5*#REF!)/100)+((#REF!*$J$5)/100)+(($K$5*#REF!)/100)+($L$5*#REF!)+($M$5*#REF!)</f>
        <v>#REF!</v>
      </c>
    </row>
    <row r="80" spans="2:118" x14ac:dyDescent="0.3">
      <c r="B80" s="64"/>
      <c r="C80" s="148"/>
      <c r="D80" s="109"/>
      <c r="E80" s="63"/>
      <c r="F80" s="127"/>
      <c r="G80" s="50"/>
      <c r="H80" s="10"/>
      <c r="I80" s="10"/>
      <c r="J80" s="10"/>
      <c r="K80" s="10"/>
      <c r="L80" s="10"/>
      <c r="M80" s="39"/>
      <c r="N80" s="33">
        <f t="shared" si="31"/>
        <v>0</v>
      </c>
      <c r="O80" s="52" t="b">
        <f>IF(AND(E80="CLIENT S+L",F80="HUILE"),(S80*3333.33+(VLOOKUP(H80,'BASE '!$I$112:$J$142,2,0)))-((S80*3333.33)*G80),IF(AND(E80="CLIENT S+L",F80="LAIT"),((S80*952.4)-(S80*952.4)*G80),IF(E80="CLIENT O","OFFERT",IF(AND(F80="HUILE",E80="CLIENT L"),(((VLOOKUP(H80,'BASE '!$I$112:$J$142,2,0))+(VLOOKUP(S80,'BASE '!#REF!,2,0)))),IF(AND(F80="LAIT",E80="CLIENT L"),(S80*952.4),IF(AND(F80="HUILE",E80="CLIENT D"),(S80*3809.53+(VLOOKUP(H80,'BASE '!$I$112:$J$142,2,0))),IF(AND(F80="LAIT",E80="CLIENT D"),(S80*952.4),IF(AND(F80="HUILE",E80="CLIENT S+D"),((S80*3809.53+(VLOOKUP(H80,'BASE '!$I$112:$J$142,2,0)))-((S80*3809.53)*G80)),IF(AND(F80="LAIT",E80="CLIENT S+D"),((S80*952.4)-((S80*952.4)*G80)),IF(AND(E80="CLIENT S",F80="LAIT"),((S80*952.4)-((S80*952.4)*G80)),IF(AND(F80="HUILE",E80="CLIENT S"),(VLOOKUP(H80,'BASE '!$I$112:$J$142,2,0)+(VLOOKUP(S80,'BASE '!#REF!,2,0)))-(G80*((VLOOKUP(S80,'BASE '!#REF!,2,0)+(VLOOKUP(H80,'BASE '!$I$112:$J$142,2,0))))))))))))))))</f>
        <v>0</v>
      </c>
      <c r="P80" s="52" t="b">
        <f t="shared" si="32"/>
        <v>0</v>
      </c>
      <c r="Q80" s="53" t="b">
        <f t="shared" si="33"/>
        <v>0</v>
      </c>
      <c r="R80" s="152" t="s">
        <v>175</v>
      </c>
      <c r="S80" s="184">
        <f t="shared" si="35"/>
        <v>0</v>
      </c>
      <c r="T80" s="124"/>
      <c r="U80" s="41" t="s">
        <v>175</v>
      </c>
      <c r="V80" s="70" t="e">
        <f>VLOOKUP(U80,'BASE '!$A$4:$H$144,2,0)</f>
        <v>#N/A</v>
      </c>
      <c r="W80" s="159"/>
      <c r="X80" s="159"/>
      <c r="Y80" s="160"/>
      <c r="Z80" s="158" t="e">
        <f>VLOOKUP(U80,'BASE '!$A$4:$H$144,3,0)</f>
        <v>#N/A</v>
      </c>
      <c r="AA80" s="94" t="e">
        <f t="shared" si="34"/>
        <v>#N/A</v>
      </c>
      <c r="AB80" s="95" t="e">
        <f>VLOOKUP(U80,'BASE '!$A$4:$H$144,6,0)*Y80/100</f>
        <v>#N/A</v>
      </c>
      <c r="AC80" s="95" t="e">
        <f>VLOOKUP(U80,'BASE '!$A$4:$H$144,7,0)*Y80/100</f>
        <v>#N/A</v>
      </c>
      <c r="AD80" s="95" t="e">
        <f>VLOOKUP(U80,'BASE '!$A$4:$H$144,8,0)*Y80/100</f>
        <v>#N/A</v>
      </c>
      <c r="AE80" s="96" t="e">
        <f t="shared" si="36"/>
        <v>#N/A</v>
      </c>
      <c r="DN80" s="116" t="e">
        <f>(($I$5*#REF!)/100)+((#REF!*$J$5)/100)+(($K$5*#REF!)/100)+($L$5*#REF!)+($M$5*#REF!)</f>
        <v>#REF!</v>
      </c>
    </row>
    <row r="81" spans="2:118" x14ac:dyDescent="0.3">
      <c r="B81" s="64"/>
      <c r="C81" s="148"/>
      <c r="D81" s="109"/>
      <c r="E81" s="63"/>
      <c r="F81" s="127"/>
      <c r="G81" s="50"/>
      <c r="H81" s="10"/>
      <c r="I81" s="10"/>
      <c r="J81" s="10"/>
      <c r="K81" s="10"/>
      <c r="L81" s="10"/>
      <c r="M81" s="39"/>
      <c r="N81" s="33">
        <f t="shared" si="31"/>
        <v>0</v>
      </c>
      <c r="O81" s="52" t="b">
        <f>IF(AND(E81="CLIENT S+L",F81="HUILE"),(S81*3333.33+(VLOOKUP(H81,'BASE '!$I$112:$J$142,2,0)))-((S81*3333.33)*G81),IF(AND(E81="CLIENT S+L",F81="LAIT"),((S81*952.4)-(S81*952.4)*G81),IF(E81="CLIENT O","OFFERT",IF(AND(F81="HUILE",E81="CLIENT L"),(((VLOOKUP(H81,'BASE '!$I$112:$J$142,2,0))+(VLOOKUP(S81,'BASE '!#REF!,2,0)))),IF(AND(F81="LAIT",E81="CLIENT L"),(S81*952.4),IF(AND(F81="HUILE",E81="CLIENT D"),(S81*3809.53+(VLOOKUP(H81,'BASE '!$I$112:$J$142,2,0))),IF(AND(F81="LAIT",E81="CLIENT D"),(S81*952.4),IF(AND(F81="HUILE",E81="CLIENT S+D"),((S81*3809.53+(VLOOKUP(H81,'BASE '!$I$112:$J$142,2,0)))-((S81*3809.53)*G81)),IF(AND(F81="LAIT",E81="CLIENT S+D"),((S81*952.4)-((S81*952.4)*G81)),IF(AND(E81="CLIENT S",F81="LAIT"),((S81*952.4)-((S81*952.4)*G81)),IF(AND(F81="HUILE",E81="CLIENT S"),(VLOOKUP(H81,'BASE '!$I$112:$J$142,2,0)+(VLOOKUP(S81,'BASE '!#REF!,2,0)))-(G81*((VLOOKUP(S81,'BASE '!#REF!,2,0)+(VLOOKUP(H81,'BASE '!$I$112:$J$142,2,0))))))))))))))))</f>
        <v>0</v>
      </c>
      <c r="P81" s="52" t="b">
        <f t="shared" si="32"/>
        <v>0</v>
      </c>
      <c r="Q81" s="53" t="b">
        <f t="shared" si="33"/>
        <v>0</v>
      </c>
      <c r="R81" s="152" t="s">
        <v>175</v>
      </c>
      <c r="S81" s="184">
        <f t="shared" si="35"/>
        <v>0</v>
      </c>
      <c r="T81" s="124"/>
      <c r="U81" s="41" t="s">
        <v>175</v>
      </c>
      <c r="V81" s="70" t="e">
        <f>VLOOKUP(U81,'BASE '!$A$4:$H$144,2,0)</f>
        <v>#N/A</v>
      </c>
      <c r="W81" s="159"/>
      <c r="X81" s="159"/>
      <c r="Y81" s="160"/>
      <c r="Z81" s="158" t="e">
        <f>VLOOKUP(U81,'BASE '!$A$4:$H$144,3,0)</f>
        <v>#N/A</v>
      </c>
      <c r="AA81" s="94" t="e">
        <f t="shared" si="34"/>
        <v>#N/A</v>
      </c>
      <c r="AB81" s="95" t="e">
        <f>VLOOKUP(U81,'BASE '!$A$4:$H$144,6,0)*Y81/100</f>
        <v>#N/A</v>
      </c>
      <c r="AC81" s="95" t="e">
        <f>VLOOKUP(U81,'BASE '!$A$4:$H$144,7,0)*Y81/100</f>
        <v>#N/A</v>
      </c>
      <c r="AD81" s="95" t="e">
        <f>VLOOKUP(U81,'BASE '!$A$4:$H$144,8,0)*Y81/100</f>
        <v>#N/A</v>
      </c>
      <c r="AE81" s="96" t="e">
        <f t="shared" si="36"/>
        <v>#N/A</v>
      </c>
      <c r="DN81" s="116" t="e">
        <f>(($I$5*#REF!)/100)+((#REF!*$J$5)/100)+(($K$5*#REF!)/100)+($L$5*#REF!)+($M$5*#REF!)</f>
        <v>#REF!</v>
      </c>
    </row>
    <row r="82" spans="2:118" x14ac:dyDescent="0.3">
      <c r="B82" s="64"/>
      <c r="C82" s="148"/>
      <c r="D82" s="109"/>
      <c r="E82" s="63"/>
      <c r="F82" s="127"/>
      <c r="G82" s="50"/>
      <c r="H82" s="10"/>
      <c r="I82" s="10"/>
      <c r="J82" s="10"/>
      <c r="K82" s="10"/>
      <c r="L82" s="10"/>
      <c r="M82" s="39"/>
      <c r="N82" s="33">
        <f t="shared" si="31"/>
        <v>0</v>
      </c>
      <c r="O82" s="52" t="b">
        <f>IF(AND(E82="CLIENT S+L",F82="HUILE"),(S82*3333.33+(VLOOKUP(H82,'BASE '!$I$112:$J$142,2,0)))-((S82*3333.33)*G82),IF(AND(E82="CLIENT S+L",F82="LAIT"),((S82*952.4)-(S82*952.4)*G82),IF(E82="CLIENT O","OFFERT",IF(AND(F82="HUILE",E82="CLIENT L"),(((VLOOKUP(H82,'BASE '!$I$112:$J$142,2,0))+(VLOOKUP(S82,'BASE '!#REF!,2,0)))),IF(AND(F82="LAIT",E82="CLIENT L"),(S82*952.4),IF(AND(F82="HUILE",E82="CLIENT D"),(S82*3809.53+(VLOOKUP(H82,'BASE '!$I$112:$J$142,2,0))),IF(AND(F82="LAIT",E82="CLIENT D"),(S82*952.4),IF(AND(F82="HUILE",E82="CLIENT S+D"),((S82*3809.53+(VLOOKUP(H82,'BASE '!$I$112:$J$142,2,0)))-((S82*3809.53)*G82)),IF(AND(F82="LAIT",E82="CLIENT S+D"),((S82*952.4)-((S82*952.4)*G82)),IF(AND(E82="CLIENT S",F82="LAIT"),((S82*952.4)-((S82*952.4)*G82)),IF(AND(F82="HUILE",E82="CLIENT S"),(VLOOKUP(H82,'BASE '!$I$112:$J$142,2,0)+(VLOOKUP(S82,'BASE '!#REF!,2,0)))-(G82*((VLOOKUP(S82,'BASE '!#REF!,2,0)+(VLOOKUP(H82,'BASE '!$I$112:$J$142,2,0))))))))))))))))</f>
        <v>0</v>
      </c>
      <c r="P82" s="52" t="b">
        <f t="shared" si="32"/>
        <v>0</v>
      </c>
      <c r="Q82" s="53" t="b">
        <f t="shared" si="33"/>
        <v>0</v>
      </c>
      <c r="R82" s="152" t="s">
        <v>175</v>
      </c>
      <c r="S82" s="184">
        <f t="shared" si="35"/>
        <v>0</v>
      </c>
      <c r="T82" s="124"/>
      <c r="U82" s="41" t="s">
        <v>175</v>
      </c>
      <c r="V82" s="70" t="e">
        <f>VLOOKUP(U82,'BASE '!$A$4:$H$144,2,0)</f>
        <v>#N/A</v>
      </c>
      <c r="W82" s="159"/>
      <c r="X82" s="159"/>
      <c r="Y82" s="160"/>
      <c r="Z82" s="158" t="e">
        <f>VLOOKUP(U82,'BASE '!$A$4:$H$144,3,0)</f>
        <v>#N/A</v>
      </c>
      <c r="AA82" s="94" t="e">
        <f t="shared" si="34"/>
        <v>#N/A</v>
      </c>
      <c r="AB82" s="95" t="e">
        <f>VLOOKUP(U82,'BASE '!$A$4:$H$144,6,0)*Y82/100</f>
        <v>#N/A</v>
      </c>
      <c r="AC82" s="95" t="e">
        <f>VLOOKUP(U82,'BASE '!$A$4:$H$144,7,0)*Y82/100</f>
        <v>#N/A</v>
      </c>
      <c r="AD82" s="95" t="e">
        <f>VLOOKUP(U82,'BASE '!$A$4:$H$144,8,0)*Y82/100</f>
        <v>#N/A</v>
      </c>
      <c r="AE82" s="96" t="e">
        <f t="shared" si="36"/>
        <v>#N/A</v>
      </c>
      <c r="DN82" s="116" t="e">
        <f>(($I$5*#REF!)/100)+((#REF!*$J$5)/100)+(($K$5*#REF!)/100)+($L$5*#REF!)+($M$5*#REF!)</f>
        <v>#REF!</v>
      </c>
    </row>
    <row r="83" spans="2:118" x14ac:dyDescent="0.3">
      <c r="B83" s="64"/>
      <c r="C83" s="148"/>
      <c r="D83" s="109"/>
      <c r="E83" s="63"/>
      <c r="F83" s="127"/>
      <c r="G83" s="50"/>
      <c r="H83" s="10"/>
      <c r="I83" s="10"/>
      <c r="J83" s="10"/>
      <c r="K83" s="10"/>
      <c r="L83" s="10"/>
      <c r="M83" s="39"/>
      <c r="N83" s="33">
        <f t="shared" si="31"/>
        <v>0</v>
      </c>
      <c r="O83" s="52" t="b">
        <f>IF(AND(E83="CLIENT S+L",F83="HUILE"),(S83*3333.33+(VLOOKUP(H83,'BASE '!$I$112:$J$142,2,0)))-((S83*3333.33)*G83),IF(AND(E83="CLIENT S+L",F83="LAIT"),((S83*952.4)-(S83*952.4)*G83),IF(E83="CLIENT O","OFFERT",IF(AND(F83="HUILE",E83="CLIENT L"),(((VLOOKUP(H83,'BASE '!$I$112:$J$142,2,0))+(VLOOKUP(S83,'BASE '!#REF!,2,0)))),IF(AND(F83="LAIT",E83="CLIENT L"),(S83*952.4),IF(AND(F83="HUILE",E83="CLIENT D"),(S83*3809.53+(VLOOKUP(H83,'BASE '!$I$112:$J$142,2,0))),IF(AND(F83="LAIT",E83="CLIENT D"),(S83*952.4),IF(AND(F83="HUILE",E83="CLIENT S+D"),((S83*3809.53+(VLOOKUP(H83,'BASE '!$I$112:$J$142,2,0)))-((S83*3809.53)*G83)),IF(AND(F83="LAIT",E83="CLIENT S+D"),((S83*952.4)-((S83*952.4)*G83)),IF(AND(E83="CLIENT S",F83="LAIT"),((S83*952.4)-((S83*952.4)*G83)),IF(AND(F83="HUILE",E83="CLIENT S"),(VLOOKUP(H83,'BASE '!$I$112:$J$142,2,0)+(VLOOKUP(S83,'BASE '!#REF!,2,0)))-(G83*((VLOOKUP(S83,'BASE '!#REF!,2,0)+(VLOOKUP(H83,'BASE '!$I$112:$J$142,2,0))))))))))))))))</f>
        <v>0</v>
      </c>
      <c r="P83" s="52" t="b">
        <f t="shared" si="32"/>
        <v>0</v>
      </c>
      <c r="Q83" s="53" t="b">
        <f t="shared" si="33"/>
        <v>0</v>
      </c>
      <c r="R83" s="152" t="s">
        <v>175</v>
      </c>
      <c r="S83" s="184">
        <f t="shared" si="35"/>
        <v>0</v>
      </c>
      <c r="T83" s="124"/>
      <c r="U83" s="41" t="s">
        <v>175</v>
      </c>
      <c r="V83" s="70" t="e">
        <f>VLOOKUP(U83,'BASE '!$A$4:$H$144,2,0)</f>
        <v>#N/A</v>
      </c>
      <c r="W83" s="159"/>
      <c r="X83" s="159"/>
      <c r="Y83" s="160"/>
      <c r="Z83" s="158" t="e">
        <f>VLOOKUP(U83,'BASE '!$A$4:$H$144,3,0)</f>
        <v>#N/A</v>
      </c>
      <c r="AA83" s="94" t="e">
        <f t="shared" si="34"/>
        <v>#N/A</v>
      </c>
      <c r="AB83" s="95" t="e">
        <f>VLOOKUP(U83,'BASE '!$A$4:$H$144,6,0)*Y83/100</f>
        <v>#N/A</v>
      </c>
      <c r="AC83" s="95" t="e">
        <f>VLOOKUP(U83,'BASE '!$A$4:$H$144,7,0)*Y83/100</f>
        <v>#N/A</v>
      </c>
      <c r="AD83" s="95" t="e">
        <f>VLOOKUP(U83,'BASE '!$A$4:$H$144,8,0)*Y83/100</f>
        <v>#N/A</v>
      </c>
      <c r="AE83" s="96" t="e">
        <f t="shared" si="36"/>
        <v>#N/A</v>
      </c>
      <c r="DN83" s="116" t="e">
        <f>(($I$5*#REF!)/100)+((#REF!*$J$5)/100)+(($K$5*#REF!)/100)+($L$5*#REF!)+($M$5*#REF!)</f>
        <v>#REF!</v>
      </c>
    </row>
    <row r="84" spans="2:118" x14ac:dyDescent="0.3">
      <c r="B84" s="64"/>
      <c r="C84" s="148"/>
      <c r="D84" s="109"/>
      <c r="E84" s="63"/>
      <c r="F84" s="127"/>
      <c r="G84" s="50"/>
      <c r="H84" s="10"/>
      <c r="I84" s="10"/>
      <c r="J84" s="10"/>
      <c r="K84" s="10"/>
      <c r="L84" s="10"/>
      <c r="M84" s="39"/>
      <c r="N84" s="33">
        <f t="shared" si="31"/>
        <v>0</v>
      </c>
      <c r="O84" s="52" t="b">
        <f>IF(AND(E84="CLIENT S+L",F84="HUILE"),(S84*3333.33+(VLOOKUP(H84,'BASE '!$I$112:$J$142,2,0)))-((S84*3333.33)*G84),IF(AND(E84="CLIENT S+L",F84="LAIT"),((S84*952.4)-(S84*952.4)*G84),IF(E84="CLIENT O","OFFERT",IF(AND(F84="HUILE",E84="CLIENT L"),(((VLOOKUP(H84,'BASE '!$I$112:$J$142,2,0))+(VLOOKUP(S84,'BASE '!#REF!,2,0)))),IF(AND(F84="LAIT",E84="CLIENT L"),(S84*952.4),IF(AND(F84="HUILE",E84="CLIENT D"),(S84*3809.53+(VLOOKUP(H84,'BASE '!$I$112:$J$142,2,0))),IF(AND(F84="LAIT",E84="CLIENT D"),(S84*952.4),IF(AND(F84="HUILE",E84="CLIENT S+D"),((S84*3809.53+(VLOOKUP(H84,'BASE '!$I$112:$J$142,2,0)))-((S84*3809.53)*G84)),IF(AND(F84="LAIT",E84="CLIENT S+D"),((S84*952.4)-((S84*952.4)*G84)),IF(AND(E84="CLIENT S",F84="LAIT"),((S84*952.4)-((S84*952.4)*G84)),IF(AND(F84="HUILE",E84="CLIENT S"),(VLOOKUP(H84,'BASE '!$I$112:$J$142,2,0)+(VLOOKUP(S84,'BASE '!#REF!,2,0)))-(G84*((VLOOKUP(S84,'BASE '!#REF!,2,0)+(VLOOKUP(H84,'BASE '!$I$112:$J$142,2,0))))))))))))))))</f>
        <v>0</v>
      </c>
      <c r="P84" s="52" t="b">
        <f t="shared" si="32"/>
        <v>0</v>
      </c>
      <c r="Q84" s="53" t="b">
        <f t="shared" si="33"/>
        <v>0</v>
      </c>
      <c r="R84" s="152" t="s">
        <v>175</v>
      </c>
      <c r="S84" s="184">
        <f t="shared" si="35"/>
        <v>0</v>
      </c>
      <c r="T84" s="124"/>
      <c r="U84" s="41" t="s">
        <v>175</v>
      </c>
      <c r="V84" s="70" t="e">
        <f>VLOOKUP(U84,'BASE '!$A$4:$H$144,2,0)</f>
        <v>#N/A</v>
      </c>
      <c r="W84" s="159"/>
      <c r="X84" s="159"/>
      <c r="Y84" s="160"/>
      <c r="Z84" s="158" t="e">
        <f>VLOOKUP(U84,'BASE '!$A$4:$H$144,3,0)</f>
        <v>#N/A</v>
      </c>
      <c r="AA84" s="94" t="e">
        <f t="shared" si="34"/>
        <v>#N/A</v>
      </c>
      <c r="AB84" s="95" t="e">
        <f>VLOOKUP(U84,'BASE '!$A$4:$H$144,6,0)*Y84/100</f>
        <v>#N/A</v>
      </c>
      <c r="AC84" s="95" t="e">
        <f>VLOOKUP(U84,'BASE '!$A$4:$H$144,7,0)*Y84/100</f>
        <v>#N/A</v>
      </c>
      <c r="AD84" s="95" t="e">
        <f>VLOOKUP(U84,'BASE '!$A$4:$H$144,8,0)*Y84/100</f>
        <v>#N/A</v>
      </c>
      <c r="AE84" s="96" t="e">
        <f t="shared" si="36"/>
        <v>#N/A</v>
      </c>
      <c r="DN84" s="116" t="e">
        <f>(($I$5*#REF!)/100)+((#REF!*$J$5)/100)+(($K$5*#REF!)/100)+($L$5*#REF!)+($M$5*#REF!)</f>
        <v>#REF!</v>
      </c>
    </row>
    <row r="85" spans="2:118" x14ac:dyDescent="0.3">
      <c r="B85" s="64"/>
      <c r="C85" s="148"/>
      <c r="D85" s="109"/>
      <c r="E85" s="63"/>
      <c r="F85" s="127"/>
      <c r="G85" s="50"/>
      <c r="H85" s="10"/>
      <c r="I85" s="10"/>
      <c r="J85" s="10"/>
      <c r="K85" s="10"/>
      <c r="L85" s="10"/>
      <c r="M85" s="39"/>
      <c r="N85" s="33">
        <f t="shared" si="31"/>
        <v>0</v>
      </c>
      <c r="O85" s="52" t="b">
        <f>IF(AND(E85="CLIENT S+L",F85="HUILE"),(S85*3333.33+(VLOOKUP(H85,'BASE '!$I$112:$J$142,2,0)))-((S85*3333.33)*G85),IF(AND(E85="CLIENT S+L",F85="LAIT"),((S85*952.4)-(S85*952.4)*G85),IF(E85="CLIENT O","OFFERT",IF(AND(F85="HUILE",E85="CLIENT L"),(((VLOOKUP(H85,'BASE '!$I$112:$J$142,2,0))+(VLOOKUP(S85,'BASE '!#REF!,2,0)))),IF(AND(F85="LAIT",E85="CLIENT L"),(S85*952.4),IF(AND(F85="HUILE",E85="CLIENT D"),(S85*3809.53+(VLOOKUP(H85,'BASE '!$I$112:$J$142,2,0))),IF(AND(F85="LAIT",E85="CLIENT D"),(S85*952.4),IF(AND(F85="HUILE",E85="CLIENT S+D"),((S85*3809.53+(VLOOKUP(H85,'BASE '!$I$112:$J$142,2,0)))-((S85*3809.53)*G85)),IF(AND(F85="LAIT",E85="CLIENT S+D"),((S85*952.4)-((S85*952.4)*G85)),IF(AND(E85="CLIENT S",F85="LAIT"),((S85*952.4)-((S85*952.4)*G85)),IF(AND(F85="HUILE",E85="CLIENT S"),(VLOOKUP(H85,'BASE '!$I$112:$J$142,2,0)+(VLOOKUP(S85,'BASE '!#REF!,2,0)))-(G85*((VLOOKUP(S85,'BASE '!#REF!,2,0)+(VLOOKUP(H85,'BASE '!$I$112:$J$142,2,0))))))))))))))))</f>
        <v>0</v>
      </c>
      <c r="P85" s="52" t="b">
        <f t="shared" si="32"/>
        <v>0</v>
      </c>
      <c r="Q85" s="53" t="b">
        <f t="shared" si="33"/>
        <v>0</v>
      </c>
      <c r="R85" s="152" t="s">
        <v>175</v>
      </c>
      <c r="S85" s="184">
        <f t="shared" si="35"/>
        <v>0</v>
      </c>
      <c r="T85" s="124"/>
      <c r="U85" s="41" t="s">
        <v>175</v>
      </c>
      <c r="V85" s="70" t="e">
        <f>VLOOKUP(U85,'BASE '!$A$4:$H$144,2,0)</f>
        <v>#N/A</v>
      </c>
      <c r="W85" s="159"/>
      <c r="X85" s="159"/>
      <c r="Y85" s="160"/>
      <c r="Z85" s="158" t="e">
        <f>VLOOKUP(U85,'BASE '!$A$4:$H$144,3,0)</f>
        <v>#N/A</v>
      </c>
      <c r="AA85" s="94" t="e">
        <f t="shared" si="34"/>
        <v>#N/A</v>
      </c>
      <c r="AB85" s="95" t="e">
        <f>VLOOKUP(U85,'BASE '!$A$4:$H$144,6,0)*Y85/100</f>
        <v>#N/A</v>
      </c>
      <c r="AC85" s="95" t="e">
        <f>VLOOKUP(U85,'BASE '!$A$4:$H$144,7,0)*Y85/100</f>
        <v>#N/A</v>
      </c>
      <c r="AD85" s="95" t="e">
        <f>VLOOKUP(U85,'BASE '!$A$4:$H$144,8,0)*Y85/100</f>
        <v>#N/A</v>
      </c>
      <c r="AE85" s="96" t="e">
        <f t="shared" si="36"/>
        <v>#N/A</v>
      </c>
      <c r="DN85" s="116" t="e">
        <f>(($I$5*#REF!)/100)+((#REF!*$J$5)/100)+(($K$5*#REF!)/100)+($L$5*#REF!)+($M$5*#REF!)</f>
        <v>#REF!</v>
      </c>
    </row>
    <row r="86" spans="2:118" x14ac:dyDescent="0.3">
      <c r="B86" s="64"/>
      <c r="C86" s="148"/>
      <c r="D86" s="109"/>
      <c r="E86" s="63"/>
      <c r="F86" s="127"/>
      <c r="G86" s="50"/>
      <c r="H86" s="10"/>
      <c r="I86" s="10"/>
      <c r="J86" s="10"/>
      <c r="K86" s="10"/>
      <c r="L86" s="10"/>
      <c r="M86" s="39"/>
      <c r="N86" s="33">
        <f t="shared" si="31"/>
        <v>0</v>
      </c>
      <c r="O86" s="52" t="b">
        <f>IF(AND(E86="CLIENT S+L",F86="HUILE"),(S86*3333.33+(VLOOKUP(H86,'BASE '!$I$112:$J$142,2,0)))-((S86*3333.33)*G86),IF(AND(E86="CLIENT S+L",F86="LAIT"),((S86*952.4)-(S86*952.4)*G86),IF(E86="CLIENT O","OFFERT",IF(AND(F86="HUILE",E86="CLIENT L"),(((VLOOKUP(H86,'BASE '!$I$112:$J$142,2,0))+(VLOOKUP(S86,'BASE '!#REF!,2,0)))),IF(AND(F86="LAIT",E86="CLIENT L"),(S86*952.4),IF(AND(F86="HUILE",E86="CLIENT D"),(S86*3809.53+(VLOOKUP(H86,'BASE '!$I$112:$J$142,2,0))),IF(AND(F86="LAIT",E86="CLIENT D"),(S86*952.4),IF(AND(F86="HUILE",E86="CLIENT S+D"),((S86*3809.53+(VLOOKUP(H86,'BASE '!$I$112:$J$142,2,0)))-((S86*3809.53)*G86)),IF(AND(F86="LAIT",E86="CLIENT S+D"),((S86*952.4)-((S86*952.4)*G86)),IF(AND(E86="CLIENT S",F86="LAIT"),((S86*952.4)-((S86*952.4)*G86)),IF(AND(F86="HUILE",E86="CLIENT S"),(VLOOKUP(H86,'BASE '!$I$112:$J$142,2,0)+(VLOOKUP(S86,'BASE '!#REF!,2,0)))-(G86*((VLOOKUP(S86,'BASE '!#REF!,2,0)+(VLOOKUP(H86,'BASE '!$I$112:$J$142,2,0))))))))))))))))</f>
        <v>0</v>
      </c>
      <c r="P86" s="52" t="b">
        <f t="shared" si="32"/>
        <v>0</v>
      </c>
      <c r="Q86" s="53" t="b">
        <f t="shared" si="33"/>
        <v>0</v>
      </c>
      <c r="R86" s="152" t="s">
        <v>175</v>
      </c>
      <c r="S86" s="184">
        <f t="shared" si="35"/>
        <v>0</v>
      </c>
      <c r="T86" s="124"/>
      <c r="U86" s="41" t="s">
        <v>175</v>
      </c>
      <c r="V86" s="70" t="e">
        <f>VLOOKUP(U86,'BASE '!$A$4:$H$144,2,0)</f>
        <v>#N/A</v>
      </c>
      <c r="W86" s="159"/>
      <c r="X86" s="159"/>
      <c r="Y86" s="160"/>
      <c r="Z86" s="158" t="e">
        <f>VLOOKUP(U86,'BASE '!$A$4:$H$144,3,0)</f>
        <v>#N/A</v>
      </c>
      <c r="AA86" s="94" t="e">
        <f t="shared" si="34"/>
        <v>#N/A</v>
      </c>
      <c r="AB86" s="95" t="e">
        <f>VLOOKUP(U86,'BASE '!$A$4:$H$144,6,0)*Y86/100</f>
        <v>#N/A</v>
      </c>
      <c r="AC86" s="95" t="e">
        <f>VLOOKUP(U86,'BASE '!$A$4:$H$144,7,0)*Y86/100</f>
        <v>#N/A</v>
      </c>
      <c r="AD86" s="95" t="e">
        <f>VLOOKUP(U86,'BASE '!$A$4:$H$144,8,0)*Y86/100</f>
        <v>#N/A</v>
      </c>
      <c r="AE86" s="96" t="e">
        <f t="shared" si="36"/>
        <v>#N/A</v>
      </c>
      <c r="DN86" s="116" t="e">
        <f>(($I$5*#REF!)/100)+((#REF!*$J$5)/100)+(($K$5*#REF!)/100)+($L$5*#REF!)+($M$5*#REF!)</f>
        <v>#REF!</v>
      </c>
    </row>
    <row r="87" spans="2:118" x14ac:dyDescent="0.3">
      <c r="B87" s="64"/>
      <c r="C87" s="148"/>
      <c r="D87" s="109"/>
      <c r="E87" s="63"/>
      <c r="F87" s="127"/>
      <c r="G87" s="50"/>
      <c r="H87" s="10"/>
      <c r="I87" s="10"/>
      <c r="J87" s="10"/>
      <c r="K87" s="10"/>
      <c r="L87" s="10"/>
      <c r="M87" s="39"/>
      <c r="N87" s="33">
        <f t="shared" si="31"/>
        <v>0</v>
      </c>
      <c r="O87" s="52" t="b">
        <f>IF(AND(E87="CLIENT S+L",F87="HUILE"),(S87*3333.33+(VLOOKUP(H87,'BASE '!$I$112:$J$142,2,0)))-((S87*3333.33)*G87),IF(AND(E87="CLIENT S+L",F87="LAIT"),((S87*952.4)-(S87*952.4)*G87),IF(E87="CLIENT O","OFFERT",IF(AND(F87="HUILE",E87="CLIENT L"),(((VLOOKUP(H87,'BASE '!$I$112:$J$142,2,0))+(VLOOKUP(S87,'BASE '!#REF!,2,0)))),IF(AND(F87="LAIT",E87="CLIENT L"),(S87*952.4),IF(AND(F87="HUILE",E87="CLIENT D"),(S87*3809.53+(VLOOKUP(H87,'BASE '!$I$112:$J$142,2,0))),IF(AND(F87="LAIT",E87="CLIENT D"),(S87*952.4),IF(AND(F87="HUILE",E87="CLIENT S+D"),((S87*3809.53+(VLOOKUP(H87,'BASE '!$I$112:$J$142,2,0)))-((S87*3809.53)*G87)),IF(AND(F87="LAIT",E87="CLIENT S+D"),((S87*952.4)-((S87*952.4)*G87)),IF(AND(E87="CLIENT S",F87="LAIT"),((S87*952.4)-((S87*952.4)*G87)),IF(AND(F87="HUILE",E87="CLIENT S"),(VLOOKUP(H87,'BASE '!$I$112:$J$142,2,0)+(VLOOKUP(S87,'BASE '!#REF!,2,0)))-(G87*((VLOOKUP(S87,'BASE '!#REF!,2,0)+(VLOOKUP(H87,'BASE '!$I$112:$J$142,2,0))))))))))))))))</f>
        <v>0</v>
      </c>
      <c r="P87" s="52" t="b">
        <f t="shared" si="32"/>
        <v>0</v>
      </c>
      <c r="Q87" s="53" t="b">
        <f t="shared" si="33"/>
        <v>0</v>
      </c>
      <c r="R87" s="152" t="s">
        <v>175</v>
      </c>
      <c r="S87" s="184">
        <f t="shared" si="35"/>
        <v>0</v>
      </c>
      <c r="T87" s="124"/>
      <c r="U87" s="41" t="s">
        <v>175</v>
      </c>
      <c r="V87" s="70" t="e">
        <f>VLOOKUP(U87,'BASE '!$A$4:$H$144,2,0)</f>
        <v>#N/A</v>
      </c>
      <c r="W87" s="159"/>
      <c r="X87" s="159"/>
      <c r="Y87" s="160"/>
      <c r="Z87" s="158" t="e">
        <f>VLOOKUP(U87,'BASE '!$A$4:$H$144,3,0)</f>
        <v>#N/A</v>
      </c>
      <c r="AA87" s="94" t="e">
        <f t="shared" si="34"/>
        <v>#N/A</v>
      </c>
      <c r="AB87" s="95" t="e">
        <f>VLOOKUP(U87,'BASE '!$A$4:$H$144,6,0)*Y87/100</f>
        <v>#N/A</v>
      </c>
      <c r="AC87" s="95" t="e">
        <f>VLOOKUP(U87,'BASE '!$A$4:$H$144,7,0)*Y87/100</f>
        <v>#N/A</v>
      </c>
      <c r="AD87" s="95" t="e">
        <f>VLOOKUP(U87,'BASE '!$A$4:$H$144,8,0)*Y87/100</f>
        <v>#N/A</v>
      </c>
      <c r="AE87" s="96" t="e">
        <f t="shared" si="36"/>
        <v>#N/A</v>
      </c>
      <c r="DN87" s="116" t="e">
        <f>(($I$5*#REF!)/100)+((#REF!*$J$5)/100)+(($K$5*#REF!)/100)+($L$5*#REF!)+($M$5*#REF!)</f>
        <v>#REF!</v>
      </c>
    </row>
    <row r="88" spans="2:118" x14ac:dyDescent="0.3">
      <c r="B88" s="64"/>
      <c r="C88" s="148"/>
      <c r="D88" s="109"/>
      <c r="E88" s="63"/>
      <c r="F88" s="127"/>
      <c r="G88" s="50"/>
      <c r="H88" s="10"/>
      <c r="I88" s="10"/>
      <c r="J88" s="10"/>
      <c r="K88" s="10"/>
      <c r="L88" s="10"/>
      <c r="M88" s="39"/>
      <c r="N88" s="33">
        <f t="shared" si="31"/>
        <v>0</v>
      </c>
      <c r="O88" s="52" t="b">
        <f>IF(AND(E88="CLIENT S+L",F88="HUILE"),(S88*3333.33+(VLOOKUP(H88,'BASE '!$I$112:$J$142,2,0)))-((S88*3333.33)*G88),IF(AND(E88="CLIENT S+L",F88="LAIT"),((S88*952.4)-(S88*952.4)*G88),IF(E88="CLIENT O","OFFERT",IF(AND(F88="HUILE",E88="CLIENT L"),(((VLOOKUP(H88,'BASE '!$I$112:$J$142,2,0))+(VLOOKUP(S88,'BASE '!#REF!,2,0)))),IF(AND(F88="LAIT",E88="CLIENT L"),(S88*952.4),IF(AND(F88="HUILE",E88="CLIENT D"),(S88*3809.53+(VLOOKUP(H88,'BASE '!$I$112:$J$142,2,0))),IF(AND(F88="LAIT",E88="CLIENT D"),(S88*952.4),IF(AND(F88="HUILE",E88="CLIENT S+D"),((S88*3809.53+(VLOOKUP(H88,'BASE '!$I$112:$J$142,2,0)))-((S88*3809.53)*G88)),IF(AND(F88="LAIT",E88="CLIENT S+D"),((S88*952.4)-((S88*952.4)*G88)),IF(AND(E88="CLIENT S",F88="LAIT"),((S88*952.4)-((S88*952.4)*G88)),IF(AND(F88="HUILE",E88="CLIENT S"),(VLOOKUP(H88,'BASE '!$I$112:$J$142,2,0)+(VLOOKUP(S88,'BASE '!#REF!,2,0)))-(G88*((VLOOKUP(S88,'BASE '!#REF!,2,0)+(VLOOKUP(H88,'BASE '!$I$112:$J$142,2,0))))))))))))))))</f>
        <v>0</v>
      </c>
      <c r="P88" s="52" t="b">
        <f t="shared" si="32"/>
        <v>0</v>
      </c>
      <c r="Q88" s="53" t="b">
        <f t="shared" si="33"/>
        <v>0</v>
      </c>
      <c r="R88" s="152" t="s">
        <v>175</v>
      </c>
      <c r="S88" s="184">
        <f t="shared" si="35"/>
        <v>0</v>
      </c>
      <c r="T88" s="124"/>
      <c r="U88" s="41" t="s">
        <v>175</v>
      </c>
      <c r="V88" s="70" t="e">
        <f>VLOOKUP(U88,'BASE '!$A$4:$H$144,2,0)</f>
        <v>#N/A</v>
      </c>
      <c r="W88" s="159"/>
      <c r="X88" s="159"/>
      <c r="Y88" s="160"/>
      <c r="Z88" s="158" t="e">
        <f>VLOOKUP(U88,'BASE '!$A$4:$H$144,3,0)</f>
        <v>#N/A</v>
      </c>
      <c r="AA88" s="94" t="e">
        <f t="shared" si="34"/>
        <v>#N/A</v>
      </c>
      <c r="AB88" s="95" t="e">
        <f>VLOOKUP(U88,'BASE '!$A$4:$H$144,6,0)*Y88/100</f>
        <v>#N/A</v>
      </c>
      <c r="AC88" s="95" t="e">
        <f>VLOOKUP(U88,'BASE '!$A$4:$H$144,7,0)*Y88/100</f>
        <v>#N/A</v>
      </c>
      <c r="AD88" s="95" t="e">
        <f>VLOOKUP(U88,'BASE '!$A$4:$H$144,8,0)*Y88/100</f>
        <v>#N/A</v>
      </c>
      <c r="AE88" s="96" t="e">
        <f t="shared" si="36"/>
        <v>#N/A</v>
      </c>
      <c r="DN88" s="116" t="e">
        <f>(($I$5*#REF!)/100)+((#REF!*$J$5)/100)+(($K$5*#REF!)/100)+($L$5*#REF!)+($M$5*#REF!)</f>
        <v>#REF!</v>
      </c>
    </row>
    <row r="89" spans="2:118" x14ac:dyDescent="0.3">
      <c r="B89" s="64"/>
      <c r="C89" s="148"/>
      <c r="D89" s="109"/>
      <c r="E89" s="63"/>
      <c r="F89" s="127"/>
      <c r="G89" s="50"/>
      <c r="H89" s="10"/>
      <c r="I89" s="10"/>
      <c r="J89" s="10"/>
      <c r="K89" s="10"/>
      <c r="L89" s="10"/>
      <c r="M89" s="39"/>
      <c r="N89" s="33">
        <f t="shared" si="31"/>
        <v>0</v>
      </c>
      <c r="O89" s="52" t="b">
        <f>IF(AND(E89="CLIENT S+L",F89="HUILE"),(S89*3333.33+(VLOOKUP(H89,'BASE '!$I$112:$J$142,2,0)))-((S89*3333.33)*G89),IF(AND(E89="CLIENT S+L",F89="LAIT"),((S89*952.4)-(S89*952.4)*G89),IF(E89="CLIENT O","OFFERT",IF(AND(F89="HUILE",E89="CLIENT L"),(((VLOOKUP(H89,'BASE '!$I$112:$J$142,2,0))+(VLOOKUP(S89,'BASE '!#REF!,2,0)))),IF(AND(F89="LAIT",E89="CLIENT L"),(S89*952.4),IF(AND(F89="HUILE",E89="CLIENT D"),(S89*3809.53+(VLOOKUP(H89,'BASE '!$I$112:$J$142,2,0))),IF(AND(F89="LAIT",E89="CLIENT D"),(S89*952.4),IF(AND(F89="HUILE",E89="CLIENT S+D"),((S89*3809.53+(VLOOKUP(H89,'BASE '!$I$112:$J$142,2,0)))-((S89*3809.53)*G89)),IF(AND(F89="LAIT",E89="CLIENT S+D"),((S89*952.4)-((S89*952.4)*G89)),IF(AND(E89="CLIENT S",F89="LAIT"),((S89*952.4)-((S89*952.4)*G89)),IF(AND(F89="HUILE",E89="CLIENT S"),(VLOOKUP(H89,'BASE '!$I$112:$J$142,2,0)+(VLOOKUP(S89,'BASE '!#REF!,2,0)))-(G89*((VLOOKUP(S89,'BASE '!#REF!,2,0)+(VLOOKUP(H89,'BASE '!$I$112:$J$142,2,0))))))))))))))))</f>
        <v>0</v>
      </c>
      <c r="P89" s="52" t="b">
        <f t="shared" si="32"/>
        <v>0</v>
      </c>
      <c r="Q89" s="53" t="b">
        <f t="shared" si="33"/>
        <v>0</v>
      </c>
      <c r="R89" s="152" t="s">
        <v>175</v>
      </c>
      <c r="S89" s="184">
        <f t="shared" si="35"/>
        <v>0</v>
      </c>
      <c r="T89" s="124"/>
      <c r="U89" s="41" t="s">
        <v>175</v>
      </c>
      <c r="V89" s="70" t="e">
        <f>VLOOKUP(U89,'BASE '!$A$4:$H$144,2,0)</f>
        <v>#N/A</v>
      </c>
      <c r="W89" s="159"/>
      <c r="X89" s="159"/>
      <c r="Y89" s="160"/>
      <c r="Z89" s="158" t="e">
        <f>VLOOKUP(U89,'BASE '!$A$4:$H$144,3,0)</f>
        <v>#N/A</v>
      </c>
      <c r="AA89" s="94" t="e">
        <f t="shared" si="34"/>
        <v>#N/A</v>
      </c>
      <c r="AB89" s="95" t="e">
        <f>VLOOKUP(U89,'BASE '!$A$4:$H$144,6,0)*Y89/100</f>
        <v>#N/A</v>
      </c>
      <c r="AC89" s="95" t="e">
        <f>VLOOKUP(U89,'BASE '!$A$4:$H$144,7,0)*Y89/100</f>
        <v>#N/A</v>
      </c>
      <c r="AD89" s="95" t="e">
        <f>VLOOKUP(U89,'BASE '!$A$4:$H$144,8,0)*Y89/100</f>
        <v>#N/A</v>
      </c>
      <c r="AE89" s="96" t="e">
        <f t="shared" si="36"/>
        <v>#N/A</v>
      </c>
      <c r="DN89" s="116" t="e">
        <f>(($I$5*#REF!)/100)+((#REF!*$J$5)/100)+(($K$5*#REF!)/100)+($L$5*#REF!)+($M$5*#REF!)</f>
        <v>#REF!</v>
      </c>
    </row>
    <row r="90" spans="2:118" x14ac:dyDescent="0.3">
      <c r="B90" s="64"/>
      <c r="C90" s="148"/>
      <c r="D90" s="109"/>
      <c r="E90" s="63"/>
      <c r="F90" s="127"/>
      <c r="G90" s="50"/>
      <c r="H90" s="10"/>
      <c r="I90" s="10"/>
      <c r="J90" s="10"/>
      <c r="K90" s="10"/>
      <c r="L90" s="10"/>
      <c r="M90" s="39"/>
      <c r="N90" s="33">
        <f t="shared" si="31"/>
        <v>0</v>
      </c>
      <c r="O90" s="52" t="b">
        <f>IF(AND(E90="CLIENT S+L",F90="HUILE"),(S90*3333.33+(VLOOKUP(H90,'BASE '!$I$112:$J$142,2,0)))-((S90*3333.33)*G90),IF(AND(E90="CLIENT S+L",F90="LAIT"),((S90*952.4)-(S90*952.4)*G90),IF(E90="CLIENT O","OFFERT",IF(AND(F90="HUILE",E90="CLIENT L"),(((VLOOKUP(H90,'BASE '!$I$112:$J$142,2,0))+(VLOOKUP(S90,'BASE '!#REF!,2,0)))),IF(AND(F90="LAIT",E90="CLIENT L"),(S90*952.4),IF(AND(F90="HUILE",E90="CLIENT D"),(S90*3809.53+(VLOOKUP(H90,'BASE '!$I$112:$J$142,2,0))),IF(AND(F90="LAIT",E90="CLIENT D"),(S90*952.4),IF(AND(F90="HUILE",E90="CLIENT S+D"),((S90*3809.53+(VLOOKUP(H90,'BASE '!$I$112:$J$142,2,0)))-((S90*3809.53)*G90)),IF(AND(F90="LAIT",E90="CLIENT S+D"),((S90*952.4)-((S90*952.4)*G90)),IF(AND(E90="CLIENT S",F90="LAIT"),((S90*952.4)-((S90*952.4)*G90)),IF(AND(F90="HUILE",E90="CLIENT S"),(VLOOKUP(H90,'BASE '!$I$112:$J$142,2,0)+(VLOOKUP(S90,'BASE '!#REF!,2,0)))-(G90*((VLOOKUP(S90,'BASE '!#REF!,2,0)+(VLOOKUP(H90,'BASE '!$I$112:$J$142,2,0))))))))))))))))</f>
        <v>0</v>
      </c>
      <c r="P90" s="52" t="b">
        <f t="shared" si="32"/>
        <v>0</v>
      </c>
      <c r="Q90" s="53" t="b">
        <f t="shared" si="33"/>
        <v>0</v>
      </c>
      <c r="R90" s="152" t="s">
        <v>175</v>
      </c>
      <c r="S90" s="184">
        <f t="shared" si="35"/>
        <v>0</v>
      </c>
      <c r="T90" s="124"/>
      <c r="U90" s="41" t="s">
        <v>175</v>
      </c>
      <c r="V90" s="70" t="e">
        <f>VLOOKUP(U90,'BASE '!$A$4:$H$144,2,0)</f>
        <v>#N/A</v>
      </c>
      <c r="W90" s="159"/>
      <c r="X90" s="159"/>
      <c r="Y90" s="160"/>
      <c r="Z90" s="158" t="e">
        <f>VLOOKUP(U90,'BASE '!$A$4:$H$144,3,0)</f>
        <v>#N/A</v>
      </c>
      <c r="AA90" s="94" t="e">
        <f t="shared" si="34"/>
        <v>#N/A</v>
      </c>
      <c r="AB90" s="95" t="e">
        <f>VLOOKUP(U90,'BASE '!$A$4:$H$144,6,0)*Y90/100</f>
        <v>#N/A</v>
      </c>
      <c r="AC90" s="95" t="e">
        <f>VLOOKUP(U90,'BASE '!$A$4:$H$144,7,0)*Y90/100</f>
        <v>#N/A</v>
      </c>
      <c r="AD90" s="95" t="e">
        <f>VLOOKUP(U90,'BASE '!$A$4:$H$144,8,0)*Y90/100</f>
        <v>#N/A</v>
      </c>
      <c r="AE90" s="96" t="e">
        <f t="shared" si="36"/>
        <v>#N/A</v>
      </c>
      <c r="DN90" s="116" t="e">
        <f>(($I$5*#REF!)/100)+((#REF!*$J$5)/100)+(($K$5*#REF!)/100)+($L$5*#REF!)+($M$5*#REF!)</f>
        <v>#REF!</v>
      </c>
    </row>
    <row r="91" spans="2:118" x14ac:dyDescent="0.3">
      <c r="B91" s="64"/>
      <c r="C91" s="148"/>
      <c r="D91" s="109"/>
      <c r="E91" s="63"/>
      <c r="F91" s="127"/>
      <c r="G91" s="50"/>
      <c r="H91" s="10"/>
      <c r="I91" s="10"/>
      <c r="J91" s="10"/>
      <c r="K91" s="10"/>
      <c r="L91" s="10"/>
      <c r="M91" s="39"/>
      <c r="N91" s="33">
        <f t="shared" si="31"/>
        <v>0</v>
      </c>
      <c r="O91" s="52" t="b">
        <f>IF(AND(E91="CLIENT S+L",F91="HUILE"),(S91*3333.33+(VLOOKUP(H91,'BASE '!$I$112:$J$142,2,0)))-((S91*3333.33)*G91),IF(AND(E91="CLIENT S+L",F91="LAIT"),((S91*952.4)-(S91*952.4)*G91),IF(E91="CLIENT O","OFFERT",IF(AND(F91="HUILE",E91="CLIENT L"),(((VLOOKUP(H91,'BASE '!$I$112:$J$142,2,0))+(VLOOKUP(S91,'BASE '!#REF!,2,0)))),IF(AND(F91="LAIT",E91="CLIENT L"),(S91*952.4),IF(AND(F91="HUILE",E91="CLIENT D"),(S91*3809.53+(VLOOKUP(H91,'BASE '!$I$112:$J$142,2,0))),IF(AND(F91="LAIT",E91="CLIENT D"),(S91*952.4),IF(AND(F91="HUILE",E91="CLIENT S+D"),((S91*3809.53+(VLOOKUP(H91,'BASE '!$I$112:$J$142,2,0)))-((S91*3809.53)*G91)),IF(AND(F91="LAIT",E91="CLIENT S+D"),((S91*952.4)-((S91*952.4)*G91)),IF(AND(E91="CLIENT S",F91="LAIT"),((S91*952.4)-((S91*952.4)*G91)),IF(AND(F91="HUILE",E91="CLIENT S"),(VLOOKUP(H91,'BASE '!$I$112:$J$142,2,0)+(VLOOKUP(S91,'BASE '!#REF!,2,0)))-(G91*((VLOOKUP(S91,'BASE '!#REF!,2,0)+(VLOOKUP(H91,'BASE '!$I$112:$J$142,2,0))))))))))))))))</f>
        <v>0</v>
      </c>
      <c r="P91" s="52" t="b">
        <f t="shared" si="32"/>
        <v>0</v>
      </c>
      <c r="Q91" s="53" t="b">
        <f t="shared" si="33"/>
        <v>0</v>
      </c>
      <c r="R91" s="152" t="s">
        <v>175</v>
      </c>
      <c r="S91" s="184">
        <f t="shared" si="35"/>
        <v>0</v>
      </c>
      <c r="T91" s="124"/>
      <c r="U91" s="41" t="s">
        <v>175</v>
      </c>
      <c r="V91" s="70" t="e">
        <f>VLOOKUP(U91,'BASE '!$A$4:$H$144,2,0)</f>
        <v>#N/A</v>
      </c>
      <c r="W91" s="159"/>
      <c r="X91" s="159"/>
      <c r="Y91" s="160"/>
      <c r="Z91" s="158" t="e">
        <f>VLOOKUP(U91,'BASE '!$A$4:$H$144,3,0)</f>
        <v>#N/A</v>
      </c>
      <c r="AA91" s="94" t="e">
        <f t="shared" si="34"/>
        <v>#N/A</v>
      </c>
      <c r="AB91" s="95" t="e">
        <f>VLOOKUP(U91,'BASE '!$A$4:$H$144,6,0)*Y91/100</f>
        <v>#N/A</v>
      </c>
      <c r="AC91" s="95" t="e">
        <f>VLOOKUP(U91,'BASE '!$A$4:$H$144,7,0)*Y91/100</f>
        <v>#N/A</v>
      </c>
      <c r="AD91" s="95" t="e">
        <f>VLOOKUP(U91,'BASE '!$A$4:$H$144,8,0)*Y91/100</f>
        <v>#N/A</v>
      </c>
      <c r="AE91" s="96" t="e">
        <f t="shared" si="36"/>
        <v>#N/A</v>
      </c>
      <c r="DN91" s="116" t="e">
        <f>(($I$5*#REF!)/100)+((#REF!*$J$5)/100)+(($K$5*#REF!)/100)+($L$5*#REF!)+($M$5*#REF!)</f>
        <v>#REF!</v>
      </c>
    </row>
    <row r="92" spans="2:118" x14ac:dyDescent="0.3">
      <c r="B92" s="64"/>
      <c r="C92" s="148"/>
      <c r="D92" s="109"/>
      <c r="E92" s="63"/>
      <c r="F92" s="127"/>
      <c r="G92" s="50"/>
      <c r="H92" s="10"/>
      <c r="I92" s="10"/>
      <c r="J92" s="10"/>
      <c r="K92" s="10"/>
      <c r="L92" s="10"/>
      <c r="M92" s="39"/>
      <c r="N92" s="33">
        <f t="shared" si="31"/>
        <v>0</v>
      </c>
      <c r="O92" s="52" t="b">
        <f>IF(AND(E92="CLIENT S+L",F92="HUILE"),(S92*3333.33+(VLOOKUP(H92,'BASE '!$I$112:$J$142,2,0)))-((S92*3333.33)*G92),IF(AND(E92="CLIENT S+L",F92="LAIT"),((S92*952.4)-(S92*952.4)*G92),IF(E92="CLIENT O","OFFERT",IF(AND(F92="HUILE",E92="CLIENT L"),(((VLOOKUP(H92,'BASE '!$I$112:$J$142,2,0))+(VLOOKUP(S92,'BASE '!#REF!,2,0)))),IF(AND(F92="LAIT",E92="CLIENT L"),(S92*952.4),IF(AND(F92="HUILE",E92="CLIENT D"),(S92*3809.53+(VLOOKUP(H92,'BASE '!$I$112:$J$142,2,0))),IF(AND(F92="LAIT",E92="CLIENT D"),(S92*952.4),IF(AND(F92="HUILE",E92="CLIENT S+D"),((S92*3809.53+(VLOOKUP(H92,'BASE '!$I$112:$J$142,2,0)))-((S92*3809.53)*G92)),IF(AND(F92="LAIT",E92="CLIENT S+D"),((S92*952.4)-((S92*952.4)*G92)),IF(AND(E92="CLIENT S",F92="LAIT"),((S92*952.4)-((S92*952.4)*G92)),IF(AND(F92="HUILE",E92="CLIENT S"),(VLOOKUP(H92,'BASE '!$I$112:$J$142,2,0)+(VLOOKUP(S92,'BASE '!#REF!,2,0)))-(G92*((VLOOKUP(S92,'BASE '!#REF!,2,0)+(VLOOKUP(H92,'BASE '!$I$112:$J$142,2,0))))))))))))))))</f>
        <v>0</v>
      </c>
      <c r="P92" s="52" t="b">
        <f t="shared" si="32"/>
        <v>0</v>
      </c>
      <c r="Q92" s="53" t="b">
        <f t="shared" si="33"/>
        <v>0</v>
      </c>
      <c r="R92" s="152" t="s">
        <v>175</v>
      </c>
      <c r="S92" s="184">
        <f t="shared" si="35"/>
        <v>0</v>
      </c>
      <c r="T92" s="124"/>
      <c r="U92" s="41" t="s">
        <v>175</v>
      </c>
      <c r="V92" s="70" t="e">
        <f>VLOOKUP(U92,'BASE '!$A$4:$H$144,2,0)</f>
        <v>#N/A</v>
      </c>
      <c r="W92" s="159"/>
      <c r="X92" s="159"/>
      <c r="Y92" s="160"/>
      <c r="Z92" s="158" t="e">
        <f>VLOOKUP(U92,'BASE '!$A$4:$H$144,3,0)</f>
        <v>#N/A</v>
      </c>
      <c r="AA92" s="94" t="e">
        <f t="shared" si="34"/>
        <v>#N/A</v>
      </c>
      <c r="AB92" s="95" t="e">
        <f>VLOOKUP(U92,'BASE '!$A$4:$H$144,6,0)*Y92/100</f>
        <v>#N/A</v>
      </c>
      <c r="AC92" s="95" t="e">
        <f>VLOOKUP(U92,'BASE '!$A$4:$H$144,7,0)*Y92/100</f>
        <v>#N/A</v>
      </c>
      <c r="AD92" s="95" t="e">
        <f>VLOOKUP(U92,'BASE '!$A$4:$H$144,8,0)*Y92/100</f>
        <v>#N/A</v>
      </c>
      <c r="AE92" s="96" t="e">
        <f t="shared" si="36"/>
        <v>#N/A</v>
      </c>
      <c r="DN92" s="116" t="e">
        <f>(($I$5*#REF!)/100)+((#REF!*$J$5)/100)+(($K$5*#REF!)/100)+($L$5*#REF!)+($M$5*#REF!)</f>
        <v>#REF!</v>
      </c>
    </row>
    <row r="93" spans="2:118" x14ac:dyDescent="0.3">
      <c r="B93" s="64"/>
      <c r="C93" s="148"/>
      <c r="D93" s="109"/>
      <c r="E93" s="63"/>
      <c r="F93" s="127"/>
      <c r="G93" s="50"/>
      <c r="H93" s="10"/>
      <c r="I93" s="10"/>
      <c r="J93" s="10"/>
      <c r="K93" s="10"/>
      <c r="L93" s="10"/>
      <c r="M93" s="39"/>
      <c r="N93" s="33">
        <f t="shared" si="31"/>
        <v>0</v>
      </c>
      <c r="O93" s="52" t="b">
        <f>IF(AND(E93="CLIENT S+L",F93="HUILE"),(S93*3333.33+(VLOOKUP(H93,'BASE '!$I$112:$J$142,2,0)))-((S93*3333.33)*G93),IF(AND(E93="CLIENT S+L",F93="LAIT"),((S93*952.4)-(S93*952.4)*G93),IF(E93="CLIENT O","OFFERT",IF(AND(F93="HUILE",E93="CLIENT L"),(((VLOOKUP(H93,'BASE '!$I$112:$J$142,2,0))+(VLOOKUP(S93,'BASE '!#REF!,2,0)))),IF(AND(F93="LAIT",E93="CLIENT L"),(S93*952.4),IF(AND(F93="HUILE",E93="CLIENT D"),(S93*3809.53+(VLOOKUP(H93,'BASE '!$I$112:$J$142,2,0))),IF(AND(F93="LAIT",E93="CLIENT D"),(S93*952.4),IF(AND(F93="HUILE",E93="CLIENT S+D"),((S93*3809.53+(VLOOKUP(H93,'BASE '!$I$112:$J$142,2,0)))-((S93*3809.53)*G93)),IF(AND(F93="LAIT",E93="CLIENT S+D"),((S93*952.4)-((S93*952.4)*G93)),IF(AND(E93="CLIENT S",F93="LAIT"),((S93*952.4)-((S93*952.4)*G93)),IF(AND(F93="HUILE",E93="CLIENT S"),(VLOOKUP(H93,'BASE '!$I$112:$J$142,2,0)+(VLOOKUP(S93,'BASE '!#REF!,2,0)))-(G93*((VLOOKUP(S93,'BASE '!#REF!,2,0)+(VLOOKUP(H93,'BASE '!$I$112:$J$142,2,0))))))))))))))))</f>
        <v>0</v>
      </c>
      <c r="P93" s="52" t="b">
        <f t="shared" si="32"/>
        <v>0</v>
      </c>
      <c r="Q93" s="53" t="b">
        <f t="shared" si="33"/>
        <v>0</v>
      </c>
      <c r="R93" s="152" t="s">
        <v>175</v>
      </c>
      <c r="S93" s="184">
        <f t="shared" si="35"/>
        <v>0</v>
      </c>
      <c r="T93" s="124"/>
      <c r="U93" s="41" t="s">
        <v>175</v>
      </c>
      <c r="V93" s="70" t="e">
        <f>VLOOKUP(U93,'BASE '!$A$4:$H$144,2,0)</f>
        <v>#N/A</v>
      </c>
      <c r="W93" s="159"/>
      <c r="X93" s="159"/>
      <c r="Y93" s="160"/>
      <c r="Z93" s="158" t="e">
        <f>VLOOKUP(U93,'BASE '!$A$4:$H$144,3,0)</f>
        <v>#N/A</v>
      </c>
      <c r="AA93" s="94" t="e">
        <f t="shared" si="34"/>
        <v>#N/A</v>
      </c>
      <c r="AB93" s="95" t="e">
        <f>VLOOKUP(U93,'BASE '!$A$4:$H$144,6,0)*Y93/100</f>
        <v>#N/A</v>
      </c>
      <c r="AC93" s="95" t="e">
        <f>VLOOKUP(U93,'BASE '!$A$4:$H$144,7,0)*Y93/100</f>
        <v>#N/A</v>
      </c>
      <c r="AD93" s="95" t="e">
        <f>VLOOKUP(U93,'BASE '!$A$4:$H$144,8,0)*Y93/100</f>
        <v>#N/A</v>
      </c>
      <c r="AE93" s="96" t="e">
        <f t="shared" si="36"/>
        <v>#N/A</v>
      </c>
      <c r="DN93" s="116" t="e">
        <f>(($I$5*#REF!)/100)+((#REF!*$J$5)/100)+(($K$5*#REF!)/100)+($L$5*#REF!)+($M$5*#REF!)</f>
        <v>#REF!</v>
      </c>
    </row>
    <row r="94" spans="2:118" x14ac:dyDescent="0.3">
      <c r="B94" s="64"/>
      <c r="C94" s="148"/>
      <c r="D94" s="109"/>
      <c r="E94" s="63"/>
      <c r="F94" s="127"/>
      <c r="G94" s="50"/>
      <c r="H94" s="10"/>
      <c r="I94" s="10"/>
      <c r="J94" s="10"/>
      <c r="K94" s="10"/>
      <c r="L94" s="10"/>
      <c r="M94" s="39"/>
      <c r="N94" s="33">
        <f t="shared" si="31"/>
        <v>0</v>
      </c>
      <c r="O94" s="52" t="b">
        <f>IF(AND(E94="CLIENT S+L",F94="HUILE"),(S94*3333.33+(VLOOKUP(H94,'BASE '!$I$112:$J$142,2,0)))-((S94*3333.33)*G94),IF(AND(E94="CLIENT S+L",F94="LAIT"),((S94*952.4)-(S94*952.4)*G94),IF(E94="CLIENT O","OFFERT",IF(AND(F94="HUILE",E94="CLIENT L"),(((VLOOKUP(H94,'BASE '!$I$112:$J$142,2,0))+(VLOOKUP(S94,'BASE '!#REF!,2,0)))),IF(AND(F94="LAIT",E94="CLIENT L"),(S94*952.4),IF(AND(F94="HUILE",E94="CLIENT D"),(S94*3809.53+(VLOOKUP(H94,'BASE '!$I$112:$J$142,2,0))),IF(AND(F94="LAIT",E94="CLIENT D"),(S94*952.4),IF(AND(F94="HUILE",E94="CLIENT S+D"),((S94*3809.53+(VLOOKUP(H94,'BASE '!$I$112:$J$142,2,0)))-((S94*3809.53)*G94)),IF(AND(F94="LAIT",E94="CLIENT S+D"),((S94*952.4)-((S94*952.4)*G94)),IF(AND(E94="CLIENT S",F94="LAIT"),((S94*952.4)-((S94*952.4)*G94)),IF(AND(F94="HUILE",E94="CLIENT S"),(VLOOKUP(H94,'BASE '!$I$112:$J$142,2,0)+(VLOOKUP(S94,'BASE '!#REF!,2,0)))-(G94*((VLOOKUP(S94,'BASE '!#REF!,2,0)+(VLOOKUP(H94,'BASE '!$I$112:$J$142,2,0))))))))))))))))</f>
        <v>0</v>
      </c>
      <c r="P94" s="52" t="b">
        <f t="shared" si="32"/>
        <v>0</v>
      </c>
      <c r="Q94" s="53" t="b">
        <f t="shared" si="33"/>
        <v>0</v>
      </c>
      <c r="R94" s="152" t="s">
        <v>175</v>
      </c>
      <c r="S94" s="184">
        <f t="shared" si="35"/>
        <v>0</v>
      </c>
      <c r="T94" s="124"/>
      <c r="U94" s="41" t="s">
        <v>175</v>
      </c>
      <c r="V94" s="70" t="e">
        <f>VLOOKUP(U94,'BASE '!$A$4:$H$144,2,0)</f>
        <v>#N/A</v>
      </c>
      <c r="W94" s="159"/>
      <c r="X94" s="159"/>
      <c r="Y94" s="160"/>
      <c r="Z94" s="158" t="e">
        <f>VLOOKUP(U94,'BASE '!$A$4:$H$144,3,0)</f>
        <v>#N/A</v>
      </c>
      <c r="AA94" s="94" t="e">
        <f t="shared" si="34"/>
        <v>#N/A</v>
      </c>
      <c r="AB94" s="95" t="e">
        <f>VLOOKUP(U94,'BASE '!$A$4:$H$144,6,0)*Y94/100</f>
        <v>#N/A</v>
      </c>
      <c r="AC94" s="95" t="e">
        <f>VLOOKUP(U94,'BASE '!$A$4:$H$144,7,0)*Y94/100</f>
        <v>#N/A</v>
      </c>
      <c r="AD94" s="95" t="e">
        <f>VLOOKUP(U94,'BASE '!$A$4:$H$144,8,0)*Y94/100</f>
        <v>#N/A</v>
      </c>
      <c r="AE94" s="96" t="e">
        <f t="shared" si="36"/>
        <v>#N/A</v>
      </c>
      <c r="DN94" s="116" t="e">
        <f>(($I$5*#REF!)/100)+((#REF!*$J$5)/100)+(($K$5*#REF!)/100)+($L$5*#REF!)+($M$5*#REF!)</f>
        <v>#REF!</v>
      </c>
    </row>
    <row r="95" spans="2:118" x14ac:dyDescent="0.3">
      <c r="B95" s="64"/>
      <c r="C95" s="148"/>
      <c r="D95" s="109"/>
      <c r="E95" s="63"/>
      <c r="F95" s="127"/>
      <c r="G95" s="50"/>
      <c r="H95" s="10"/>
      <c r="I95" s="10"/>
      <c r="J95" s="10"/>
      <c r="K95" s="10"/>
      <c r="L95" s="10"/>
      <c r="M95" s="39"/>
      <c r="N95" s="33">
        <f t="shared" si="31"/>
        <v>0</v>
      </c>
      <c r="O95" s="52" t="b">
        <f>IF(AND(E95="CLIENT S+L",F95="HUILE"),(S95*3333.33+(VLOOKUP(H95,'BASE '!$I$112:$J$142,2,0)))-((S95*3333.33)*G95),IF(AND(E95="CLIENT S+L",F95="LAIT"),((S95*952.4)-(S95*952.4)*G95),IF(E95="CLIENT O","OFFERT",IF(AND(F95="HUILE",E95="CLIENT L"),(((VLOOKUP(H95,'BASE '!$I$112:$J$142,2,0))+(VLOOKUP(S95,'BASE '!#REF!,2,0)))),IF(AND(F95="LAIT",E95="CLIENT L"),(S95*952.4),IF(AND(F95="HUILE",E95="CLIENT D"),(S95*3809.53+(VLOOKUP(H95,'BASE '!$I$112:$J$142,2,0))),IF(AND(F95="LAIT",E95="CLIENT D"),(S95*952.4),IF(AND(F95="HUILE",E95="CLIENT S+D"),((S95*3809.53+(VLOOKUP(H95,'BASE '!$I$112:$J$142,2,0)))-((S95*3809.53)*G95)),IF(AND(F95="LAIT",E95="CLIENT S+D"),((S95*952.4)-((S95*952.4)*G95)),IF(AND(E95="CLIENT S",F95="LAIT"),((S95*952.4)-((S95*952.4)*G95)),IF(AND(F95="HUILE",E95="CLIENT S"),(VLOOKUP(H95,'BASE '!$I$112:$J$142,2,0)+(VLOOKUP(S95,'BASE '!#REF!,2,0)))-(G95*((VLOOKUP(S95,'BASE '!#REF!,2,0)+(VLOOKUP(H95,'BASE '!$I$112:$J$142,2,0))))))))))))))))</f>
        <v>0</v>
      </c>
      <c r="P95" s="52" t="b">
        <f t="shared" si="32"/>
        <v>0</v>
      </c>
      <c r="Q95" s="53" t="b">
        <f t="shared" si="33"/>
        <v>0</v>
      </c>
      <c r="R95" s="152" t="s">
        <v>175</v>
      </c>
      <c r="S95" s="184">
        <f t="shared" si="35"/>
        <v>0</v>
      </c>
      <c r="T95" s="124"/>
      <c r="U95" s="41" t="s">
        <v>175</v>
      </c>
      <c r="V95" s="70" t="e">
        <f>VLOOKUP(U95,'BASE '!$A$4:$H$144,2,0)</f>
        <v>#N/A</v>
      </c>
      <c r="W95" s="159"/>
      <c r="X95" s="159"/>
      <c r="Y95" s="160"/>
      <c r="Z95" s="158" t="e">
        <f>VLOOKUP(U95,'BASE '!$A$4:$H$144,3,0)</f>
        <v>#N/A</v>
      </c>
      <c r="AA95" s="94" t="e">
        <f t="shared" si="34"/>
        <v>#N/A</v>
      </c>
      <c r="AB95" s="95" t="e">
        <f>VLOOKUP(U95,'BASE '!$A$4:$H$144,6,0)*Y95/100</f>
        <v>#N/A</v>
      </c>
      <c r="AC95" s="95" t="e">
        <f>VLOOKUP(U95,'BASE '!$A$4:$H$144,7,0)*Y95/100</f>
        <v>#N/A</v>
      </c>
      <c r="AD95" s="95" t="e">
        <f>VLOOKUP(U95,'BASE '!$A$4:$H$144,8,0)*Y95/100</f>
        <v>#N/A</v>
      </c>
      <c r="AE95" s="96" t="e">
        <f t="shared" si="36"/>
        <v>#N/A</v>
      </c>
      <c r="DN95" s="116" t="e">
        <f>(($I$5*#REF!)/100)+((#REF!*$J$5)/100)+(($K$5*#REF!)/100)+($L$5*#REF!)+($M$5*#REF!)</f>
        <v>#REF!</v>
      </c>
    </row>
    <row r="96" spans="2:118" x14ac:dyDescent="0.3">
      <c r="B96" s="64"/>
      <c r="C96" s="148"/>
      <c r="D96" s="109"/>
      <c r="E96" s="63"/>
      <c r="F96" s="127"/>
      <c r="G96" s="50"/>
      <c r="H96" s="10"/>
      <c r="I96" s="10"/>
      <c r="J96" s="10"/>
      <c r="K96" s="10"/>
      <c r="L96" s="10"/>
      <c r="M96" s="39"/>
      <c r="N96" s="33">
        <f t="shared" si="31"/>
        <v>0</v>
      </c>
      <c r="O96" s="52" t="b">
        <f>IF(AND(E96="CLIENT S+L",F96="HUILE"),(S96*3333.33+(VLOOKUP(H96,'BASE '!$I$112:$J$142,2,0)))-((S96*3333.33)*G96),IF(AND(E96="CLIENT S+L",F96="LAIT"),((S96*952.4)-(S96*952.4)*G96),IF(E96="CLIENT O","OFFERT",IF(AND(F96="HUILE",E96="CLIENT L"),(((VLOOKUP(H96,'BASE '!$I$112:$J$142,2,0))+(VLOOKUP(S96,'BASE '!#REF!,2,0)))),IF(AND(F96="LAIT",E96="CLIENT L"),(S96*952.4),IF(AND(F96="HUILE",E96="CLIENT D"),(S96*3809.53+(VLOOKUP(H96,'BASE '!$I$112:$J$142,2,0))),IF(AND(F96="LAIT",E96="CLIENT D"),(S96*952.4),IF(AND(F96="HUILE",E96="CLIENT S+D"),((S96*3809.53+(VLOOKUP(H96,'BASE '!$I$112:$J$142,2,0)))-((S96*3809.53)*G96)),IF(AND(F96="LAIT",E96="CLIENT S+D"),((S96*952.4)-((S96*952.4)*G96)),IF(AND(E96="CLIENT S",F96="LAIT"),((S96*952.4)-((S96*952.4)*G96)),IF(AND(F96="HUILE",E96="CLIENT S"),(VLOOKUP(H96,'BASE '!$I$112:$J$142,2,0)+(VLOOKUP(S96,'BASE '!#REF!,2,0)))-(G96*((VLOOKUP(S96,'BASE '!#REF!,2,0)+(VLOOKUP(H96,'BASE '!$I$112:$J$142,2,0))))))))))))))))</f>
        <v>0</v>
      </c>
      <c r="P96" s="52" t="b">
        <f t="shared" si="32"/>
        <v>0</v>
      </c>
      <c r="Q96" s="53" t="b">
        <f t="shared" si="33"/>
        <v>0</v>
      </c>
      <c r="R96" s="152" t="s">
        <v>175</v>
      </c>
      <c r="S96" s="184">
        <f t="shared" si="35"/>
        <v>0</v>
      </c>
      <c r="T96" s="124"/>
      <c r="U96" s="41" t="s">
        <v>175</v>
      </c>
      <c r="V96" s="70" t="e">
        <f>VLOOKUP(U96,'BASE '!$A$4:$H$144,2,0)</f>
        <v>#N/A</v>
      </c>
      <c r="W96" s="159"/>
      <c r="X96" s="159"/>
      <c r="Y96" s="160"/>
      <c r="Z96" s="158" t="e">
        <f>VLOOKUP(U96,'BASE '!$A$4:$H$144,3,0)</f>
        <v>#N/A</v>
      </c>
      <c r="AA96" s="94" t="e">
        <f t="shared" si="34"/>
        <v>#N/A</v>
      </c>
      <c r="AB96" s="95" t="e">
        <f>VLOOKUP(U96,'BASE '!$A$4:$H$144,6,0)*Y96/100</f>
        <v>#N/A</v>
      </c>
      <c r="AC96" s="95" t="e">
        <f>VLOOKUP(U96,'BASE '!$A$4:$H$144,7,0)*Y96/100</f>
        <v>#N/A</v>
      </c>
      <c r="AD96" s="95" t="e">
        <f>VLOOKUP(U96,'BASE '!$A$4:$H$144,8,0)*Y96/100</f>
        <v>#N/A</v>
      </c>
      <c r="AE96" s="96" t="e">
        <f t="shared" si="36"/>
        <v>#N/A</v>
      </c>
      <c r="DN96" s="116" t="e">
        <f>(($I$5*#REF!)/100)+((#REF!*$J$5)/100)+(($K$5*#REF!)/100)+($L$5*#REF!)+($M$5*#REF!)</f>
        <v>#REF!</v>
      </c>
    </row>
    <row r="97" spans="2:118" x14ac:dyDescent="0.3">
      <c r="B97" s="64"/>
      <c r="C97" s="148"/>
      <c r="D97" s="109"/>
      <c r="E97" s="63"/>
      <c r="F97" s="127"/>
      <c r="G97" s="50"/>
      <c r="H97" s="10"/>
      <c r="I97" s="10"/>
      <c r="J97" s="10"/>
      <c r="K97" s="10"/>
      <c r="L97" s="10"/>
      <c r="M97" s="39"/>
      <c r="N97" s="33">
        <f t="shared" si="31"/>
        <v>0</v>
      </c>
      <c r="O97" s="52" t="b">
        <f>IF(AND(E97="CLIENT S+L",F97="HUILE"),(S97*3333.33+(VLOOKUP(H97,'BASE '!$I$112:$J$142,2,0)))-((S97*3333.33)*G97),IF(AND(E97="CLIENT S+L",F97="LAIT"),((S97*952.4)-(S97*952.4)*G97),IF(E97="CLIENT O","OFFERT",IF(AND(F97="HUILE",E97="CLIENT L"),(((VLOOKUP(H97,'BASE '!$I$112:$J$142,2,0))+(VLOOKUP(S97,'BASE '!#REF!,2,0)))),IF(AND(F97="LAIT",E97="CLIENT L"),(S97*952.4),IF(AND(F97="HUILE",E97="CLIENT D"),(S97*3809.53+(VLOOKUP(H97,'BASE '!$I$112:$J$142,2,0))),IF(AND(F97="LAIT",E97="CLIENT D"),(S97*952.4),IF(AND(F97="HUILE",E97="CLIENT S+D"),((S97*3809.53+(VLOOKUP(H97,'BASE '!$I$112:$J$142,2,0)))-((S97*3809.53)*G97)),IF(AND(F97="LAIT",E97="CLIENT S+D"),((S97*952.4)-((S97*952.4)*G97)),IF(AND(E97="CLIENT S",F97="LAIT"),((S97*952.4)-((S97*952.4)*G97)),IF(AND(F97="HUILE",E97="CLIENT S"),(VLOOKUP(H97,'BASE '!$I$112:$J$142,2,0)+(VLOOKUP(S97,'BASE '!#REF!,2,0)))-(G97*((VLOOKUP(S97,'BASE '!#REF!,2,0)+(VLOOKUP(H97,'BASE '!$I$112:$J$142,2,0))))))))))))))))</f>
        <v>0</v>
      </c>
      <c r="P97" s="52" t="b">
        <f t="shared" si="32"/>
        <v>0</v>
      </c>
      <c r="Q97" s="53" t="b">
        <f t="shared" si="33"/>
        <v>0</v>
      </c>
      <c r="R97" s="152" t="s">
        <v>175</v>
      </c>
      <c r="S97" s="184">
        <f t="shared" si="35"/>
        <v>0</v>
      </c>
      <c r="T97" s="124"/>
      <c r="U97" s="41" t="s">
        <v>175</v>
      </c>
      <c r="V97" s="70" t="e">
        <f>VLOOKUP(U97,'BASE '!$A$4:$H$144,2,0)</f>
        <v>#N/A</v>
      </c>
      <c r="W97" s="159"/>
      <c r="X97" s="159"/>
      <c r="Y97" s="160"/>
      <c r="Z97" s="158" t="e">
        <f>VLOOKUP(U97,'BASE '!$A$4:$H$144,3,0)</f>
        <v>#N/A</v>
      </c>
      <c r="AA97" s="94" t="e">
        <f t="shared" si="34"/>
        <v>#N/A</v>
      </c>
      <c r="AB97" s="95" t="e">
        <f>VLOOKUP(U97,'BASE '!$A$4:$H$144,6,0)*Y97/100</f>
        <v>#N/A</v>
      </c>
      <c r="AC97" s="95" t="e">
        <f>VLOOKUP(U97,'BASE '!$A$4:$H$144,7,0)*Y97/100</f>
        <v>#N/A</v>
      </c>
      <c r="AD97" s="95" t="e">
        <f>VLOOKUP(U97,'BASE '!$A$4:$H$144,8,0)*Y97/100</f>
        <v>#N/A</v>
      </c>
      <c r="AE97" s="96" t="e">
        <f t="shared" si="36"/>
        <v>#N/A</v>
      </c>
      <c r="DN97" s="116" t="e">
        <f>(($I$5*#REF!)/100)+((#REF!*$J$5)/100)+(($K$5*#REF!)/100)+($L$5*#REF!)+($M$5*#REF!)</f>
        <v>#REF!</v>
      </c>
    </row>
    <row r="98" spans="2:118" x14ac:dyDescent="0.3">
      <c r="B98" s="64"/>
      <c r="C98" s="148"/>
      <c r="D98" s="109"/>
      <c r="E98" s="63"/>
      <c r="F98" s="127"/>
      <c r="G98" s="50"/>
      <c r="H98" s="10"/>
      <c r="I98" s="10"/>
      <c r="J98" s="10"/>
      <c r="K98" s="10"/>
      <c r="L98" s="10"/>
      <c r="M98" s="39"/>
      <c r="N98" s="33">
        <f t="shared" si="31"/>
        <v>0</v>
      </c>
      <c r="O98" s="52" t="b">
        <f>IF(AND(E98="CLIENT S+L",F98="HUILE"),(S98*3333.33+(VLOOKUP(H98,'BASE '!$I$112:$J$142,2,0)))-((S98*3333.33)*G98),IF(AND(E98="CLIENT S+L",F98="LAIT"),((S98*952.4)-(S98*952.4)*G98),IF(E98="CLIENT O","OFFERT",IF(AND(F98="HUILE",E98="CLIENT L"),(((VLOOKUP(H98,'BASE '!$I$112:$J$142,2,0))+(VLOOKUP(S98,'BASE '!#REF!,2,0)))),IF(AND(F98="LAIT",E98="CLIENT L"),(S98*952.4),IF(AND(F98="HUILE",E98="CLIENT D"),(S98*3809.53+(VLOOKUP(H98,'BASE '!$I$112:$J$142,2,0))),IF(AND(F98="LAIT",E98="CLIENT D"),(S98*952.4),IF(AND(F98="HUILE",E98="CLIENT S+D"),((S98*3809.53+(VLOOKUP(H98,'BASE '!$I$112:$J$142,2,0)))-((S98*3809.53)*G98)),IF(AND(F98="LAIT",E98="CLIENT S+D"),((S98*952.4)-((S98*952.4)*G98)),IF(AND(E98="CLIENT S",F98="LAIT"),((S98*952.4)-((S98*952.4)*G98)),IF(AND(F98="HUILE",E98="CLIENT S"),(VLOOKUP(H98,'BASE '!$I$112:$J$142,2,0)+(VLOOKUP(S98,'BASE '!#REF!,2,0)))-(G98*((VLOOKUP(S98,'BASE '!#REF!,2,0)+(VLOOKUP(H98,'BASE '!$I$112:$J$142,2,0))))))))))))))))</f>
        <v>0</v>
      </c>
      <c r="P98" s="52" t="b">
        <f t="shared" si="32"/>
        <v>0</v>
      </c>
      <c r="Q98" s="53" t="b">
        <f t="shared" si="33"/>
        <v>0</v>
      </c>
      <c r="R98" s="152" t="s">
        <v>175</v>
      </c>
      <c r="S98" s="184">
        <f t="shared" si="35"/>
        <v>0</v>
      </c>
      <c r="T98" s="124"/>
      <c r="U98" s="41" t="s">
        <v>175</v>
      </c>
      <c r="V98" s="70" t="e">
        <f>VLOOKUP(U98,'BASE '!$A$4:$H$144,2,0)</f>
        <v>#N/A</v>
      </c>
      <c r="W98" s="159"/>
      <c r="X98" s="159"/>
      <c r="Y98" s="160"/>
      <c r="Z98" s="158" t="e">
        <f>VLOOKUP(U98,'BASE '!$A$4:$H$144,3,0)</f>
        <v>#N/A</v>
      </c>
      <c r="AA98" s="94" t="e">
        <f t="shared" si="34"/>
        <v>#N/A</v>
      </c>
      <c r="AB98" s="95" t="e">
        <f>VLOOKUP(U98,'BASE '!$A$4:$H$144,6,0)*Y98/100</f>
        <v>#N/A</v>
      </c>
      <c r="AC98" s="95" t="e">
        <f>VLOOKUP(U98,'BASE '!$A$4:$H$144,7,0)*Y98/100</f>
        <v>#N/A</v>
      </c>
      <c r="AD98" s="95" t="e">
        <f>VLOOKUP(U98,'BASE '!$A$4:$H$144,8,0)*Y98/100</f>
        <v>#N/A</v>
      </c>
      <c r="AE98" s="96" t="e">
        <f t="shared" si="36"/>
        <v>#N/A</v>
      </c>
      <c r="DN98" s="116" t="e">
        <f>(($I$5*#REF!)/100)+((#REF!*$J$5)/100)+(($K$5*#REF!)/100)+($L$5*#REF!)+($M$5*#REF!)</f>
        <v>#REF!</v>
      </c>
    </row>
    <row r="99" spans="2:118" x14ac:dyDescent="0.3">
      <c r="B99" s="64"/>
      <c r="C99" s="148"/>
      <c r="D99" s="109"/>
      <c r="E99" s="63"/>
      <c r="F99" s="127"/>
      <c r="G99" s="50"/>
      <c r="H99" s="10"/>
      <c r="I99" s="10"/>
      <c r="J99" s="10"/>
      <c r="K99" s="10"/>
      <c r="L99" s="10"/>
      <c r="M99" s="39"/>
      <c r="N99" s="33">
        <f t="shared" si="31"/>
        <v>0</v>
      </c>
      <c r="O99" s="52" t="b">
        <f>IF(AND(E99="CLIENT S+L",F99="HUILE"),(S99*3333.33+(VLOOKUP(H99,'BASE '!$I$112:$J$142,2,0)))-((S99*3333.33)*G99),IF(AND(E99="CLIENT S+L",F99="LAIT"),((S99*952.4)-(S99*952.4)*G99),IF(E99="CLIENT O","OFFERT",IF(AND(F99="HUILE",E99="CLIENT L"),(((VLOOKUP(H99,'BASE '!$I$112:$J$142,2,0))+(VLOOKUP(S99,'BASE '!#REF!,2,0)))),IF(AND(F99="LAIT",E99="CLIENT L"),(S99*952.4),IF(AND(F99="HUILE",E99="CLIENT D"),(S99*3809.53+(VLOOKUP(H99,'BASE '!$I$112:$J$142,2,0))),IF(AND(F99="LAIT",E99="CLIENT D"),(S99*952.4),IF(AND(F99="HUILE",E99="CLIENT S+D"),((S99*3809.53+(VLOOKUP(H99,'BASE '!$I$112:$J$142,2,0)))-((S99*3809.53)*G99)),IF(AND(F99="LAIT",E99="CLIENT S+D"),((S99*952.4)-((S99*952.4)*G99)),IF(AND(E99="CLIENT S",F99="LAIT"),((S99*952.4)-((S99*952.4)*G99)),IF(AND(F99="HUILE",E99="CLIENT S"),(VLOOKUP(H99,'BASE '!$I$112:$J$142,2,0)+(VLOOKUP(S99,'BASE '!#REF!,2,0)))-(G99*((VLOOKUP(S99,'BASE '!#REF!,2,0)+(VLOOKUP(H99,'BASE '!$I$112:$J$142,2,0))))))))))))))))</f>
        <v>0</v>
      </c>
      <c r="P99" s="52" t="b">
        <f t="shared" si="32"/>
        <v>0</v>
      </c>
      <c r="Q99" s="53" t="b">
        <f t="shared" si="33"/>
        <v>0</v>
      </c>
      <c r="R99" s="152" t="s">
        <v>175</v>
      </c>
      <c r="S99" s="184">
        <f t="shared" si="35"/>
        <v>0</v>
      </c>
      <c r="T99" s="124"/>
      <c r="U99" s="41" t="s">
        <v>175</v>
      </c>
      <c r="V99" s="70" t="e">
        <f>VLOOKUP(U99,'BASE '!$A$4:$H$144,2,0)</f>
        <v>#N/A</v>
      </c>
      <c r="W99" s="159"/>
      <c r="X99" s="159"/>
      <c r="Y99" s="160"/>
      <c r="Z99" s="158" t="e">
        <f>VLOOKUP(U99,'BASE '!$A$4:$H$144,3,0)</f>
        <v>#N/A</v>
      </c>
      <c r="AA99" s="94" t="e">
        <f t="shared" si="34"/>
        <v>#N/A</v>
      </c>
      <c r="AB99" s="95" t="e">
        <f>VLOOKUP(U99,'BASE '!$A$4:$H$144,6,0)*Y99/100</f>
        <v>#N/A</v>
      </c>
      <c r="AC99" s="95" t="e">
        <f>VLOOKUP(U99,'BASE '!$A$4:$H$144,7,0)*Y99/100</f>
        <v>#N/A</v>
      </c>
      <c r="AD99" s="95" t="e">
        <f>VLOOKUP(U99,'BASE '!$A$4:$H$144,8,0)*Y99/100</f>
        <v>#N/A</v>
      </c>
      <c r="AE99" s="96" t="e">
        <f t="shared" si="36"/>
        <v>#N/A</v>
      </c>
      <c r="DN99" s="116" t="e">
        <f>(($I$5*#REF!)/100)+((#REF!*$J$5)/100)+(($K$5*#REF!)/100)+($L$5*#REF!)+($M$5*#REF!)</f>
        <v>#REF!</v>
      </c>
    </row>
    <row r="100" spans="2:118" x14ac:dyDescent="0.3">
      <c r="B100" s="64"/>
      <c r="C100" s="148"/>
      <c r="D100" s="109"/>
      <c r="E100" s="63"/>
      <c r="F100" s="127"/>
      <c r="G100" s="50"/>
      <c r="H100" s="10"/>
      <c r="I100" s="10"/>
      <c r="J100" s="10"/>
      <c r="K100" s="10"/>
      <c r="L100" s="10"/>
      <c r="M100" s="39"/>
      <c r="N100" s="33">
        <f t="shared" si="31"/>
        <v>0</v>
      </c>
      <c r="O100" s="52" t="b">
        <f>IF(AND(E100="CLIENT S+L",F100="HUILE"),(S100*3333.33+(VLOOKUP(H100,'BASE '!$I$112:$J$142,2,0)))-((S100*3333.33)*G100),IF(AND(E100="CLIENT S+L",F100="LAIT"),((S100*952.4)-(S100*952.4)*G100),IF(E100="CLIENT O","OFFERT",IF(AND(F100="HUILE",E100="CLIENT L"),(((VLOOKUP(H100,'BASE '!$I$112:$J$142,2,0))+(VLOOKUP(S100,'BASE '!#REF!,2,0)))),IF(AND(F100="LAIT",E100="CLIENT L"),(S100*952.4),IF(AND(F100="HUILE",E100="CLIENT D"),(S100*3809.53+(VLOOKUP(H100,'BASE '!$I$112:$J$142,2,0))),IF(AND(F100="LAIT",E100="CLIENT D"),(S100*952.4),IF(AND(F100="HUILE",E100="CLIENT S+D"),((S100*3809.53+(VLOOKUP(H100,'BASE '!$I$112:$J$142,2,0)))-((S100*3809.53)*G100)),IF(AND(F100="LAIT",E100="CLIENT S+D"),((S100*952.4)-((S100*952.4)*G100)),IF(AND(E100="CLIENT S",F100="LAIT"),((S100*952.4)-((S100*952.4)*G100)),IF(AND(F100="HUILE",E100="CLIENT S"),(VLOOKUP(H100,'BASE '!$I$112:$J$142,2,0)+(VLOOKUP(S100,'BASE '!#REF!,2,0)))-(G100*((VLOOKUP(S100,'BASE '!#REF!,2,0)+(VLOOKUP(H100,'BASE '!$I$112:$J$142,2,0))))))))))))))))</f>
        <v>0</v>
      </c>
      <c r="P100" s="52" t="b">
        <f t="shared" si="32"/>
        <v>0</v>
      </c>
      <c r="Q100" s="53" t="b">
        <f t="shared" si="33"/>
        <v>0</v>
      </c>
      <c r="R100" s="152" t="s">
        <v>175</v>
      </c>
      <c r="S100" s="184">
        <f t="shared" si="35"/>
        <v>0</v>
      </c>
      <c r="T100" s="124"/>
      <c r="U100" s="41" t="s">
        <v>175</v>
      </c>
      <c r="V100" s="70" t="e">
        <f>VLOOKUP(U100,'BASE '!$A$4:$H$144,2,0)</f>
        <v>#N/A</v>
      </c>
      <c r="W100" s="159"/>
      <c r="X100" s="159"/>
      <c r="Y100" s="160"/>
      <c r="Z100" s="158" t="e">
        <f>VLOOKUP(U100,'BASE '!$A$4:$H$144,3,0)</f>
        <v>#N/A</v>
      </c>
      <c r="AA100" s="94" t="e">
        <f t="shared" si="34"/>
        <v>#N/A</v>
      </c>
      <c r="AB100" s="95" t="e">
        <f>VLOOKUP(U100,'BASE '!$A$4:$H$144,6,0)*Y100/100</f>
        <v>#N/A</v>
      </c>
      <c r="AC100" s="95" t="e">
        <f>VLOOKUP(U100,'BASE '!$A$4:$H$144,7,0)*Y100/100</f>
        <v>#N/A</v>
      </c>
      <c r="AD100" s="95" t="e">
        <f>VLOOKUP(U100,'BASE '!$A$4:$H$144,8,0)*Y100/100</f>
        <v>#N/A</v>
      </c>
      <c r="AE100" s="96" t="e">
        <f t="shared" si="36"/>
        <v>#N/A</v>
      </c>
      <c r="DN100" s="116" t="e">
        <f>(($I$5*#REF!)/100)+((#REF!*$J$5)/100)+(($K$5*#REF!)/100)+($L$5*#REF!)+($M$5*#REF!)</f>
        <v>#REF!</v>
      </c>
    </row>
    <row r="101" spans="2:118" x14ac:dyDescent="0.3">
      <c r="B101" s="64"/>
      <c r="C101" s="148"/>
      <c r="D101" s="109"/>
      <c r="E101" s="63"/>
      <c r="F101" s="127"/>
      <c r="G101" s="50"/>
      <c r="H101" s="10"/>
      <c r="I101" s="10"/>
      <c r="J101" s="10"/>
      <c r="K101" s="10"/>
      <c r="L101" s="10"/>
      <c r="M101" s="39"/>
      <c r="N101" s="33">
        <f t="shared" si="31"/>
        <v>0</v>
      </c>
      <c r="O101" s="52" t="b">
        <f>IF(AND(E101="CLIENT S+L",F101="HUILE"),(S101*3333.33+(VLOOKUP(H101,'BASE '!$I$112:$J$142,2,0)))-((S101*3333.33)*G101),IF(AND(E101="CLIENT S+L",F101="LAIT"),((S101*952.4)-(S101*952.4)*G101),IF(E101="CLIENT O","OFFERT",IF(AND(F101="HUILE",E101="CLIENT L"),(((VLOOKUP(H101,'BASE '!$I$112:$J$142,2,0))+(VLOOKUP(S101,'BASE '!#REF!,2,0)))),IF(AND(F101="LAIT",E101="CLIENT L"),(S101*952.4),IF(AND(F101="HUILE",E101="CLIENT D"),(S101*3809.53+(VLOOKUP(H101,'BASE '!$I$112:$J$142,2,0))),IF(AND(F101="LAIT",E101="CLIENT D"),(S101*952.4),IF(AND(F101="HUILE",E101="CLIENT S+D"),((S101*3809.53+(VLOOKUP(H101,'BASE '!$I$112:$J$142,2,0)))-((S101*3809.53)*G101)),IF(AND(F101="LAIT",E101="CLIENT S+D"),((S101*952.4)-((S101*952.4)*G101)),IF(AND(E101="CLIENT S",F101="LAIT"),((S101*952.4)-((S101*952.4)*G101)),IF(AND(F101="HUILE",E101="CLIENT S"),(VLOOKUP(H101,'BASE '!$I$112:$J$142,2,0)+(VLOOKUP(S101,'BASE '!#REF!,2,0)))-(G101*((VLOOKUP(S101,'BASE '!#REF!,2,0)+(VLOOKUP(H101,'BASE '!$I$112:$J$142,2,0))))))))))))))))</f>
        <v>0</v>
      </c>
      <c r="P101" s="52" t="b">
        <f t="shared" si="32"/>
        <v>0</v>
      </c>
      <c r="Q101" s="53" t="b">
        <f t="shared" si="33"/>
        <v>0</v>
      </c>
      <c r="R101" s="152" t="s">
        <v>175</v>
      </c>
      <c r="S101" s="184">
        <f t="shared" si="35"/>
        <v>0</v>
      </c>
      <c r="T101" s="124"/>
      <c r="U101" s="41" t="s">
        <v>175</v>
      </c>
      <c r="V101" s="70" t="e">
        <f>VLOOKUP(U101,'BASE '!$A$4:$H$144,2,0)</f>
        <v>#N/A</v>
      </c>
      <c r="W101" s="159"/>
      <c r="X101" s="159"/>
      <c r="Y101" s="160"/>
      <c r="Z101" s="158" t="e">
        <f>VLOOKUP(U101,'BASE '!$A$4:$H$144,3,0)</f>
        <v>#N/A</v>
      </c>
      <c r="AA101" s="94" t="e">
        <f t="shared" si="34"/>
        <v>#N/A</v>
      </c>
      <c r="AB101" s="95" t="e">
        <f>VLOOKUP(U101,'BASE '!$A$4:$H$144,6,0)*Y101/100</f>
        <v>#N/A</v>
      </c>
      <c r="AC101" s="95" t="e">
        <f>VLOOKUP(U101,'BASE '!$A$4:$H$144,7,0)*Y101/100</f>
        <v>#N/A</v>
      </c>
      <c r="AD101" s="95" t="e">
        <f>VLOOKUP(U101,'BASE '!$A$4:$H$144,8,0)*Y101/100</f>
        <v>#N/A</v>
      </c>
      <c r="AE101" s="96" t="e">
        <f t="shared" si="36"/>
        <v>#N/A</v>
      </c>
      <c r="DN101" s="116" t="e">
        <f>(($I$5*#REF!)/100)+((#REF!*$J$5)/100)+(($K$5*#REF!)/100)+($L$5*#REF!)+($M$5*#REF!)</f>
        <v>#REF!</v>
      </c>
    </row>
    <row r="102" spans="2:118" x14ac:dyDescent="0.3">
      <c r="B102" s="64"/>
      <c r="C102" s="148"/>
      <c r="D102" s="109"/>
      <c r="E102" s="63"/>
      <c r="F102" s="127"/>
      <c r="G102" s="50"/>
      <c r="H102" s="10"/>
      <c r="I102" s="10"/>
      <c r="J102" s="10"/>
      <c r="K102" s="10"/>
      <c r="L102" s="10"/>
      <c r="M102" s="39"/>
      <c r="N102" s="33">
        <f t="shared" si="31"/>
        <v>0</v>
      </c>
      <c r="O102" s="52" t="b">
        <f>IF(AND(E102="CLIENT S+L",F102="HUILE"),(S102*3333.33+(VLOOKUP(H102,'BASE '!$I$112:$J$142,2,0)))-((S102*3333.33)*G102),IF(AND(E102="CLIENT S+L",F102="LAIT"),((S102*952.4)-(S102*952.4)*G102),IF(E102="CLIENT O","OFFERT",IF(AND(F102="HUILE",E102="CLIENT L"),(((VLOOKUP(H102,'BASE '!$I$112:$J$142,2,0))+(VLOOKUP(S102,'BASE '!#REF!,2,0)))),IF(AND(F102="LAIT",E102="CLIENT L"),(S102*952.4),IF(AND(F102="HUILE",E102="CLIENT D"),(S102*3809.53+(VLOOKUP(H102,'BASE '!$I$112:$J$142,2,0))),IF(AND(F102="LAIT",E102="CLIENT D"),(S102*952.4),IF(AND(F102="HUILE",E102="CLIENT S+D"),((S102*3809.53+(VLOOKUP(H102,'BASE '!$I$112:$J$142,2,0)))-((S102*3809.53)*G102)),IF(AND(F102="LAIT",E102="CLIENT S+D"),((S102*952.4)-((S102*952.4)*G102)),IF(AND(E102="CLIENT S",F102="LAIT"),((S102*952.4)-((S102*952.4)*G102)),IF(AND(F102="HUILE",E102="CLIENT S"),(VLOOKUP(H102,'BASE '!$I$112:$J$142,2,0)+(VLOOKUP(S102,'BASE '!#REF!,2,0)))-(G102*((VLOOKUP(S102,'BASE '!#REF!,2,0)+(VLOOKUP(H102,'BASE '!$I$112:$J$142,2,0))))))))))))))))</f>
        <v>0</v>
      </c>
      <c r="P102" s="52" t="b">
        <f t="shared" si="32"/>
        <v>0</v>
      </c>
      <c r="Q102" s="53" t="b">
        <f t="shared" si="33"/>
        <v>0</v>
      </c>
      <c r="R102" s="152" t="s">
        <v>175</v>
      </c>
      <c r="S102" s="184">
        <f t="shared" si="35"/>
        <v>0</v>
      </c>
      <c r="T102" s="124"/>
      <c r="U102" s="41" t="s">
        <v>175</v>
      </c>
      <c r="V102" s="70" t="e">
        <f>VLOOKUP(U102,'BASE '!$A$4:$H$144,2,0)</f>
        <v>#N/A</v>
      </c>
      <c r="W102" s="159"/>
      <c r="X102" s="159"/>
      <c r="Y102" s="160"/>
      <c r="Z102" s="158" t="e">
        <f>VLOOKUP(U102,'BASE '!$A$4:$H$144,3,0)</f>
        <v>#N/A</v>
      </c>
      <c r="AA102" s="94" t="e">
        <f t="shared" si="34"/>
        <v>#N/A</v>
      </c>
      <c r="AB102" s="95" t="e">
        <f>VLOOKUP(U102,'BASE '!$A$4:$H$144,6,0)*Y102/100</f>
        <v>#N/A</v>
      </c>
      <c r="AC102" s="95" t="e">
        <f>VLOOKUP(U102,'BASE '!$A$4:$H$144,7,0)*Y102/100</f>
        <v>#N/A</v>
      </c>
      <c r="AD102" s="95" t="e">
        <f>VLOOKUP(U102,'BASE '!$A$4:$H$144,8,0)*Y102/100</f>
        <v>#N/A</v>
      </c>
      <c r="AE102" s="96" t="e">
        <f t="shared" si="36"/>
        <v>#N/A</v>
      </c>
      <c r="DN102" s="116" t="e">
        <f>(($I$5*#REF!)/100)+((#REF!*$J$5)/100)+(($K$5*#REF!)/100)+($L$5*#REF!)+($M$5*#REF!)</f>
        <v>#REF!</v>
      </c>
    </row>
    <row r="103" spans="2:118" x14ac:dyDescent="0.3">
      <c r="B103" s="64"/>
      <c r="C103" s="148"/>
      <c r="D103" s="109"/>
      <c r="E103" s="63"/>
      <c r="F103" s="127"/>
      <c r="G103" s="50"/>
      <c r="H103" s="10"/>
      <c r="I103" s="10"/>
      <c r="J103" s="10"/>
      <c r="K103" s="10"/>
      <c r="L103" s="10"/>
      <c r="M103" s="39"/>
      <c r="N103" s="33">
        <f t="shared" si="31"/>
        <v>0</v>
      </c>
      <c r="O103" s="52" t="b">
        <f>IF(AND(E103="CLIENT S+L",F103="HUILE"),(S103*3333.33+(VLOOKUP(H103,'BASE '!$I$112:$J$142,2,0)))-((S103*3333.33)*G103),IF(AND(E103="CLIENT S+L",F103="LAIT"),((S103*952.4)-(S103*952.4)*G103),IF(E103="CLIENT O","OFFERT",IF(AND(F103="HUILE",E103="CLIENT L"),(((VLOOKUP(H103,'BASE '!$I$112:$J$142,2,0))+(VLOOKUP(S103,'BASE '!#REF!,2,0)))),IF(AND(F103="LAIT",E103="CLIENT L"),(S103*952.4),IF(AND(F103="HUILE",E103="CLIENT D"),(S103*3809.53+(VLOOKUP(H103,'BASE '!$I$112:$J$142,2,0))),IF(AND(F103="LAIT",E103="CLIENT D"),(S103*952.4),IF(AND(F103="HUILE",E103="CLIENT S+D"),((S103*3809.53+(VLOOKUP(H103,'BASE '!$I$112:$J$142,2,0)))-((S103*3809.53)*G103)),IF(AND(F103="LAIT",E103="CLIENT S+D"),((S103*952.4)-((S103*952.4)*G103)),IF(AND(E103="CLIENT S",F103="LAIT"),((S103*952.4)-((S103*952.4)*G103)),IF(AND(F103="HUILE",E103="CLIENT S"),(VLOOKUP(H103,'BASE '!$I$112:$J$142,2,0)+(VLOOKUP(S103,'BASE '!#REF!,2,0)))-(G103*((VLOOKUP(S103,'BASE '!#REF!,2,0)+(VLOOKUP(H103,'BASE '!$I$112:$J$142,2,0))))))))))))))))</f>
        <v>0</v>
      </c>
      <c r="P103" s="52" t="b">
        <f t="shared" si="32"/>
        <v>0</v>
      </c>
      <c r="Q103" s="53" t="b">
        <f t="shared" si="33"/>
        <v>0</v>
      </c>
      <c r="R103" s="152" t="s">
        <v>175</v>
      </c>
      <c r="S103" s="184">
        <f t="shared" si="35"/>
        <v>0</v>
      </c>
      <c r="T103" s="124"/>
      <c r="U103" s="41" t="s">
        <v>175</v>
      </c>
      <c r="V103" s="70" t="e">
        <f>VLOOKUP(U103,'BASE '!$A$4:$H$144,2,0)</f>
        <v>#N/A</v>
      </c>
      <c r="W103" s="159"/>
      <c r="X103" s="159"/>
      <c r="Y103" s="160"/>
      <c r="Z103" s="158" t="e">
        <f>VLOOKUP(U103,'BASE '!$A$4:$H$144,3,0)</f>
        <v>#N/A</v>
      </c>
      <c r="AA103" s="94" t="e">
        <f t="shared" si="34"/>
        <v>#N/A</v>
      </c>
      <c r="AB103" s="95" t="e">
        <f>VLOOKUP(U103,'BASE '!$A$4:$H$144,6,0)*Y103/100</f>
        <v>#N/A</v>
      </c>
      <c r="AC103" s="95" t="e">
        <f>VLOOKUP(U103,'BASE '!$A$4:$H$144,7,0)*Y103/100</f>
        <v>#N/A</v>
      </c>
      <c r="AD103" s="95" t="e">
        <f>VLOOKUP(U103,'BASE '!$A$4:$H$144,8,0)*Y103/100</f>
        <v>#N/A</v>
      </c>
      <c r="AE103" s="96" t="e">
        <f t="shared" si="36"/>
        <v>#N/A</v>
      </c>
      <c r="DN103" s="116" t="e">
        <f>(($I$5*#REF!)/100)+((#REF!*$J$5)/100)+(($K$5*#REF!)/100)+($L$5*#REF!)+($M$5*#REF!)</f>
        <v>#REF!</v>
      </c>
    </row>
    <row r="104" spans="2:118" x14ac:dyDescent="0.3">
      <c r="B104" s="64"/>
      <c r="C104" s="148"/>
      <c r="D104" s="109"/>
      <c r="E104" s="63"/>
      <c r="F104" s="127"/>
      <c r="G104" s="50"/>
      <c r="H104" s="10"/>
      <c r="I104" s="10"/>
      <c r="J104" s="10"/>
      <c r="K104" s="10"/>
      <c r="L104" s="10"/>
      <c r="M104" s="39"/>
      <c r="N104" s="33">
        <f t="shared" si="31"/>
        <v>0</v>
      </c>
      <c r="O104" s="52" t="b">
        <f>IF(AND(E104="CLIENT S+L",F104="HUILE"),(S104*3333.33+(VLOOKUP(H104,'BASE '!$I$112:$J$142,2,0)))-((S104*3333.33)*G104),IF(AND(E104="CLIENT S+L",F104="LAIT"),((S104*952.4)-(S104*952.4)*G104),IF(E104="CLIENT O","OFFERT",IF(AND(F104="HUILE",E104="CLIENT L"),(((VLOOKUP(H104,'BASE '!$I$112:$J$142,2,0))+(VLOOKUP(S104,'BASE '!#REF!,2,0)))),IF(AND(F104="LAIT",E104="CLIENT L"),(S104*952.4),IF(AND(F104="HUILE",E104="CLIENT D"),(S104*3809.53+(VLOOKUP(H104,'BASE '!$I$112:$J$142,2,0))),IF(AND(F104="LAIT",E104="CLIENT D"),(S104*952.4),IF(AND(F104="HUILE",E104="CLIENT S+D"),((S104*3809.53+(VLOOKUP(H104,'BASE '!$I$112:$J$142,2,0)))-((S104*3809.53)*G104)),IF(AND(F104="LAIT",E104="CLIENT S+D"),((S104*952.4)-((S104*952.4)*G104)),IF(AND(E104="CLIENT S",F104="LAIT"),((S104*952.4)-((S104*952.4)*G104)),IF(AND(F104="HUILE",E104="CLIENT S"),(VLOOKUP(H104,'BASE '!$I$112:$J$142,2,0)+(VLOOKUP(S104,'BASE '!#REF!,2,0)))-(G104*((VLOOKUP(S104,'BASE '!#REF!,2,0)+(VLOOKUP(H104,'BASE '!$I$112:$J$142,2,0))))))))))))))))</f>
        <v>0</v>
      </c>
      <c r="P104" s="52" t="b">
        <f t="shared" si="32"/>
        <v>0</v>
      </c>
      <c r="Q104" s="53" t="b">
        <f t="shared" si="33"/>
        <v>0</v>
      </c>
      <c r="R104" s="152" t="s">
        <v>175</v>
      </c>
      <c r="S104" s="184">
        <f t="shared" si="35"/>
        <v>0</v>
      </c>
      <c r="T104" s="124"/>
      <c r="U104" s="41" t="s">
        <v>175</v>
      </c>
      <c r="V104" s="70" t="e">
        <f>VLOOKUP(U104,'BASE '!$A$4:$H$144,2,0)</f>
        <v>#N/A</v>
      </c>
      <c r="W104" s="159"/>
      <c r="X104" s="159"/>
      <c r="Y104" s="160"/>
      <c r="Z104" s="158" t="e">
        <f>VLOOKUP(U104,'BASE '!$A$4:$H$144,3,0)</f>
        <v>#N/A</v>
      </c>
      <c r="AA104" s="94" t="e">
        <f t="shared" si="34"/>
        <v>#N/A</v>
      </c>
      <c r="AB104" s="95" t="e">
        <f>VLOOKUP(U104,'BASE '!$A$4:$H$144,6,0)*Y104/100</f>
        <v>#N/A</v>
      </c>
      <c r="AC104" s="95" t="e">
        <f>VLOOKUP(U104,'BASE '!$A$4:$H$144,7,0)*Y104/100</f>
        <v>#N/A</v>
      </c>
      <c r="AD104" s="95" t="e">
        <f>VLOOKUP(U104,'BASE '!$A$4:$H$144,8,0)*Y104/100</f>
        <v>#N/A</v>
      </c>
      <c r="AE104" s="96" t="e">
        <f t="shared" si="36"/>
        <v>#N/A</v>
      </c>
      <c r="DN104" s="116" t="e">
        <f>(($I$5*#REF!)/100)+((#REF!*$J$5)/100)+(($K$5*#REF!)/100)+($L$5*#REF!)+($M$5*#REF!)</f>
        <v>#REF!</v>
      </c>
    </row>
    <row r="105" spans="2:118" x14ac:dyDescent="0.3">
      <c r="B105" s="64"/>
      <c r="C105" s="148"/>
      <c r="D105" s="109"/>
      <c r="E105" s="63"/>
      <c r="F105" s="127"/>
      <c r="G105" s="50"/>
      <c r="H105" s="10"/>
      <c r="I105" s="10"/>
      <c r="J105" s="10"/>
      <c r="K105" s="10"/>
      <c r="L105" s="10"/>
      <c r="M105" s="39"/>
      <c r="N105" s="33">
        <f t="shared" si="31"/>
        <v>0</v>
      </c>
      <c r="O105" s="52" t="b">
        <f>IF(AND(E105="CLIENT S+L",F105="HUILE"),(S105*3333.33+(VLOOKUP(H105,'BASE '!$I$112:$J$142,2,0)))-((S105*3333.33)*G105),IF(AND(E105="CLIENT S+L",F105="LAIT"),((S105*952.4)-(S105*952.4)*G105),IF(E105="CLIENT O","OFFERT",IF(AND(F105="HUILE",E105="CLIENT L"),(((VLOOKUP(H105,'BASE '!$I$112:$J$142,2,0))+(VLOOKUP(S105,'BASE '!#REF!,2,0)))),IF(AND(F105="LAIT",E105="CLIENT L"),(S105*952.4),IF(AND(F105="HUILE",E105="CLIENT D"),(S105*3809.53+(VLOOKUP(H105,'BASE '!$I$112:$J$142,2,0))),IF(AND(F105="LAIT",E105="CLIENT D"),(S105*952.4),IF(AND(F105="HUILE",E105="CLIENT S+D"),((S105*3809.53+(VLOOKUP(H105,'BASE '!$I$112:$J$142,2,0)))-((S105*3809.53)*G105)),IF(AND(F105="LAIT",E105="CLIENT S+D"),((S105*952.4)-((S105*952.4)*G105)),IF(AND(E105="CLIENT S",F105="LAIT"),((S105*952.4)-((S105*952.4)*G105)),IF(AND(F105="HUILE",E105="CLIENT S"),(VLOOKUP(H105,'BASE '!$I$112:$J$142,2,0)+(VLOOKUP(S105,'BASE '!#REF!,2,0)))-(G105*((VLOOKUP(S105,'BASE '!#REF!,2,0)+(VLOOKUP(H105,'BASE '!$I$112:$J$142,2,0))))))))))))))))</f>
        <v>0</v>
      </c>
      <c r="P105" s="52" t="b">
        <f t="shared" si="32"/>
        <v>0</v>
      </c>
      <c r="Q105" s="53" t="b">
        <f t="shared" si="33"/>
        <v>0</v>
      </c>
      <c r="R105" s="152" t="s">
        <v>175</v>
      </c>
      <c r="S105" s="184">
        <f t="shared" si="35"/>
        <v>0</v>
      </c>
      <c r="T105" s="124"/>
      <c r="U105" s="41" t="s">
        <v>175</v>
      </c>
      <c r="V105" s="70" t="e">
        <f>VLOOKUP(U105,'BASE '!$A$4:$H$144,2,0)</f>
        <v>#N/A</v>
      </c>
      <c r="W105" s="159"/>
      <c r="X105" s="159"/>
      <c r="Y105" s="160"/>
      <c r="Z105" s="158" t="e">
        <f>VLOOKUP(U105,'BASE '!$A$4:$H$144,3,0)</f>
        <v>#N/A</v>
      </c>
      <c r="AA105" s="94" t="e">
        <f t="shared" si="34"/>
        <v>#N/A</v>
      </c>
      <c r="AB105" s="95" t="e">
        <f>VLOOKUP(U105,'BASE '!$A$4:$H$144,6,0)*Y105/100</f>
        <v>#N/A</v>
      </c>
      <c r="AC105" s="95" t="e">
        <f>VLOOKUP(U105,'BASE '!$A$4:$H$144,7,0)*Y105/100</f>
        <v>#N/A</v>
      </c>
      <c r="AD105" s="95" t="e">
        <f>VLOOKUP(U105,'BASE '!$A$4:$H$144,8,0)*Y105/100</f>
        <v>#N/A</v>
      </c>
      <c r="AE105" s="96" t="e">
        <f t="shared" si="36"/>
        <v>#N/A</v>
      </c>
      <c r="DN105" s="116" t="e">
        <f>(($I$5*#REF!)/100)+((#REF!*$J$5)/100)+(($K$5*#REF!)/100)+($L$5*#REF!)+($M$5*#REF!)</f>
        <v>#REF!</v>
      </c>
    </row>
    <row r="106" spans="2:118" x14ac:dyDescent="0.3">
      <c r="B106" s="64"/>
      <c r="C106" s="148"/>
      <c r="D106" s="109"/>
      <c r="E106" s="63"/>
      <c r="F106" s="127"/>
      <c r="G106" s="50"/>
      <c r="H106" s="10"/>
      <c r="I106" s="10"/>
      <c r="J106" s="10"/>
      <c r="K106" s="10"/>
      <c r="L106" s="10"/>
      <c r="M106" s="39"/>
      <c r="N106" s="33">
        <f t="shared" si="31"/>
        <v>0</v>
      </c>
      <c r="O106" s="52" t="b">
        <f>IF(AND(E106="CLIENT S+L",F106="HUILE"),(S106*3333.33+(VLOOKUP(H106,'BASE '!$I$112:$J$142,2,0)))-((S106*3333.33)*G106),IF(AND(E106="CLIENT S+L",F106="LAIT"),((S106*952.4)-(S106*952.4)*G106),IF(E106="CLIENT O","OFFERT",IF(AND(F106="HUILE",E106="CLIENT L"),(((VLOOKUP(H106,'BASE '!$I$112:$J$142,2,0))+(VLOOKUP(S106,'BASE '!#REF!,2,0)))),IF(AND(F106="LAIT",E106="CLIENT L"),(S106*952.4),IF(AND(F106="HUILE",E106="CLIENT D"),(S106*3809.53+(VLOOKUP(H106,'BASE '!$I$112:$J$142,2,0))),IF(AND(F106="LAIT",E106="CLIENT D"),(S106*952.4),IF(AND(F106="HUILE",E106="CLIENT S+D"),((S106*3809.53+(VLOOKUP(H106,'BASE '!$I$112:$J$142,2,0)))-((S106*3809.53)*G106)),IF(AND(F106="LAIT",E106="CLIENT S+D"),((S106*952.4)-((S106*952.4)*G106)),IF(AND(E106="CLIENT S",F106="LAIT"),((S106*952.4)-((S106*952.4)*G106)),IF(AND(F106="HUILE",E106="CLIENT S"),(VLOOKUP(H106,'BASE '!$I$112:$J$142,2,0)+(VLOOKUP(S106,'BASE '!#REF!,2,0)))-(G106*((VLOOKUP(S106,'BASE '!#REF!,2,0)+(VLOOKUP(H106,'BASE '!$I$112:$J$142,2,0))))))))))))))))</f>
        <v>0</v>
      </c>
      <c r="P106" s="52" t="b">
        <f t="shared" si="32"/>
        <v>0</v>
      </c>
      <c r="Q106" s="53" t="b">
        <f t="shared" si="33"/>
        <v>0</v>
      </c>
      <c r="R106" s="152" t="s">
        <v>175</v>
      </c>
      <c r="S106" s="184">
        <f t="shared" si="35"/>
        <v>0</v>
      </c>
      <c r="T106" s="124"/>
      <c r="U106" s="41" t="s">
        <v>175</v>
      </c>
      <c r="V106" s="70" t="e">
        <f>VLOOKUP(U106,'BASE '!$A$4:$H$144,2,0)</f>
        <v>#N/A</v>
      </c>
      <c r="W106" s="159"/>
      <c r="X106" s="159"/>
      <c r="Y106" s="160"/>
      <c r="Z106" s="158" t="e">
        <f>VLOOKUP(U106,'BASE '!$A$4:$H$144,3,0)</f>
        <v>#N/A</v>
      </c>
      <c r="AA106" s="94" t="e">
        <f t="shared" si="34"/>
        <v>#N/A</v>
      </c>
      <c r="AB106" s="95" t="e">
        <f>VLOOKUP(U106,'BASE '!$A$4:$H$144,6,0)*Y106/100</f>
        <v>#N/A</v>
      </c>
      <c r="AC106" s="95" t="e">
        <f>VLOOKUP(U106,'BASE '!$A$4:$H$144,7,0)*Y106/100</f>
        <v>#N/A</v>
      </c>
      <c r="AD106" s="95" t="e">
        <f>VLOOKUP(U106,'BASE '!$A$4:$H$144,8,0)*Y106/100</f>
        <v>#N/A</v>
      </c>
      <c r="AE106" s="96" t="e">
        <f t="shared" si="36"/>
        <v>#N/A</v>
      </c>
      <c r="DN106" s="116" t="e">
        <f>(($I$5*#REF!)/100)+((#REF!*$J$5)/100)+(($K$5*#REF!)/100)+($L$5*#REF!)+($M$5*#REF!)</f>
        <v>#REF!</v>
      </c>
    </row>
    <row r="107" spans="2:118" x14ac:dyDescent="0.3">
      <c r="B107" s="64"/>
      <c r="C107" s="148"/>
      <c r="D107" s="109"/>
      <c r="E107" s="63"/>
      <c r="F107" s="127"/>
      <c r="G107" s="50"/>
      <c r="H107" s="10"/>
      <c r="I107" s="10"/>
      <c r="J107" s="10"/>
      <c r="K107" s="10"/>
      <c r="L107" s="10"/>
      <c r="M107" s="39"/>
      <c r="N107" s="33">
        <f t="shared" si="31"/>
        <v>0</v>
      </c>
      <c r="O107" s="52" t="b">
        <f>IF(AND(E107="CLIENT S+L",F107="HUILE"),(S107*3333.33+(VLOOKUP(H107,'BASE '!$I$112:$J$142,2,0)))-((S107*3333.33)*G107),IF(AND(E107="CLIENT S+L",F107="LAIT"),((S107*952.4)-(S107*952.4)*G107),IF(E107="CLIENT O","OFFERT",IF(AND(F107="HUILE",E107="CLIENT L"),(((VLOOKUP(H107,'BASE '!$I$112:$J$142,2,0))+(VLOOKUP(S107,'BASE '!#REF!,2,0)))),IF(AND(F107="LAIT",E107="CLIENT L"),(S107*952.4),IF(AND(F107="HUILE",E107="CLIENT D"),(S107*3809.53+(VLOOKUP(H107,'BASE '!$I$112:$J$142,2,0))),IF(AND(F107="LAIT",E107="CLIENT D"),(S107*952.4),IF(AND(F107="HUILE",E107="CLIENT S+D"),((S107*3809.53+(VLOOKUP(H107,'BASE '!$I$112:$J$142,2,0)))-((S107*3809.53)*G107)),IF(AND(F107="LAIT",E107="CLIENT S+D"),((S107*952.4)-((S107*952.4)*G107)),IF(AND(E107="CLIENT S",F107="LAIT"),((S107*952.4)-((S107*952.4)*G107)),IF(AND(F107="HUILE",E107="CLIENT S"),(VLOOKUP(H107,'BASE '!$I$112:$J$142,2,0)+(VLOOKUP(S107,'BASE '!#REF!,2,0)))-(G107*((VLOOKUP(S107,'BASE '!#REF!,2,0)+(VLOOKUP(H107,'BASE '!$I$112:$J$142,2,0))))))))))))))))</f>
        <v>0</v>
      </c>
      <c r="P107" s="52" t="b">
        <f t="shared" si="32"/>
        <v>0</v>
      </c>
      <c r="Q107" s="53" t="b">
        <f t="shared" si="33"/>
        <v>0</v>
      </c>
      <c r="R107" s="152" t="s">
        <v>175</v>
      </c>
      <c r="S107" s="184">
        <f t="shared" si="35"/>
        <v>0</v>
      </c>
      <c r="T107" s="124"/>
      <c r="U107" s="41" t="s">
        <v>175</v>
      </c>
      <c r="V107" s="70" t="e">
        <f>VLOOKUP(U107,'BASE '!$A$4:$H$144,2,0)</f>
        <v>#N/A</v>
      </c>
      <c r="W107" s="159"/>
      <c r="X107" s="159"/>
      <c r="Y107" s="160"/>
      <c r="Z107" s="158" t="e">
        <f>VLOOKUP(U107,'BASE '!$A$4:$H$144,3,0)</f>
        <v>#N/A</v>
      </c>
      <c r="AA107" s="94" t="e">
        <f t="shared" si="34"/>
        <v>#N/A</v>
      </c>
      <c r="AB107" s="95" t="e">
        <f>VLOOKUP(U107,'BASE '!$A$4:$H$144,6,0)*Y107/100</f>
        <v>#N/A</v>
      </c>
      <c r="AC107" s="95" t="e">
        <f>VLOOKUP(U107,'BASE '!$A$4:$H$144,7,0)*Y107/100</f>
        <v>#N/A</v>
      </c>
      <c r="AD107" s="95" t="e">
        <f>VLOOKUP(U107,'BASE '!$A$4:$H$144,8,0)*Y107/100</f>
        <v>#N/A</v>
      </c>
      <c r="AE107" s="96" t="e">
        <f t="shared" si="36"/>
        <v>#N/A</v>
      </c>
      <c r="DN107" s="116" t="e">
        <f>(($I$5*#REF!)/100)+((#REF!*$J$5)/100)+(($K$5*#REF!)/100)+($L$5*#REF!)+($M$5*#REF!)</f>
        <v>#REF!</v>
      </c>
    </row>
    <row r="108" spans="2:118" x14ac:dyDescent="0.3">
      <c r="B108" s="64"/>
      <c r="C108" s="148"/>
      <c r="D108" s="109"/>
      <c r="E108" s="63"/>
      <c r="F108" s="127"/>
      <c r="G108" s="50"/>
      <c r="H108" s="10"/>
      <c r="I108" s="10"/>
      <c r="J108" s="10"/>
      <c r="K108" s="10"/>
      <c r="L108" s="10"/>
      <c r="M108" s="39"/>
      <c r="N108" s="33">
        <f t="shared" si="31"/>
        <v>0</v>
      </c>
      <c r="O108" s="52" t="b">
        <f>IF(AND(E108="CLIENT S+L",F108="HUILE"),(S108*3333.33+(VLOOKUP(H108,'BASE '!$I$112:$J$142,2,0)))-((S108*3333.33)*G108),IF(AND(E108="CLIENT S+L",F108="LAIT"),((S108*952.4)-(S108*952.4)*G108),IF(E108="CLIENT O","OFFERT",IF(AND(F108="HUILE",E108="CLIENT L"),(((VLOOKUP(H108,'BASE '!$I$112:$J$142,2,0))+(VLOOKUP(S108,'BASE '!#REF!,2,0)))),IF(AND(F108="LAIT",E108="CLIENT L"),(S108*952.4),IF(AND(F108="HUILE",E108="CLIENT D"),(S108*3809.53+(VLOOKUP(H108,'BASE '!$I$112:$J$142,2,0))),IF(AND(F108="LAIT",E108="CLIENT D"),(S108*952.4),IF(AND(F108="HUILE",E108="CLIENT S+D"),((S108*3809.53+(VLOOKUP(H108,'BASE '!$I$112:$J$142,2,0)))-((S108*3809.53)*G108)),IF(AND(F108="LAIT",E108="CLIENT S+D"),((S108*952.4)-((S108*952.4)*G108)),IF(AND(E108="CLIENT S",F108="LAIT"),((S108*952.4)-((S108*952.4)*G108)),IF(AND(F108="HUILE",E108="CLIENT S"),(VLOOKUP(H108,'BASE '!$I$112:$J$142,2,0)+(VLOOKUP(S108,'BASE '!#REF!,2,0)))-(G108*((VLOOKUP(S108,'BASE '!#REF!,2,0)+(VLOOKUP(H108,'BASE '!$I$112:$J$142,2,0))))))))))))))))</f>
        <v>0</v>
      </c>
      <c r="P108" s="52" t="b">
        <f t="shared" si="32"/>
        <v>0</v>
      </c>
      <c r="Q108" s="53" t="b">
        <f t="shared" si="33"/>
        <v>0</v>
      </c>
      <c r="R108" s="152" t="s">
        <v>175</v>
      </c>
      <c r="S108" s="184">
        <f t="shared" si="35"/>
        <v>0</v>
      </c>
      <c r="T108" s="124"/>
      <c r="U108" s="41" t="s">
        <v>175</v>
      </c>
      <c r="V108" s="70" t="e">
        <f>VLOOKUP(U108,'BASE '!$A$4:$H$144,2,0)</f>
        <v>#N/A</v>
      </c>
      <c r="W108" s="159"/>
      <c r="X108" s="159"/>
      <c r="Y108" s="160"/>
      <c r="Z108" s="158" t="e">
        <f>VLOOKUP(U108,'BASE '!$A$4:$H$144,3,0)</f>
        <v>#N/A</v>
      </c>
      <c r="AA108" s="94" t="e">
        <f t="shared" si="34"/>
        <v>#N/A</v>
      </c>
      <c r="AB108" s="95" t="e">
        <f>VLOOKUP(U108,'BASE '!$A$4:$H$144,6,0)*Y108/100</f>
        <v>#N/A</v>
      </c>
      <c r="AC108" s="95" t="e">
        <f>VLOOKUP(U108,'BASE '!$A$4:$H$144,7,0)*Y108/100</f>
        <v>#N/A</v>
      </c>
      <c r="AD108" s="95" t="e">
        <f>VLOOKUP(U108,'BASE '!$A$4:$H$144,8,0)*Y108/100</f>
        <v>#N/A</v>
      </c>
      <c r="AE108" s="96" t="e">
        <f t="shared" si="36"/>
        <v>#N/A</v>
      </c>
      <c r="DN108" s="116" t="e">
        <f>(($I$5*#REF!)/100)+((#REF!*$J$5)/100)+(($K$5*#REF!)/100)+($L$5*#REF!)+($M$5*#REF!)</f>
        <v>#REF!</v>
      </c>
    </row>
    <row r="109" spans="2:118" x14ac:dyDescent="0.3">
      <c r="B109" s="64"/>
      <c r="C109" s="148"/>
      <c r="D109" s="109"/>
      <c r="E109" s="63"/>
      <c r="F109" s="127"/>
      <c r="G109" s="50"/>
      <c r="H109" s="10"/>
      <c r="I109" s="10"/>
      <c r="J109" s="10"/>
      <c r="K109" s="10"/>
      <c r="L109" s="10"/>
      <c r="M109" s="39"/>
      <c r="N109" s="33">
        <f t="shared" si="31"/>
        <v>0</v>
      </c>
      <c r="O109" s="52" t="b">
        <f>IF(AND(E109="CLIENT S+L",F109="HUILE"),(S109*3333.33+(VLOOKUP(H109,'BASE '!$I$112:$J$142,2,0)))-((S109*3333.33)*G109),IF(AND(E109="CLIENT S+L",F109="LAIT"),((S109*952.4)-(S109*952.4)*G109),IF(E109="CLIENT O","OFFERT",IF(AND(F109="HUILE",E109="CLIENT L"),(((VLOOKUP(H109,'BASE '!$I$112:$J$142,2,0))+(VLOOKUP(S109,'BASE '!#REF!,2,0)))),IF(AND(F109="LAIT",E109="CLIENT L"),(S109*952.4),IF(AND(F109="HUILE",E109="CLIENT D"),(S109*3809.53+(VLOOKUP(H109,'BASE '!$I$112:$J$142,2,0))),IF(AND(F109="LAIT",E109="CLIENT D"),(S109*952.4),IF(AND(F109="HUILE",E109="CLIENT S+D"),((S109*3809.53+(VLOOKUP(H109,'BASE '!$I$112:$J$142,2,0)))-((S109*3809.53)*G109)),IF(AND(F109="LAIT",E109="CLIENT S+D"),((S109*952.4)-((S109*952.4)*G109)),IF(AND(E109="CLIENT S",F109="LAIT"),((S109*952.4)-((S109*952.4)*G109)),IF(AND(F109="HUILE",E109="CLIENT S"),(VLOOKUP(H109,'BASE '!$I$112:$J$142,2,0)+(VLOOKUP(S109,'BASE '!#REF!,2,0)))-(G109*((VLOOKUP(S109,'BASE '!#REF!,2,0)+(VLOOKUP(H109,'BASE '!$I$112:$J$142,2,0))))))))))))))))</f>
        <v>0</v>
      </c>
      <c r="P109" s="52" t="b">
        <f t="shared" si="32"/>
        <v>0</v>
      </c>
      <c r="Q109" s="53" t="b">
        <f t="shared" si="33"/>
        <v>0</v>
      </c>
      <c r="R109" s="152" t="s">
        <v>175</v>
      </c>
      <c r="S109" s="184">
        <f t="shared" si="35"/>
        <v>0</v>
      </c>
      <c r="T109" s="124"/>
      <c r="U109" s="41" t="s">
        <v>175</v>
      </c>
      <c r="V109" s="70" t="e">
        <f>VLOOKUP(U109,'BASE '!$A$4:$H$144,2,0)</f>
        <v>#N/A</v>
      </c>
      <c r="W109" s="159"/>
      <c r="X109" s="159"/>
      <c r="Y109" s="160"/>
      <c r="Z109" s="158" t="e">
        <f>VLOOKUP(U109,'BASE '!$A$4:$H$144,3,0)</f>
        <v>#N/A</v>
      </c>
      <c r="AA109" s="94" t="e">
        <f t="shared" si="34"/>
        <v>#N/A</v>
      </c>
      <c r="AB109" s="95" t="e">
        <f>VLOOKUP(U109,'BASE '!$A$4:$H$144,6,0)*Y109/100</f>
        <v>#N/A</v>
      </c>
      <c r="AC109" s="95" t="e">
        <f>VLOOKUP(U109,'BASE '!$A$4:$H$144,7,0)*Y109/100</f>
        <v>#N/A</v>
      </c>
      <c r="AD109" s="95" t="e">
        <f>VLOOKUP(U109,'BASE '!$A$4:$H$144,8,0)*Y109/100</f>
        <v>#N/A</v>
      </c>
      <c r="AE109" s="96" t="e">
        <f t="shared" si="36"/>
        <v>#N/A</v>
      </c>
      <c r="DN109" s="116" t="e">
        <f>(($I$5*#REF!)/100)+((#REF!*$J$5)/100)+(($K$5*#REF!)/100)+($L$5*#REF!)+($M$5*#REF!)</f>
        <v>#REF!</v>
      </c>
    </row>
    <row r="110" spans="2:118" x14ac:dyDescent="0.3">
      <c r="B110" s="64"/>
      <c r="C110" s="148"/>
      <c r="D110" s="109"/>
      <c r="E110" s="63"/>
      <c r="F110" s="127"/>
      <c r="G110" s="50"/>
      <c r="H110" s="10"/>
      <c r="I110" s="10"/>
      <c r="J110" s="10"/>
      <c r="K110" s="10"/>
      <c r="L110" s="10"/>
      <c r="M110" s="39"/>
      <c r="N110" s="33">
        <f t="shared" si="31"/>
        <v>0</v>
      </c>
      <c r="O110" s="52" t="b">
        <f>IF(AND(E110="CLIENT S+L",F110="HUILE"),(S110*3333.33+(VLOOKUP(H110,'BASE '!$I$112:$J$142,2,0)))-((S110*3333.33)*G110),IF(AND(E110="CLIENT S+L",F110="LAIT"),((S110*952.4)-(S110*952.4)*G110),IF(E110="CLIENT O","OFFERT",IF(AND(F110="HUILE",E110="CLIENT L"),(((VLOOKUP(H110,'BASE '!$I$112:$J$142,2,0))+(VLOOKUP(S110,'BASE '!#REF!,2,0)))),IF(AND(F110="LAIT",E110="CLIENT L"),(S110*952.4),IF(AND(F110="HUILE",E110="CLIENT D"),(S110*3809.53+(VLOOKUP(H110,'BASE '!$I$112:$J$142,2,0))),IF(AND(F110="LAIT",E110="CLIENT D"),(S110*952.4),IF(AND(F110="HUILE",E110="CLIENT S+D"),((S110*3809.53+(VLOOKUP(H110,'BASE '!$I$112:$J$142,2,0)))-((S110*3809.53)*G110)),IF(AND(F110="LAIT",E110="CLIENT S+D"),((S110*952.4)-((S110*952.4)*G110)),IF(AND(E110="CLIENT S",F110="LAIT"),((S110*952.4)-((S110*952.4)*G110)),IF(AND(F110="HUILE",E110="CLIENT S"),(VLOOKUP(H110,'BASE '!$I$112:$J$142,2,0)+(VLOOKUP(S110,'BASE '!#REF!,2,0)))-(G110*((VLOOKUP(S110,'BASE '!#REF!,2,0)+(VLOOKUP(H110,'BASE '!$I$112:$J$142,2,0))))))))))))))))</f>
        <v>0</v>
      </c>
      <c r="P110" s="52" t="b">
        <f t="shared" si="32"/>
        <v>0</v>
      </c>
      <c r="Q110" s="53" t="b">
        <f t="shared" si="33"/>
        <v>0</v>
      </c>
      <c r="R110" s="152" t="s">
        <v>175</v>
      </c>
      <c r="S110" s="184">
        <f t="shared" si="35"/>
        <v>0</v>
      </c>
      <c r="T110" s="124"/>
      <c r="U110" s="41" t="s">
        <v>175</v>
      </c>
      <c r="V110" s="70" t="e">
        <f>VLOOKUP(U110,'BASE '!$A$4:$H$144,2,0)</f>
        <v>#N/A</v>
      </c>
      <c r="W110" s="159"/>
      <c r="X110" s="159"/>
      <c r="Y110" s="160"/>
      <c r="Z110" s="158" t="e">
        <f>VLOOKUP(U110,'BASE '!$A$4:$H$144,3,0)</f>
        <v>#N/A</v>
      </c>
      <c r="AA110" s="94" t="e">
        <f t="shared" si="34"/>
        <v>#N/A</v>
      </c>
      <c r="AB110" s="95" t="e">
        <f>VLOOKUP(U110,'BASE '!$A$4:$H$144,6,0)*Y110/100</f>
        <v>#N/A</v>
      </c>
      <c r="AC110" s="95" t="e">
        <f>VLOOKUP(U110,'BASE '!$A$4:$H$144,7,0)*Y110/100</f>
        <v>#N/A</v>
      </c>
      <c r="AD110" s="95" t="e">
        <f>VLOOKUP(U110,'BASE '!$A$4:$H$144,8,0)*Y110/100</f>
        <v>#N/A</v>
      </c>
      <c r="AE110" s="96" t="e">
        <f t="shared" si="36"/>
        <v>#N/A</v>
      </c>
      <c r="DN110" s="116" t="e">
        <f>(($I$5*#REF!)/100)+((#REF!*$J$5)/100)+(($K$5*#REF!)/100)+($L$5*#REF!)+($M$5*#REF!)</f>
        <v>#REF!</v>
      </c>
    </row>
    <row r="111" spans="2:118" x14ac:dyDescent="0.3">
      <c r="B111" s="64"/>
      <c r="C111" s="148"/>
      <c r="D111" s="109"/>
      <c r="E111" s="63"/>
      <c r="F111" s="127"/>
      <c r="G111" s="50"/>
      <c r="H111" s="10"/>
      <c r="I111" s="10"/>
      <c r="J111" s="10"/>
      <c r="K111" s="10"/>
      <c r="L111" s="10"/>
      <c r="M111" s="39"/>
      <c r="N111" s="33">
        <f t="shared" si="31"/>
        <v>0</v>
      </c>
      <c r="O111" s="52" t="b">
        <f>IF(AND(E111="CLIENT S+L",F111="HUILE"),(S111*3333.33+(VLOOKUP(H111,'BASE '!$I$112:$J$142,2,0)))-((S111*3333.33)*G111),IF(AND(E111="CLIENT S+L",F111="LAIT"),((S111*952.4)-(S111*952.4)*G111),IF(E111="CLIENT O","OFFERT",IF(AND(F111="HUILE",E111="CLIENT L"),(((VLOOKUP(H111,'BASE '!$I$112:$J$142,2,0))+(VLOOKUP(S111,'BASE '!#REF!,2,0)))),IF(AND(F111="LAIT",E111="CLIENT L"),(S111*952.4),IF(AND(F111="HUILE",E111="CLIENT D"),(S111*3809.53+(VLOOKUP(H111,'BASE '!$I$112:$J$142,2,0))),IF(AND(F111="LAIT",E111="CLIENT D"),(S111*952.4),IF(AND(F111="HUILE",E111="CLIENT S+D"),((S111*3809.53+(VLOOKUP(H111,'BASE '!$I$112:$J$142,2,0)))-((S111*3809.53)*G111)),IF(AND(F111="LAIT",E111="CLIENT S+D"),((S111*952.4)-((S111*952.4)*G111)),IF(AND(E111="CLIENT S",F111="LAIT"),((S111*952.4)-((S111*952.4)*G111)),IF(AND(F111="HUILE",E111="CLIENT S"),(VLOOKUP(H111,'BASE '!$I$112:$J$142,2,0)+(VLOOKUP(S111,'BASE '!#REF!,2,0)))-(G111*((VLOOKUP(S111,'BASE '!#REF!,2,0)+(VLOOKUP(H111,'BASE '!$I$112:$J$142,2,0))))))))))))))))</f>
        <v>0</v>
      </c>
      <c r="P111" s="52" t="b">
        <f t="shared" si="32"/>
        <v>0</v>
      </c>
      <c r="Q111" s="53" t="b">
        <f t="shared" si="33"/>
        <v>0</v>
      </c>
      <c r="R111" s="152" t="s">
        <v>175</v>
      </c>
      <c r="S111" s="184">
        <f t="shared" si="35"/>
        <v>0</v>
      </c>
      <c r="T111" s="124"/>
      <c r="U111" s="41" t="s">
        <v>175</v>
      </c>
      <c r="V111" s="70" t="e">
        <f>VLOOKUP(U111,'BASE '!$A$4:$H$144,2,0)</f>
        <v>#N/A</v>
      </c>
      <c r="W111" s="159"/>
      <c r="X111" s="159"/>
      <c r="Y111" s="160"/>
      <c r="Z111" s="158" t="e">
        <f>VLOOKUP(U111,'BASE '!$A$4:$H$144,3,0)</f>
        <v>#N/A</v>
      </c>
      <c r="AA111" s="94" t="e">
        <f t="shared" si="34"/>
        <v>#N/A</v>
      </c>
      <c r="AB111" s="95" t="e">
        <f>VLOOKUP(U111,'BASE '!$A$4:$H$144,6,0)*Y111/100</f>
        <v>#N/A</v>
      </c>
      <c r="AC111" s="95" t="e">
        <f>VLOOKUP(U111,'BASE '!$A$4:$H$144,7,0)*Y111/100</f>
        <v>#N/A</v>
      </c>
      <c r="AD111" s="95" t="e">
        <f>VLOOKUP(U111,'BASE '!$A$4:$H$144,8,0)*Y111/100</f>
        <v>#N/A</v>
      </c>
      <c r="AE111" s="96" t="e">
        <f t="shared" si="36"/>
        <v>#N/A</v>
      </c>
      <c r="DN111" s="116" t="e">
        <f>(($I$5*#REF!)/100)+((#REF!*$J$5)/100)+(($K$5*#REF!)/100)+($L$5*#REF!)+($M$5*#REF!)</f>
        <v>#REF!</v>
      </c>
    </row>
    <row r="112" spans="2:118" x14ac:dyDescent="0.3">
      <c r="B112" s="64"/>
      <c r="C112" s="148"/>
      <c r="D112" s="109"/>
      <c r="E112" s="63"/>
      <c r="F112" s="127"/>
      <c r="G112" s="50"/>
      <c r="H112" s="10"/>
      <c r="I112" s="10"/>
      <c r="J112" s="10"/>
      <c r="K112" s="10"/>
      <c r="L112" s="10"/>
      <c r="M112" s="39"/>
      <c r="N112" s="33">
        <f t="shared" si="31"/>
        <v>0</v>
      </c>
      <c r="O112" s="52" t="b">
        <f>IF(AND(E112="CLIENT S+L",F112="HUILE"),(S112*3333.33+(VLOOKUP(H112,'BASE '!$I$112:$J$142,2,0)))-((S112*3333.33)*G112),IF(AND(E112="CLIENT S+L",F112="LAIT"),((S112*952.4)-(S112*952.4)*G112),IF(E112="CLIENT O","OFFERT",IF(AND(F112="HUILE",E112="CLIENT L"),(((VLOOKUP(H112,'BASE '!$I$112:$J$142,2,0))+(VLOOKUP(S112,'BASE '!#REF!,2,0)))),IF(AND(F112="LAIT",E112="CLIENT L"),(S112*952.4),IF(AND(F112="HUILE",E112="CLIENT D"),(S112*3809.53+(VLOOKUP(H112,'BASE '!$I$112:$J$142,2,0))),IF(AND(F112="LAIT",E112="CLIENT D"),(S112*952.4),IF(AND(F112="HUILE",E112="CLIENT S+D"),((S112*3809.53+(VLOOKUP(H112,'BASE '!$I$112:$J$142,2,0)))-((S112*3809.53)*G112)),IF(AND(F112="LAIT",E112="CLIENT S+D"),((S112*952.4)-((S112*952.4)*G112)),IF(AND(E112="CLIENT S",F112="LAIT"),((S112*952.4)-((S112*952.4)*G112)),IF(AND(F112="HUILE",E112="CLIENT S"),(VLOOKUP(H112,'BASE '!$I$112:$J$142,2,0)+(VLOOKUP(S112,'BASE '!#REF!,2,0)))-(G112*((VLOOKUP(S112,'BASE '!#REF!,2,0)+(VLOOKUP(H112,'BASE '!$I$112:$J$142,2,0))))))))))))))))</f>
        <v>0</v>
      </c>
      <c r="P112" s="52" t="b">
        <f t="shared" si="32"/>
        <v>0</v>
      </c>
      <c r="Q112" s="53" t="b">
        <f t="shared" si="33"/>
        <v>0</v>
      </c>
      <c r="R112" s="152" t="s">
        <v>175</v>
      </c>
      <c r="S112" s="184">
        <f t="shared" si="35"/>
        <v>0</v>
      </c>
      <c r="T112" s="124"/>
      <c r="U112" s="41" t="s">
        <v>175</v>
      </c>
      <c r="V112" s="70" t="e">
        <f>VLOOKUP(U112,'BASE '!$A$4:$H$144,2,0)</f>
        <v>#N/A</v>
      </c>
      <c r="W112" s="159"/>
      <c r="X112" s="159"/>
      <c r="Y112" s="160"/>
      <c r="Z112" s="158" t="e">
        <f>VLOOKUP(U112,'BASE '!$A$4:$H$144,3,0)</f>
        <v>#N/A</v>
      </c>
      <c r="AA112" s="94" t="e">
        <f t="shared" si="34"/>
        <v>#N/A</v>
      </c>
      <c r="AB112" s="95" t="e">
        <f>VLOOKUP(U112,'BASE '!$A$4:$H$144,6,0)*Y112/100</f>
        <v>#N/A</v>
      </c>
      <c r="AC112" s="95" t="e">
        <f>VLOOKUP(U112,'BASE '!$A$4:$H$144,7,0)*Y112/100</f>
        <v>#N/A</v>
      </c>
      <c r="AD112" s="95" t="e">
        <f>VLOOKUP(U112,'BASE '!$A$4:$H$144,8,0)*Y112/100</f>
        <v>#N/A</v>
      </c>
      <c r="AE112" s="96" t="e">
        <f t="shared" si="36"/>
        <v>#N/A</v>
      </c>
      <c r="DN112" s="116" t="e">
        <f>(($I$5*#REF!)/100)+((#REF!*$J$5)/100)+(($K$5*#REF!)/100)+($L$5*#REF!)+($M$5*#REF!)</f>
        <v>#REF!</v>
      </c>
    </row>
    <row r="113" spans="2:118" x14ac:dyDescent="0.3">
      <c r="B113" s="64"/>
      <c r="C113" s="148"/>
      <c r="D113" s="109"/>
      <c r="E113" s="63"/>
      <c r="F113" s="127"/>
      <c r="G113" s="50"/>
      <c r="H113" s="10"/>
      <c r="I113" s="10"/>
      <c r="J113" s="10"/>
      <c r="K113" s="10"/>
      <c r="L113" s="10"/>
      <c r="M113" s="39"/>
      <c r="N113" s="33">
        <f t="shared" si="31"/>
        <v>0</v>
      </c>
      <c r="O113" s="52" t="b">
        <f>IF(AND(E113="CLIENT S+L",F113="HUILE"),(S113*3333.33+(VLOOKUP(H113,'BASE '!$I$112:$J$142,2,0)))-((S113*3333.33)*G113),IF(AND(E113="CLIENT S+L",F113="LAIT"),((S113*952.4)-(S113*952.4)*G113),IF(E113="CLIENT O","OFFERT",IF(AND(F113="HUILE",E113="CLIENT L"),(((VLOOKUP(H113,'BASE '!$I$112:$J$142,2,0))+(VLOOKUP(S113,'BASE '!#REF!,2,0)))),IF(AND(F113="LAIT",E113="CLIENT L"),(S113*952.4),IF(AND(F113="HUILE",E113="CLIENT D"),(S113*3809.53+(VLOOKUP(H113,'BASE '!$I$112:$J$142,2,0))),IF(AND(F113="LAIT",E113="CLIENT D"),(S113*952.4),IF(AND(F113="HUILE",E113="CLIENT S+D"),((S113*3809.53+(VLOOKUP(H113,'BASE '!$I$112:$J$142,2,0)))-((S113*3809.53)*G113)),IF(AND(F113="LAIT",E113="CLIENT S+D"),((S113*952.4)-((S113*952.4)*G113)),IF(AND(E113="CLIENT S",F113="LAIT"),((S113*952.4)-((S113*952.4)*G113)),IF(AND(F113="HUILE",E113="CLIENT S"),(VLOOKUP(H113,'BASE '!$I$112:$J$142,2,0)+(VLOOKUP(S113,'BASE '!#REF!,2,0)))-(G113*((VLOOKUP(S113,'BASE '!#REF!,2,0)+(VLOOKUP(H113,'BASE '!$I$112:$J$142,2,0))))))))))))))))</f>
        <v>0</v>
      </c>
      <c r="P113" s="52" t="b">
        <f t="shared" si="32"/>
        <v>0</v>
      </c>
      <c r="Q113" s="53" t="b">
        <f t="shared" si="33"/>
        <v>0</v>
      </c>
      <c r="R113" s="152" t="s">
        <v>175</v>
      </c>
      <c r="S113" s="184">
        <f t="shared" si="35"/>
        <v>0</v>
      </c>
      <c r="T113" s="124"/>
      <c r="U113" s="41" t="s">
        <v>175</v>
      </c>
      <c r="V113" s="70" t="e">
        <f>VLOOKUP(U113,'BASE '!$A$4:$H$144,2,0)</f>
        <v>#N/A</v>
      </c>
      <c r="W113" s="159"/>
      <c r="X113" s="159"/>
      <c r="Y113" s="160"/>
      <c r="Z113" s="158" t="e">
        <f>VLOOKUP(U113,'BASE '!$A$4:$H$144,3,0)</f>
        <v>#N/A</v>
      </c>
      <c r="AA113" s="94" t="e">
        <f t="shared" si="34"/>
        <v>#N/A</v>
      </c>
      <c r="AB113" s="95" t="e">
        <f>VLOOKUP(U113,'BASE '!$A$4:$H$144,6,0)*Y113/100</f>
        <v>#N/A</v>
      </c>
      <c r="AC113" s="95" t="e">
        <f>VLOOKUP(U113,'BASE '!$A$4:$H$144,7,0)*Y113/100</f>
        <v>#N/A</v>
      </c>
      <c r="AD113" s="95" t="e">
        <f>VLOOKUP(U113,'BASE '!$A$4:$H$144,8,0)*Y113/100</f>
        <v>#N/A</v>
      </c>
      <c r="AE113" s="96" t="e">
        <f t="shared" si="36"/>
        <v>#N/A</v>
      </c>
      <c r="DN113" s="116" t="e">
        <f>(($I$5*#REF!)/100)+((#REF!*$J$5)/100)+(($K$5*#REF!)/100)+($L$5*#REF!)+($M$5*#REF!)</f>
        <v>#REF!</v>
      </c>
    </row>
    <row r="114" spans="2:118" x14ac:dyDescent="0.3">
      <c r="B114" s="64"/>
      <c r="C114" s="148"/>
      <c r="D114" s="109"/>
      <c r="E114" s="63"/>
      <c r="F114" s="127"/>
      <c r="G114" s="50"/>
      <c r="H114" s="10"/>
      <c r="I114" s="10"/>
      <c r="J114" s="10"/>
      <c r="K114" s="10"/>
      <c r="L114" s="10"/>
      <c r="M114" s="39"/>
      <c r="N114" s="33">
        <f t="shared" si="31"/>
        <v>0</v>
      </c>
      <c r="O114" s="52" t="b">
        <f>IF(AND(E114="CLIENT S+L",F114="HUILE"),(S114*3333.33+(VLOOKUP(H114,'BASE '!$I$112:$J$142,2,0)))-((S114*3333.33)*G114),IF(AND(E114="CLIENT S+L",F114="LAIT"),((S114*952.4)-(S114*952.4)*G114),IF(E114="CLIENT O","OFFERT",IF(AND(F114="HUILE",E114="CLIENT L"),(((VLOOKUP(H114,'BASE '!$I$112:$J$142,2,0))+(VLOOKUP(S114,'BASE '!#REF!,2,0)))),IF(AND(F114="LAIT",E114="CLIENT L"),(S114*952.4),IF(AND(F114="HUILE",E114="CLIENT D"),(S114*3809.53+(VLOOKUP(H114,'BASE '!$I$112:$J$142,2,0))),IF(AND(F114="LAIT",E114="CLIENT D"),(S114*952.4),IF(AND(F114="HUILE",E114="CLIENT S+D"),((S114*3809.53+(VLOOKUP(H114,'BASE '!$I$112:$J$142,2,0)))-((S114*3809.53)*G114)),IF(AND(F114="LAIT",E114="CLIENT S+D"),((S114*952.4)-((S114*952.4)*G114)),IF(AND(E114="CLIENT S",F114="LAIT"),((S114*952.4)-((S114*952.4)*G114)),IF(AND(F114="HUILE",E114="CLIENT S"),(VLOOKUP(H114,'BASE '!$I$112:$J$142,2,0)+(VLOOKUP(S114,'BASE '!#REF!,2,0)))-(G114*((VLOOKUP(S114,'BASE '!#REF!,2,0)+(VLOOKUP(H114,'BASE '!$I$112:$J$142,2,0))))))))))))))))</f>
        <v>0</v>
      </c>
      <c r="P114" s="52" t="b">
        <f t="shared" si="32"/>
        <v>0</v>
      </c>
      <c r="Q114" s="53" t="b">
        <f t="shared" si="33"/>
        <v>0</v>
      </c>
      <c r="R114" s="152" t="s">
        <v>175</v>
      </c>
      <c r="S114" s="184">
        <f t="shared" si="35"/>
        <v>0</v>
      </c>
      <c r="T114" s="124"/>
      <c r="U114" s="41" t="s">
        <v>175</v>
      </c>
      <c r="V114" s="70" t="e">
        <f>VLOOKUP(U114,'BASE '!$A$4:$H$144,2,0)</f>
        <v>#N/A</v>
      </c>
      <c r="W114" s="159"/>
      <c r="X114" s="159"/>
      <c r="Y114" s="160"/>
      <c r="Z114" s="158" t="e">
        <f>VLOOKUP(U114,'BASE '!$A$4:$H$144,3,0)</f>
        <v>#N/A</v>
      </c>
      <c r="AA114" s="94" t="e">
        <f t="shared" si="34"/>
        <v>#N/A</v>
      </c>
      <c r="AB114" s="95" t="e">
        <f>VLOOKUP(U114,'BASE '!$A$4:$H$144,6,0)*Y114/100</f>
        <v>#N/A</v>
      </c>
      <c r="AC114" s="95" t="e">
        <f>VLOOKUP(U114,'BASE '!$A$4:$H$144,7,0)*Y114/100</f>
        <v>#N/A</v>
      </c>
      <c r="AD114" s="95" t="e">
        <f>VLOOKUP(U114,'BASE '!$A$4:$H$144,8,0)*Y114/100</f>
        <v>#N/A</v>
      </c>
      <c r="AE114" s="96" t="e">
        <f t="shared" si="36"/>
        <v>#N/A</v>
      </c>
      <c r="DN114" s="116" t="e">
        <f>(($I$5*#REF!)/100)+((#REF!*$J$5)/100)+(($K$5*#REF!)/100)+($L$5*#REF!)+($M$5*#REF!)</f>
        <v>#REF!</v>
      </c>
    </row>
    <row r="115" spans="2:118" x14ac:dyDescent="0.3">
      <c r="B115" s="64"/>
      <c r="C115" s="148"/>
      <c r="D115" s="109"/>
      <c r="E115" s="63"/>
      <c r="F115" s="127"/>
      <c r="G115" s="50"/>
      <c r="H115" s="10"/>
      <c r="I115" s="10"/>
      <c r="J115" s="10"/>
      <c r="K115" s="10"/>
      <c r="L115" s="10"/>
      <c r="M115" s="39"/>
      <c r="N115" s="33">
        <f t="shared" si="31"/>
        <v>0</v>
      </c>
      <c r="O115" s="52" t="b">
        <f>IF(AND(E115="CLIENT S+L",F115="HUILE"),(S115*3333.33+(VLOOKUP(H115,'BASE '!$I$112:$J$142,2,0)))-((S115*3333.33)*G115),IF(AND(E115="CLIENT S+L",F115="LAIT"),((S115*952.4)-(S115*952.4)*G115),IF(E115="CLIENT O","OFFERT",IF(AND(F115="HUILE",E115="CLIENT L"),(((VLOOKUP(H115,'BASE '!$I$112:$J$142,2,0))+(VLOOKUP(S115,'BASE '!#REF!,2,0)))),IF(AND(F115="LAIT",E115="CLIENT L"),(S115*952.4),IF(AND(F115="HUILE",E115="CLIENT D"),(S115*3809.53+(VLOOKUP(H115,'BASE '!$I$112:$J$142,2,0))),IF(AND(F115="LAIT",E115="CLIENT D"),(S115*952.4),IF(AND(F115="HUILE",E115="CLIENT S+D"),((S115*3809.53+(VLOOKUP(H115,'BASE '!$I$112:$J$142,2,0)))-((S115*3809.53)*G115)),IF(AND(F115="LAIT",E115="CLIENT S+D"),((S115*952.4)-((S115*952.4)*G115)),IF(AND(E115="CLIENT S",F115="LAIT"),((S115*952.4)-((S115*952.4)*G115)),IF(AND(F115="HUILE",E115="CLIENT S"),(VLOOKUP(H115,'BASE '!$I$112:$J$142,2,0)+(VLOOKUP(S115,'BASE '!#REF!,2,0)))-(G115*((VLOOKUP(S115,'BASE '!#REF!,2,0)+(VLOOKUP(H115,'BASE '!$I$112:$J$142,2,0))))))))))))))))</f>
        <v>0</v>
      </c>
      <c r="P115" s="52" t="b">
        <f t="shared" si="32"/>
        <v>0</v>
      </c>
      <c r="Q115" s="53" t="b">
        <f t="shared" si="33"/>
        <v>0</v>
      </c>
      <c r="R115" s="152" t="s">
        <v>175</v>
      </c>
      <c r="S115" s="184">
        <f t="shared" si="35"/>
        <v>0</v>
      </c>
      <c r="T115" s="124"/>
      <c r="U115" s="41" t="s">
        <v>175</v>
      </c>
      <c r="V115" s="70" t="e">
        <f>VLOOKUP(U115,'BASE '!$A$4:$H$144,2,0)</f>
        <v>#N/A</v>
      </c>
      <c r="W115" s="159"/>
      <c r="X115" s="159"/>
      <c r="Y115" s="160"/>
      <c r="Z115" s="158" t="e">
        <f>VLOOKUP(U115,'BASE '!$A$4:$H$144,3,0)</f>
        <v>#N/A</v>
      </c>
      <c r="AA115" s="94" t="e">
        <f t="shared" si="34"/>
        <v>#N/A</v>
      </c>
      <c r="AB115" s="95" t="e">
        <f>VLOOKUP(U115,'BASE '!$A$4:$H$144,6,0)*Y115/100</f>
        <v>#N/A</v>
      </c>
      <c r="AC115" s="95" t="e">
        <f>VLOOKUP(U115,'BASE '!$A$4:$H$144,7,0)*Y115/100</f>
        <v>#N/A</v>
      </c>
      <c r="AD115" s="95" t="e">
        <f>VLOOKUP(U115,'BASE '!$A$4:$H$144,8,0)*Y115/100</f>
        <v>#N/A</v>
      </c>
      <c r="AE115" s="96" t="e">
        <f t="shared" si="36"/>
        <v>#N/A</v>
      </c>
      <c r="DN115" s="116" t="e">
        <f>(($I$5*#REF!)/100)+((#REF!*$J$5)/100)+(($K$5*#REF!)/100)+($L$5*#REF!)+($M$5*#REF!)</f>
        <v>#REF!</v>
      </c>
    </row>
    <row r="116" spans="2:118" x14ac:dyDescent="0.3">
      <c r="B116" s="64"/>
      <c r="C116" s="148"/>
      <c r="D116" s="109"/>
      <c r="E116" s="63"/>
      <c r="F116" s="127"/>
      <c r="G116" s="50"/>
      <c r="H116" s="10"/>
      <c r="I116" s="10"/>
      <c r="J116" s="10"/>
      <c r="K116" s="10"/>
      <c r="L116" s="10"/>
      <c r="M116" s="39"/>
      <c r="N116" s="33">
        <f t="shared" si="31"/>
        <v>0</v>
      </c>
      <c r="O116" s="52" t="b">
        <f>IF(AND(E116="CLIENT S+L",F116="HUILE"),(S116*3333.33+(VLOOKUP(H116,'BASE '!$I$112:$J$142,2,0)))-((S116*3333.33)*G116),IF(AND(E116="CLIENT S+L",F116="LAIT"),((S116*952.4)-(S116*952.4)*G116),IF(E116="CLIENT O","OFFERT",IF(AND(F116="HUILE",E116="CLIENT L"),(((VLOOKUP(H116,'BASE '!$I$112:$J$142,2,0))+(VLOOKUP(S116,'BASE '!#REF!,2,0)))),IF(AND(F116="LAIT",E116="CLIENT L"),(S116*952.4),IF(AND(F116="HUILE",E116="CLIENT D"),(S116*3809.53+(VLOOKUP(H116,'BASE '!$I$112:$J$142,2,0))),IF(AND(F116="LAIT",E116="CLIENT D"),(S116*952.4),IF(AND(F116="HUILE",E116="CLIENT S+D"),((S116*3809.53+(VLOOKUP(H116,'BASE '!$I$112:$J$142,2,0)))-((S116*3809.53)*G116)),IF(AND(F116="LAIT",E116="CLIENT S+D"),((S116*952.4)-((S116*952.4)*G116)),IF(AND(E116="CLIENT S",F116="LAIT"),((S116*952.4)-((S116*952.4)*G116)),IF(AND(F116="HUILE",E116="CLIENT S"),(VLOOKUP(H116,'BASE '!$I$112:$J$142,2,0)+(VLOOKUP(S116,'BASE '!#REF!,2,0)))-(G116*((VLOOKUP(S116,'BASE '!#REF!,2,0)+(VLOOKUP(H116,'BASE '!$I$112:$J$142,2,0))))))))))))))))</f>
        <v>0</v>
      </c>
      <c r="P116" s="52" t="b">
        <f t="shared" si="32"/>
        <v>0</v>
      </c>
      <c r="Q116" s="53" t="b">
        <f t="shared" si="33"/>
        <v>0</v>
      </c>
      <c r="R116" s="152" t="s">
        <v>175</v>
      </c>
      <c r="S116" s="184">
        <f t="shared" si="35"/>
        <v>0</v>
      </c>
      <c r="T116" s="124"/>
      <c r="U116" s="41" t="s">
        <v>175</v>
      </c>
      <c r="V116" s="70" t="e">
        <f>VLOOKUP(U116,'BASE '!$A$4:$H$144,2,0)</f>
        <v>#N/A</v>
      </c>
      <c r="W116" s="159"/>
      <c r="X116" s="159"/>
      <c r="Y116" s="160"/>
      <c r="Z116" s="158" t="e">
        <f>VLOOKUP(U116,'BASE '!$A$4:$H$144,3,0)</f>
        <v>#N/A</v>
      </c>
      <c r="AA116" s="94" t="e">
        <f t="shared" si="34"/>
        <v>#N/A</v>
      </c>
      <c r="AB116" s="95" t="e">
        <f>VLOOKUP(U116,'BASE '!$A$4:$H$144,6,0)*Y116/100</f>
        <v>#N/A</v>
      </c>
      <c r="AC116" s="95" t="e">
        <f>VLOOKUP(U116,'BASE '!$A$4:$H$144,7,0)*Y116/100</f>
        <v>#N/A</v>
      </c>
      <c r="AD116" s="95" t="e">
        <f>VLOOKUP(U116,'BASE '!$A$4:$H$144,8,0)*Y116/100</f>
        <v>#N/A</v>
      </c>
      <c r="AE116" s="96" t="e">
        <f t="shared" si="36"/>
        <v>#N/A</v>
      </c>
      <c r="DN116" s="116" t="e">
        <f>(($I$5*#REF!)/100)+((#REF!*$J$5)/100)+(($K$5*#REF!)/100)+($L$5*#REF!)+($M$5*#REF!)</f>
        <v>#REF!</v>
      </c>
    </row>
    <row r="117" spans="2:118" x14ac:dyDescent="0.3">
      <c r="B117" s="64"/>
      <c r="C117" s="148"/>
      <c r="D117" s="109"/>
      <c r="E117" s="63"/>
      <c r="F117" s="127"/>
      <c r="G117" s="50"/>
      <c r="H117" s="10"/>
      <c r="I117" s="10"/>
      <c r="J117" s="10"/>
      <c r="K117" s="10"/>
      <c r="L117" s="10"/>
      <c r="M117" s="39"/>
      <c r="N117" s="33">
        <f t="shared" si="31"/>
        <v>0</v>
      </c>
      <c r="O117" s="52" t="b">
        <f>IF(AND(E117="CLIENT S+L",F117="HUILE"),(S117*3333.33+(VLOOKUP(H117,'BASE '!$I$112:$J$142,2,0)))-((S117*3333.33)*G117),IF(AND(E117="CLIENT S+L",F117="LAIT"),((S117*952.4)-(S117*952.4)*G117),IF(E117="CLIENT O","OFFERT",IF(AND(F117="HUILE",E117="CLIENT L"),(((VLOOKUP(H117,'BASE '!$I$112:$J$142,2,0))+(VLOOKUP(S117,'BASE '!#REF!,2,0)))),IF(AND(F117="LAIT",E117="CLIENT L"),(S117*952.4),IF(AND(F117="HUILE",E117="CLIENT D"),(S117*3809.53+(VLOOKUP(H117,'BASE '!$I$112:$J$142,2,0))),IF(AND(F117="LAIT",E117="CLIENT D"),(S117*952.4),IF(AND(F117="HUILE",E117="CLIENT S+D"),((S117*3809.53+(VLOOKUP(H117,'BASE '!$I$112:$J$142,2,0)))-((S117*3809.53)*G117)),IF(AND(F117="LAIT",E117="CLIENT S+D"),((S117*952.4)-((S117*952.4)*G117)),IF(AND(E117="CLIENT S",F117="LAIT"),((S117*952.4)-((S117*952.4)*G117)),IF(AND(F117="HUILE",E117="CLIENT S"),(VLOOKUP(H117,'BASE '!$I$112:$J$142,2,0)+(VLOOKUP(S117,'BASE '!#REF!,2,0)))-(G117*((VLOOKUP(S117,'BASE '!#REF!,2,0)+(VLOOKUP(H117,'BASE '!$I$112:$J$142,2,0))))))))))))))))</f>
        <v>0</v>
      </c>
      <c r="P117" s="52" t="b">
        <f t="shared" si="32"/>
        <v>0</v>
      </c>
      <c r="Q117" s="53" t="b">
        <f t="shared" si="33"/>
        <v>0</v>
      </c>
      <c r="R117" s="152" t="s">
        <v>175</v>
      </c>
      <c r="S117" s="184">
        <f t="shared" si="35"/>
        <v>0</v>
      </c>
      <c r="T117" s="124"/>
      <c r="U117" s="41" t="s">
        <v>175</v>
      </c>
      <c r="V117" s="70" t="e">
        <f>VLOOKUP(U117,'BASE '!$A$4:$H$144,2,0)</f>
        <v>#N/A</v>
      </c>
      <c r="W117" s="159"/>
      <c r="X117" s="159"/>
      <c r="Y117" s="160"/>
      <c r="Z117" s="158" t="e">
        <f>VLOOKUP(U117,'BASE '!$A$4:$H$144,3,0)</f>
        <v>#N/A</v>
      </c>
      <c r="AA117" s="94" t="e">
        <f t="shared" si="34"/>
        <v>#N/A</v>
      </c>
      <c r="AB117" s="95" t="e">
        <f>VLOOKUP(U117,'BASE '!$A$4:$H$144,6,0)*Y117/100</f>
        <v>#N/A</v>
      </c>
      <c r="AC117" s="95" t="e">
        <f>VLOOKUP(U117,'BASE '!$A$4:$H$144,7,0)*Y117/100</f>
        <v>#N/A</v>
      </c>
      <c r="AD117" s="95" t="e">
        <f>VLOOKUP(U117,'BASE '!$A$4:$H$144,8,0)*Y117/100</f>
        <v>#N/A</v>
      </c>
      <c r="AE117" s="96" t="e">
        <f t="shared" si="36"/>
        <v>#N/A</v>
      </c>
      <c r="DN117" s="116" t="e">
        <f>(($I$5*#REF!)/100)+((#REF!*$J$5)/100)+(($K$5*#REF!)/100)+($L$5*#REF!)+($M$5*#REF!)</f>
        <v>#REF!</v>
      </c>
    </row>
    <row r="118" spans="2:118" x14ac:dyDescent="0.3">
      <c r="B118" s="64"/>
      <c r="C118" s="148"/>
      <c r="D118" s="109"/>
      <c r="E118" s="63"/>
      <c r="F118" s="127"/>
      <c r="G118" s="50"/>
      <c r="H118" s="10"/>
      <c r="I118" s="10"/>
      <c r="J118" s="10"/>
      <c r="K118" s="10"/>
      <c r="L118" s="10"/>
      <c r="M118" s="39"/>
      <c r="N118" s="33">
        <f t="shared" si="31"/>
        <v>0</v>
      </c>
      <c r="O118" s="52" t="b">
        <f>IF(AND(E118="CLIENT S+L",F118="HUILE"),(S118*3333.33+(VLOOKUP(H118,'BASE '!$I$112:$J$142,2,0)))-((S118*3333.33)*G118),IF(AND(E118="CLIENT S+L",F118="LAIT"),((S118*952.4)-(S118*952.4)*G118),IF(E118="CLIENT O","OFFERT",IF(AND(F118="HUILE",E118="CLIENT L"),(((VLOOKUP(H118,'BASE '!$I$112:$J$142,2,0))+(VLOOKUP(S118,'BASE '!#REF!,2,0)))),IF(AND(F118="LAIT",E118="CLIENT L"),(S118*952.4),IF(AND(F118="HUILE",E118="CLIENT D"),(S118*3809.53+(VLOOKUP(H118,'BASE '!$I$112:$J$142,2,0))),IF(AND(F118="LAIT",E118="CLIENT D"),(S118*952.4),IF(AND(F118="HUILE",E118="CLIENT S+D"),((S118*3809.53+(VLOOKUP(H118,'BASE '!$I$112:$J$142,2,0)))-((S118*3809.53)*G118)),IF(AND(F118="LAIT",E118="CLIENT S+D"),((S118*952.4)-((S118*952.4)*G118)),IF(AND(E118="CLIENT S",F118="LAIT"),((S118*952.4)-((S118*952.4)*G118)),IF(AND(F118="HUILE",E118="CLIENT S"),(VLOOKUP(H118,'BASE '!$I$112:$J$142,2,0)+(VLOOKUP(S118,'BASE '!#REF!,2,0)))-(G118*((VLOOKUP(S118,'BASE '!#REF!,2,0)+(VLOOKUP(H118,'BASE '!$I$112:$J$142,2,0))))))))))))))))</f>
        <v>0</v>
      </c>
      <c r="P118" s="52" t="b">
        <f t="shared" si="32"/>
        <v>0</v>
      </c>
      <c r="Q118" s="53" t="b">
        <f t="shared" si="33"/>
        <v>0</v>
      </c>
      <c r="R118" s="152" t="s">
        <v>175</v>
      </c>
      <c r="S118" s="184">
        <f t="shared" si="35"/>
        <v>0</v>
      </c>
      <c r="T118" s="124"/>
      <c r="U118" s="41" t="s">
        <v>175</v>
      </c>
      <c r="V118" s="70" t="e">
        <f>VLOOKUP(U118,'BASE '!$A$4:$H$144,2,0)</f>
        <v>#N/A</v>
      </c>
      <c r="W118" s="159"/>
      <c r="X118" s="159"/>
      <c r="Y118" s="160"/>
      <c r="Z118" s="158" t="e">
        <f>VLOOKUP(U118,'BASE '!$A$4:$H$144,3,0)</f>
        <v>#N/A</v>
      </c>
      <c r="AA118" s="94" t="e">
        <f t="shared" si="34"/>
        <v>#N/A</v>
      </c>
      <c r="AB118" s="95" t="e">
        <f>VLOOKUP(U118,'BASE '!$A$4:$H$144,6,0)*Y118/100</f>
        <v>#N/A</v>
      </c>
      <c r="AC118" s="95" t="e">
        <f>VLOOKUP(U118,'BASE '!$A$4:$H$144,7,0)*Y118/100</f>
        <v>#N/A</v>
      </c>
      <c r="AD118" s="95" t="e">
        <f>VLOOKUP(U118,'BASE '!$A$4:$H$144,8,0)*Y118/100</f>
        <v>#N/A</v>
      </c>
      <c r="AE118" s="96" t="e">
        <f t="shared" si="36"/>
        <v>#N/A</v>
      </c>
      <c r="DN118" s="116" t="e">
        <f>(($I$5*#REF!)/100)+((#REF!*$J$5)/100)+(($K$5*#REF!)/100)+($L$5*#REF!)+($M$5*#REF!)</f>
        <v>#REF!</v>
      </c>
    </row>
    <row r="119" spans="2:118" x14ac:dyDescent="0.3">
      <c r="B119" s="64"/>
      <c r="C119" s="148"/>
      <c r="D119" s="109"/>
      <c r="E119" s="63"/>
      <c r="F119" s="127"/>
      <c r="G119" s="50"/>
      <c r="H119" s="10"/>
      <c r="I119" s="10"/>
      <c r="J119" s="10"/>
      <c r="K119" s="10"/>
      <c r="L119" s="10"/>
      <c r="M119" s="39"/>
      <c r="N119" s="33">
        <f t="shared" si="31"/>
        <v>0</v>
      </c>
      <c r="O119" s="52" t="b">
        <f>IF(AND(E119="CLIENT S+L",F119="HUILE"),(S119*3333.33+(VLOOKUP(H119,'BASE '!$I$112:$J$142,2,0)))-((S119*3333.33)*G119),IF(AND(E119="CLIENT S+L",F119="LAIT"),((S119*952.4)-(S119*952.4)*G119),IF(E119="CLIENT O","OFFERT",IF(AND(F119="HUILE",E119="CLIENT L"),(((VLOOKUP(H119,'BASE '!$I$112:$J$142,2,0))+(VLOOKUP(S119,'BASE '!#REF!,2,0)))),IF(AND(F119="LAIT",E119="CLIENT L"),(S119*952.4),IF(AND(F119="HUILE",E119="CLIENT D"),(S119*3809.53+(VLOOKUP(H119,'BASE '!$I$112:$J$142,2,0))),IF(AND(F119="LAIT",E119="CLIENT D"),(S119*952.4),IF(AND(F119="HUILE",E119="CLIENT S+D"),((S119*3809.53+(VLOOKUP(H119,'BASE '!$I$112:$J$142,2,0)))-((S119*3809.53)*G119)),IF(AND(F119="LAIT",E119="CLIENT S+D"),((S119*952.4)-((S119*952.4)*G119)),IF(AND(E119="CLIENT S",F119="LAIT"),((S119*952.4)-((S119*952.4)*G119)),IF(AND(F119="HUILE",E119="CLIENT S"),(VLOOKUP(H119,'BASE '!$I$112:$J$142,2,0)+(VLOOKUP(S119,'BASE '!#REF!,2,0)))-(G119*((VLOOKUP(S119,'BASE '!#REF!,2,0)+(VLOOKUP(H119,'BASE '!$I$112:$J$142,2,0))))))))))))))))</f>
        <v>0</v>
      </c>
      <c r="P119" s="52" t="b">
        <f t="shared" si="32"/>
        <v>0</v>
      </c>
      <c r="Q119" s="53" t="b">
        <f t="shared" si="33"/>
        <v>0</v>
      </c>
      <c r="R119" s="152" t="s">
        <v>175</v>
      </c>
      <c r="S119" s="184">
        <f t="shared" si="35"/>
        <v>0</v>
      </c>
      <c r="T119" s="124"/>
      <c r="U119" s="41" t="s">
        <v>175</v>
      </c>
      <c r="V119" s="70" t="e">
        <f>VLOOKUP(U119,'BASE '!$A$4:$H$144,2,0)</f>
        <v>#N/A</v>
      </c>
      <c r="W119" s="159"/>
      <c r="X119" s="159"/>
      <c r="Y119" s="160"/>
      <c r="Z119" s="158" t="e">
        <f>VLOOKUP(U119,'BASE '!$A$4:$H$144,3,0)</f>
        <v>#N/A</v>
      </c>
      <c r="AA119" s="94" t="e">
        <f t="shared" si="34"/>
        <v>#N/A</v>
      </c>
      <c r="AB119" s="95" t="e">
        <f>VLOOKUP(U119,'BASE '!$A$4:$H$144,6,0)*Y119/100</f>
        <v>#N/A</v>
      </c>
      <c r="AC119" s="95" t="e">
        <f>VLOOKUP(U119,'BASE '!$A$4:$H$144,7,0)*Y119/100</f>
        <v>#N/A</v>
      </c>
      <c r="AD119" s="95" t="e">
        <f>VLOOKUP(U119,'BASE '!$A$4:$H$144,8,0)*Y119/100</f>
        <v>#N/A</v>
      </c>
      <c r="AE119" s="96" t="e">
        <f t="shared" si="36"/>
        <v>#N/A</v>
      </c>
      <c r="DN119" s="116" t="e">
        <f>(($I$5*#REF!)/100)+((#REF!*$J$5)/100)+(($K$5*#REF!)/100)+($L$5*#REF!)+($M$5*#REF!)</f>
        <v>#REF!</v>
      </c>
    </row>
    <row r="120" spans="2:118" x14ac:dyDescent="0.3">
      <c r="B120" s="64"/>
      <c r="C120" s="148"/>
      <c r="D120" s="109"/>
      <c r="E120" s="63"/>
      <c r="F120" s="127"/>
      <c r="G120" s="50"/>
      <c r="H120" s="10"/>
      <c r="I120" s="10"/>
      <c r="J120" s="10"/>
      <c r="K120" s="10"/>
      <c r="L120" s="10"/>
      <c r="M120" s="39"/>
      <c r="N120" s="33">
        <f t="shared" si="31"/>
        <v>0</v>
      </c>
      <c r="O120" s="52" t="b">
        <f>IF(AND(E120="CLIENT S+L",F120="HUILE"),(S120*3333.33+(VLOOKUP(H120,'BASE '!$I$112:$J$142,2,0)))-((S120*3333.33)*G120),IF(AND(E120="CLIENT S+L",F120="LAIT"),((S120*952.4)-(S120*952.4)*G120),IF(E120="CLIENT O","OFFERT",IF(AND(F120="HUILE",E120="CLIENT L"),(((VLOOKUP(H120,'BASE '!$I$112:$J$142,2,0))+(VLOOKUP(S120,'BASE '!#REF!,2,0)))),IF(AND(F120="LAIT",E120="CLIENT L"),(S120*952.4),IF(AND(F120="HUILE",E120="CLIENT D"),(S120*3809.53+(VLOOKUP(H120,'BASE '!$I$112:$J$142,2,0))),IF(AND(F120="LAIT",E120="CLIENT D"),(S120*952.4),IF(AND(F120="HUILE",E120="CLIENT S+D"),((S120*3809.53+(VLOOKUP(H120,'BASE '!$I$112:$J$142,2,0)))-((S120*3809.53)*G120)),IF(AND(F120="LAIT",E120="CLIENT S+D"),((S120*952.4)-((S120*952.4)*G120)),IF(AND(E120="CLIENT S",F120="LAIT"),((S120*952.4)-((S120*952.4)*G120)),IF(AND(F120="HUILE",E120="CLIENT S"),(VLOOKUP(H120,'BASE '!$I$112:$J$142,2,0)+(VLOOKUP(S120,'BASE '!#REF!,2,0)))-(G120*((VLOOKUP(S120,'BASE '!#REF!,2,0)+(VLOOKUP(H120,'BASE '!$I$112:$J$142,2,0))))))))))))))))</f>
        <v>0</v>
      </c>
      <c r="P120" s="52" t="b">
        <f t="shared" si="32"/>
        <v>0</v>
      </c>
      <c r="Q120" s="53" t="b">
        <f t="shared" si="33"/>
        <v>0</v>
      </c>
      <c r="R120" s="152" t="s">
        <v>175</v>
      </c>
      <c r="S120" s="184">
        <f t="shared" si="35"/>
        <v>0</v>
      </c>
      <c r="T120" s="124"/>
      <c r="U120" s="41" t="s">
        <v>175</v>
      </c>
      <c r="V120" s="70" t="e">
        <f>VLOOKUP(U120,'BASE '!$A$4:$H$144,2,0)</f>
        <v>#N/A</v>
      </c>
      <c r="W120" s="159"/>
      <c r="X120" s="159"/>
      <c r="Y120" s="160"/>
      <c r="Z120" s="158" t="e">
        <f>VLOOKUP(U120,'BASE '!$A$4:$H$144,3,0)</f>
        <v>#N/A</v>
      </c>
      <c r="AA120" s="94" t="e">
        <f t="shared" si="34"/>
        <v>#N/A</v>
      </c>
      <c r="AB120" s="95" t="e">
        <f>VLOOKUP(U120,'BASE '!$A$4:$H$144,6,0)*Y120/100</f>
        <v>#N/A</v>
      </c>
      <c r="AC120" s="95" t="e">
        <f>VLOOKUP(U120,'BASE '!$A$4:$H$144,7,0)*Y120/100</f>
        <v>#N/A</v>
      </c>
      <c r="AD120" s="95" t="e">
        <f>VLOOKUP(U120,'BASE '!$A$4:$H$144,8,0)*Y120/100</f>
        <v>#N/A</v>
      </c>
      <c r="AE120" s="96" t="e">
        <f t="shared" si="36"/>
        <v>#N/A</v>
      </c>
      <c r="DN120" s="116" t="e">
        <f>(($I$5*#REF!)/100)+((#REF!*$J$5)/100)+(($K$5*#REF!)/100)+($L$5*#REF!)+($M$5*#REF!)</f>
        <v>#REF!</v>
      </c>
    </row>
    <row r="121" spans="2:118" x14ac:dyDescent="0.3">
      <c r="B121" s="64"/>
      <c r="C121" s="148"/>
      <c r="D121" s="109"/>
      <c r="E121" s="63"/>
      <c r="F121" s="127"/>
      <c r="G121" s="50"/>
      <c r="H121" s="10"/>
      <c r="I121" s="10"/>
      <c r="J121" s="10"/>
      <c r="K121" s="10"/>
      <c r="L121" s="10"/>
      <c r="M121" s="39"/>
      <c r="N121" s="33">
        <f t="shared" si="31"/>
        <v>0</v>
      </c>
      <c r="O121" s="52" t="b">
        <f>IF(AND(E121="CLIENT S+L",F121="HUILE"),(S121*3333.33+(VLOOKUP(H121,'BASE '!$I$112:$J$142,2,0)))-((S121*3333.33)*G121),IF(AND(E121="CLIENT S+L",F121="LAIT"),((S121*952.4)-(S121*952.4)*G121),IF(E121="CLIENT O","OFFERT",IF(AND(F121="HUILE",E121="CLIENT L"),(((VLOOKUP(H121,'BASE '!$I$112:$J$142,2,0))+(VLOOKUP(S121,'BASE '!#REF!,2,0)))),IF(AND(F121="LAIT",E121="CLIENT L"),(S121*952.4),IF(AND(F121="HUILE",E121="CLIENT D"),(S121*3809.53+(VLOOKUP(H121,'BASE '!$I$112:$J$142,2,0))),IF(AND(F121="LAIT",E121="CLIENT D"),(S121*952.4),IF(AND(F121="HUILE",E121="CLIENT S+D"),((S121*3809.53+(VLOOKUP(H121,'BASE '!$I$112:$J$142,2,0)))-((S121*3809.53)*G121)),IF(AND(F121="LAIT",E121="CLIENT S+D"),((S121*952.4)-((S121*952.4)*G121)),IF(AND(E121="CLIENT S",F121="LAIT"),((S121*952.4)-((S121*952.4)*G121)),IF(AND(F121="HUILE",E121="CLIENT S"),(VLOOKUP(H121,'BASE '!$I$112:$J$142,2,0)+(VLOOKUP(S121,'BASE '!#REF!,2,0)))-(G121*((VLOOKUP(S121,'BASE '!#REF!,2,0)+(VLOOKUP(H121,'BASE '!$I$112:$J$142,2,0))))))))))))))))</f>
        <v>0</v>
      </c>
      <c r="P121" s="52" t="b">
        <f t="shared" si="32"/>
        <v>0</v>
      </c>
      <c r="Q121" s="53" t="b">
        <f t="shared" si="33"/>
        <v>0</v>
      </c>
      <c r="R121" s="152" t="s">
        <v>175</v>
      </c>
      <c r="S121" s="184">
        <f t="shared" si="35"/>
        <v>0</v>
      </c>
      <c r="T121" s="124"/>
      <c r="U121" s="41" t="s">
        <v>175</v>
      </c>
      <c r="V121" s="70" t="e">
        <f>VLOOKUP(U121,'BASE '!$A$4:$H$144,2,0)</f>
        <v>#N/A</v>
      </c>
      <c r="W121" s="159"/>
      <c r="X121" s="159"/>
      <c r="Y121" s="160"/>
      <c r="Z121" s="158" t="e">
        <f>VLOOKUP(U121,'BASE '!$A$4:$H$144,3,0)</f>
        <v>#N/A</v>
      </c>
      <c r="AA121" s="94" t="e">
        <f t="shared" si="34"/>
        <v>#N/A</v>
      </c>
      <c r="AB121" s="95" t="e">
        <f>VLOOKUP(U121,'BASE '!$A$4:$H$144,6,0)*Y121/100</f>
        <v>#N/A</v>
      </c>
      <c r="AC121" s="95" t="e">
        <f>VLOOKUP(U121,'BASE '!$A$4:$H$144,7,0)*Y121/100</f>
        <v>#N/A</v>
      </c>
      <c r="AD121" s="95" t="e">
        <f>VLOOKUP(U121,'BASE '!$A$4:$H$144,8,0)*Y121/100</f>
        <v>#N/A</v>
      </c>
      <c r="AE121" s="96" t="e">
        <f t="shared" si="36"/>
        <v>#N/A</v>
      </c>
      <c r="DN121" s="116" t="e">
        <f>(($I$5*#REF!)/100)+((#REF!*$J$5)/100)+(($K$5*#REF!)/100)+($L$5*#REF!)+($M$5*#REF!)</f>
        <v>#REF!</v>
      </c>
    </row>
    <row r="122" spans="2:118" x14ac:dyDescent="0.3">
      <c r="B122" s="64"/>
      <c r="C122" s="148"/>
      <c r="D122" s="109"/>
      <c r="E122" s="63"/>
      <c r="F122" s="127"/>
      <c r="G122" s="50"/>
      <c r="H122" s="10"/>
      <c r="I122" s="10"/>
      <c r="J122" s="10"/>
      <c r="K122" s="10"/>
      <c r="L122" s="10"/>
      <c r="M122" s="39"/>
      <c r="N122" s="33">
        <f t="shared" si="31"/>
        <v>0</v>
      </c>
      <c r="O122" s="52" t="b">
        <f>IF(AND(E122="CLIENT S+L",F122="HUILE"),(S122*3333.33+(VLOOKUP(H122,'BASE '!$I$112:$J$142,2,0)))-((S122*3333.33)*G122),IF(AND(E122="CLIENT S+L",F122="LAIT"),((S122*952.4)-(S122*952.4)*G122),IF(E122="CLIENT O","OFFERT",IF(AND(F122="HUILE",E122="CLIENT L"),(((VLOOKUP(H122,'BASE '!$I$112:$J$142,2,0))+(VLOOKUP(S122,'BASE '!#REF!,2,0)))),IF(AND(F122="LAIT",E122="CLIENT L"),(S122*952.4),IF(AND(F122="HUILE",E122="CLIENT D"),(S122*3809.53+(VLOOKUP(H122,'BASE '!$I$112:$J$142,2,0))),IF(AND(F122="LAIT",E122="CLIENT D"),(S122*952.4),IF(AND(F122="HUILE",E122="CLIENT S+D"),((S122*3809.53+(VLOOKUP(H122,'BASE '!$I$112:$J$142,2,0)))-((S122*3809.53)*G122)),IF(AND(F122="LAIT",E122="CLIENT S+D"),((S122*952.4)-((S122*952.4)*G122)),IF(AND(E122="CLIENT S",F122="LAIT"),((S122*952.4)-((S122*952.4)*G122)),IF(AND(F122="HUILE",E122="CLIENT S"),(VLOOKUP(H122,'BASE '!$I$112:$J$142,2,0)+(VLOOKUP(S122,'BASE '!#REF!,2,0)))-(G122*((VLOOKUP(S122,'BASE '!#REF!,2,0)+(VLOOKUP(H122,'BASE '!$I$112:$J$142,2,0))))))))))))))))</f>
        <v>0</v>
      </c>
      <c r="P122" s="52" t="b">
        <f t="shared" si="32"/>
        <v>0</v>
      </c>
      <c r="Q122" s="53" t="b">
        <f t="shared" si="33"/>
        <v>0</v>
      </c>
      <c r="R122" s="152" t="s">
        <v>175</v>
      </c>
      <c r="S122" s="184">
        <f t="shared" si="35"/>
        <v>0</v>
      </c>
      <c r="T122" s="124"/>
      <c r="U122" s="41" t="s">
        <v>175</v>
      </c>
      <c r="V122" s="70" t="e">
        <f>VLOOKUP(U122,'BASE '!$A$4:$H$144,2,0)</f>
        <v>#N/A</v>
      </c>
      <c r="W122" s="159"/>
      <c r="X122" s="159"/>
      <c r="Y122" s="160"/>
      <c r="Z122" s="158" t="e">
        <f>VLOOKUP(U122,'BASE '!$A$4:$H$144,3,0)</f>
        <v>#N/A</v>
      </c>
      <c r="AA122" s="94" t="e">
        <f t="shared" si="34"/>
        <v>#N/A</v>
      </c>
      <c r="AB122" s="95" t="e">
        <f>VLOOKUP(U122,'BASE '!$A$4:$H$144,6,0)*Y122/100</f>
        <v>#N/A</v>
      </c>
      <c r="AC122" s="95" t="e">
        <f>VLOOKUP(U122,'BASE '!$A$4:$H$144,7,0)*Y122/100</f>
        <v>#N/A</v>
      </c>
      <c r="AD122" s="95" t="e">
        <f>VLOOKUP(U122,'BASE '!$A$4:$H$144,8,0)*Y122/100</f>
        <v>#N/A</v>
      </c>
      <c r="AE122" s="96" t="e">
        <f t="shared" si="36"/>
        <v>#N/A</v>
      </c>
      <c r="DN122" s="116" t="e">
        <f>(($I$5*#REF!)/100)+((#REF!*$J$5)/100)+(($K$5*#REF!)/100)+($L$5*#REF!)+($M$5*#REF!)</f>
        <v>#REF!</v>
      </c>
    </row>
    <row r="123" spans="2:118" x14ac:dyDescent="0.3">
      <c r="B123" s="64"/>
      <c r="C123" s="148"/>
      <c r="D123" s="109"/>
      <c r="E123" s="63"/>
      <c r="F123" s="127"/>
      <c r="G123" s="50"/>
      <c r="H123" s="10"/>
      <c r="I123" s="10"/>
      <c r="J123" s="10"/>
      <c r="K123" s="10"/>
      <c r="L123" s="10"/>
      <c r="M123" s="39"/>
      <c r="N123" s="33">
        <f t="shared" si="31"/>
        <v>0</v>
      </c>
      <c r="O123" s="52" t="b">
        <f>IF(AND(E123="CLIENT S+L",F123="HUILE"),(S123*3333.33+(VLOOKUP(H123,'BASE '!$I$112:$J$142,2,0)))-((S123*3333.33)*G123),IF(AND(E123="CLIENT S+L",F123="LAIT"),((S123*952.4)-(S123*952.4)*G123),IF(E123="CLIENT O","OFFERT",IF(AND(F123="HUILE",E123="CLIENT L"),(((VLOOKUP(H123,'BASE '!$I$112:$J$142,2,0))+(VLOOKUP(S123,'BASE '!#REF!,2,0)))),IF(AND(F123="LAIT",E123="CLIENT L"),(S123*952.4),IF(AND(F123="HUILE",E123="CLIENT D"),(S123*3809.53+(VLOOKUP(H123,'BASE '!$I$112:$J$142,2,0))),IF(AND(F123="LAIT",E123="CLIENT D"),(S123*952.4),IF(AND(F123="HUILE",E123="CLIENT S+D"),((S123*3809.53+(VLOOKUP(H123,'BASE '!$I$112:$J$142,2,0)))-((S123*3809.53)*G123)),IF(AND(F123="LAIT",E123="CLIENT S+D"),((S123*952.4)-((S123*952.4)*G123)),IF(AND(E123="CLIENT S",F123="LAIT"),((S123*952.4)-((S123*952.4)*G123)),IF(AND(F123="HUILE",E123="CLIENT S"),(VLOOKUP(H123,'BASE '!$I$112:$J$142,2,0)+(VLOOKUP(S123,'BASE '!#REF!,2,0)))-(G123*((VLOOKUP(S123,'BASE '!#REF!,2,0)+(VLOOKUP(H123,'BASE '!$I$112:$J$142,2,0))))))))))))))))</f>
        <v>0</v>
      </c>
      <c r="P123" s="52" t="b">
        <f t="shared" si="32"/>
        <v>0</v>
      </c>
      <c r="Q123" s="53" t="b">
        <f t="shared" si="33"/>
        <v>0</v>
      </c>
      <c r="R123" s="152" t="s">
        <v>175</v>
      </c>
      <c r="S123" s="184">
        <f t="shared" si="35"/>
        <v>0</v>
      </c>
      <c r="T123" s="124"/>
      <c r="U123" s="41" t="s">
        <v>175</v>
      </c>
      <c r="V123" s="70" t="e">
        <f>VLOOKUP(U123,'BASE '!$A$4:$H$144,2,0)</f>
        <v>#N/A</v>
      </c>
      <c r="W123" s="159"/>
      <c r="X123" s="159"/>
      <c r="Y123" s="160"/>
      <c r="Z123" s="158" t="e">
        <f>VLOOKUP(U123,'BASE '!$A$4:$H$144,3,0)</f>
        <v>#N/A</v>
      </c>
      <c r="AA123" s="94" t="e">
        <f t="shared" si="34"/>
        <v>#N/A</v>
      </c>
      <c r="AB123" s="95" t="e">
        <f>VLOOKUP(U123,'BASE '!$A$4:$H$144,6,0)*Y123/100</f>
        <v>#N/A</v>
      </c>
      <c r="AC123" s="95" t="e">
        <f>VLOOKUP(U123,'BASE '!$A$4:$H$144,7,0)*Y123/100</f>
        <v>#N/A</v>
      </c>
      <c r="AD123" s="95" t="e">
        <f>VLOOKUP(U123,'BASE '!$A$4:$H$144,8,0)*Y123/100</f>
        <v>#N/A</v>
      </c>
      <c r="AE123" s="96" t="e">
        <f t="shared" si="36"/>
        <v>#N/A</v>
      </c>
      <c r="DN123" s="116" t="e">
        <f>(($I$5*#REF!)/100)+((#REF!*$J$5)/100)+(($K$5*#REF!)/100)+($L$5*#REF!)+($M$5*#REF!)</f>
        <v>#REF!</v>
      </c>
    </row>
    <row r="124" spans="2:118" x14ac:dyDescent="0.3">
      <c r="B124" s="64"/>
      <c r="C124" s="148"/>
      <c r="D124" s="109"/>
      <c r="E124" s="63"/>
      <c r="F124" s="127"/>
      <c r="G124" s="50"/>
      <c r="H124" s="10"/>
      <c r="I124" s="10"/>
      <c r="J124" s="10"/>
      <c r="K124" s="10"/>
      <c r="L124" s="10"/>
      <c r="M124" s="39"/>
      <c r="N124" s="33">
        <f t="shared" si="31"/>
        <v>0</v>
      </c>
      <c r="O124" s="52" t="b">
        <f>IF(AND(E124="CLIENT S+L",F124="HUILE"),(S124*3333.33+(VLOOKUP(H124,'BASE '!$I$112:$J$142,2,0)))-((S124*3333.33)*G124),IF(AND(E124="CLIENT S+L",F124="LAIT"),((S124*952.4)-(S124*952.4)*G124),IF(E124="CLIENT O","OFFERT",IF(AND(F124="HUILE",E124="CLIENT L"),(((VLOOKUP(H124,'BASE '!$I$112:$J$142,2,0))+(VLOOKUP(S124,'BASE '!#REF!,2,0)))),IF(AND(F124="LAIT",E124="CLIENT L"),(S124*952.4),IF(AND(F124="HUILE",E124="CLIENT D"),(S124*3809.53+(VLOOKUP(H124,'BASE '!$I$112:$J$142,2,0))),IF(AND(F124="LAIT",E124="CLIENT D"),(S124*952.4),IF(AND(F124="HUILE",E124="CLIENT S+D"),((S124*3809.53+(VLOOKUP(H124,'BASE '!$I$112:$J$142,2,0)))-((S124*3809.53)*G124)),IF(AND(F124="LAIT",E124="CLIENT S+D"),((S124*952.4)-((S124*952.4)*G124)),IF(AND(E124="CLIENT S",F124="LAIT"),((S124*952.4)-((S124*952.4)*G124)),IF(AND(F124="HUILE",E124="CLIENT S"),(VLOOKUP(H124,'BASE '!$I$112:$J$142,2,0)+(VLOOKUP(S124,'BASE '!#REF!,2,0)))-(G124*((VLOOKUP(S124,'BASE '!#REF!,2,0)+(VLOOKUP(H124,'BASE '!$I$112:$J$142,2,0))))))))))))))))</f>
        <v>0</v>
      </c>
      <c r="P124" s="52" t="b">
        <f t="shared" si="32"/>
        <v>0</v>
      </c>
      <c r="Q124" s="53" t="b">
        <f t="shared" si="33"/>
        <v>0</v>
      </c>
      <c r="R124" s="152" t="s">
        <v>175</v>
      </c>
      <c r="S124" s="184">
        <f t="shared" si="35"/>
        <v>0</v>
      </c>
      <c r="T124" s="124"/>
      <c r="U124" s="41" t="s">
        <v>175</v>
      </c>
      <c r="V124" s="70" t="e">
        <f>VLOOKUP(U124,'BASE '!$A$4:$H$144,2,0)</f>
        <v>#N/A</v>
      </c>
      <c r="W124" s="159"/>
      <c r="X124" s="159"/>
      <c r="Y124" s="160"/>
      <c r="Z124" s="158" t="e">
        <f>VLOOKUP(U124,'BASE '!$A$4:$H$144,3,0)</f>
        <v>#N/A</v>
      </c>
      <c r="AA124" s="94" t="e">
        <f t="shared" si="34"/>
        <v>#N/A</v>
      </c>
      <c r="AB124" s="95" t="e">
        <f>VLOOKUP(U124,'BASE '!$A$4:$H$144,6,0)*Y124/100</f>
        <v>#N/A</v>
      </c>
      <c r="AC124" s="95" t="e">
        <f>VLOOKUP(U124,'BASE '!$A$4:$H$144,7,0)*Y124/100</f>
        <v>#N/A</v>
      </c>
      <c r="AD124" s="95" t="e">
        <f>VLOOKUP(U124,'BASE '!$A$4:$H$144,8,0)*Y124/100</f>
        <v>#N/A</v>
      </c>
      <c r="AE124" s="96" t="e">
        <f t="shared" si="36"/>
        <v>#N/A</v>
      </c>
      <c r="DN124" s="116" t="e">
        <f>(($I$5*#REF!)/100)+((#REF!*$J$5)/100)+(($K$5*#REF!)/100)+($L$5*#REF!)+($M$5*#REF!)</f>
        <v>#REF!</v>
      </c>
    </row>
    <row r="125" spans="2:118" x14ac:dyDescent="0.3">
      <c r="B125" s="64"/>
      <c r="C125" s="148"/>
      <c r="D125" s="109"/>
      <c r="E125" s="63"/>
      <c r="F125" s="127"/>
      <c r="G125" s="50"/>
      <c r="H125" s="10"/>
      <c r="I125" s="10"/>
      <c r="J125" s="10"/>
      <c r="K125" s="10"/>
      <c r="L125" s="10"/>
      <c r="M125" s="39"/>
      <c r="N125" s="33">
        <f t="shared" si="31"/>
        <v>0</v>
      </c>
      <c r="O125" s="52" t="b">
        <f>IF(AND(E125="CLIENT S+L",F125="HUILE"),(S125*3333.33+(VLOOKUP(H125,'BASE '!$I$112:$J$142,2,0)))-((S125*3333.33)*G125),IF(AND(E125="CLIENT S+L",F125="LAIT"),((S125*952.4)-(S125*952.4)*G125),IF(E125="CLIENT O","OFFERT",IF(AND(F125="HUILE",E125="CLIENT L"),(((VLOOKUP(H125,'BASE '!$I$112:$J$142,2,0))+(VLOOKUP(S125,'BASE '!#REF!,2,0)))),IF(AND(F125="LAIT",E125="CLIENT L"),(S125*952.4),IF(AND(F125="HUILE",E125="CLIENT D"),(S125*3809.53+(VLOOKUP(H125,'BASE '!$I$112:$J$142,2,0))),IF(AND(F125="LAIT",E125="CLIENT D"),(S125*952.4),IF(AND(F125="HUILE",E125="CLIENT S+D"),((S125*3809.53+(VLOOKUP(H125,'BASE '!$I$112:$J$142,2,0)))-((S125*3809.53)*G125)),IF(AND(F125="LAIT",E125="CLIENT S+D"),((S125*952.4)-((S125*952.4)*G125)),IF(AND(E125="CLIENT S",F125="LAIT"),((S125*952.4)-((S125*952.4)*G125)),IF(AND(F125="HUILE",E125="CLIENT S"),(VLOOKUP(H125,'BASE '!$I$112:$J$142,2,0)+(VLOOKUP(S125,'BASE '!#REF!,2,0)))-(G125*((VLOOKUP(S125,'BASE '!#REF!,2,0)+(VLOOKUP(H125,'BASE '!$I$112:$J$142,2,0))))))))))))))))</f>
        <v>0</v>
      </c>
      <c r="P125" s="52" t="b">
        <f t="shared" si="32"/>
        <v>0</v>
      </c>
      <c r="Q125" s="53" t="b">
        <f t="shared" si="33"/>
        <v>0</v>
      </c>
      <c r="R125" s="152" t="s">
        <v>175</v>
      </c>
      <c r="S125" s="184">
        <f t="shared" si="35"/>
        <v>0</v>
      </c>
      <c r="T125" s="124"/>
      <c r="U125" s="41" t="s">
        <v>175</v>
      </c>
      <c r="V125" s="70" t="e">
        <f>VLOOKUP(U125,'BASE '!$A$4:$H$144,2,0)</f>
        <v>#N/A</v>
      </c>
      <c r="W125" s="159"/>
      <c r="X125" s="159"/>
      <c r="Y125" s="160"/>
      <c r="Z125" s="158" t="e">
        <f>VLOOKUP(U125,'BASE '!$A$4:$H$144,3,0)</f>
        <v>#N/A</v>
      </c>
      <c r="AA125" s="94" t="e">
        <f t="shared" si="34"/>
        <v>#N/A</v>
      </c>
      <c r="AB125" s="95" t="e">
        <f>VLOOKUP(U125,'BASE '!$A$4:$H$144,6,0)*Y125/100</f>
        <v>#N/A</v>
      </c>
      <c r="AC125" s="95" t="e">
        <f>VLOOKUP(U125,'BASE '!$A$4:$H$144,7,0)*Y125/100</f>
        <v>#N/A</v>
      </c>
      <c r="AD125" s="95" t="e">
        <f>VLOOKUP(U125,'BASE '!$A$4:$H$144,8,0)*Y125/100</f>
        <v>#N/A</v>
      </c>
      <c r="AE125" s="96" t="e">
        <f t="shared" si="36"/>
        <v>#N/A</v>
      </c>
      <c r="DN125" s="116" t="e">
        <f>(($I$5*#REF!)/100)+((#REF!*$J$5)/100)+(($K$5*#REF!)/100)+($L$5*#REF!)+($M$5*#REF!)</f>
        <v>#REF!</v>
      </c>
    </row>
    <row r="126" spans="2:118" x14ac:dyDescent="0.3">
      <c r="B126" s="64"/>
      <c r="C126" s="148"/>
      <c r="D126" s="109"/>
      <c r="E126" s="63"/>
      <c r="F126" s="127"/>
      <c r="G126" s="50"/>
      <c r="H126" s="10"/>
      <c r="I126" s="10"/>
      <c r="J126" s="10"/>
      <c r="K126" s="10"/>
      <c r="L126" s="10"/>
      <c r="M126" s="39"/>
      <c r="N126" s="33">
        <f t="shared" si="31"/>
        <v>0</v>
      </c>
      <c r="O126" s="52" t="b">
        <f>IF(AND(E126="CLIENT S+L",F126="HUILE"),(S126*3333.33+(VLOOKUP(H126,'BASE '!$I$112:$J$142,2,0)))-((S126*3333.33)*G126),IF(AND(E126="CLIENT S+L",F126="LAIT"),((S126*952.4)-(S126*952.4)*G126),IF(E126="CLIENT O","OFFERT",IF(AND(F126="HUILE",E126="CLIENT L"),(((VLOOKUP(H126,'BASE '!$I$112:$J$142,2,0))+(VLOOKUP(S126,'BASE '!#REF!,2,0)))),IF(AND(F126="LAIT",E126="CLIENT L"),(S126*952.4),IF(AND(F126="HUILE",E126="CLIENT D"),(S126*3809.53+(VLOOKUP(H126,'BASE '!$I$112:$J$142,2,0))),IF(AND(F126="LAIT",E126="CLIENT D"),(S126*952.4),IF(AND(F126="HUILE",E126="CLIENT S+D"),((S126*3809.53+(VLOOKUP(H126,'BASE '!$I$112:$J$142,2,0)))-((S126*3809.53)*G126)),IF(AND(F126="LAIT",E126="CLIENT S+D"),((S126*952.4)-((S126*952.4)*G126)),IF(AND(E126="CLIENT S",F126="LAIT"),((S126*952.4)-((S126*952.4)*G126)),IF(AND(F126="HUILE",E126="CLIENT S"),(VLOOKUP(H126,'BASE '!$I$112:$J$142,2,0)+(VLOOKUP(S126,'BASE '!#REF!,2,0)))-(G126*((VLOOKUP(S126,'BASE '!#REF!,2,0)+(VLOOKUP(H126,'BASE '!$I$112:$J$142,2,0))))))))))))))))</f>
        <v>0</v>
      </c>
      <c r="P126" s="52" t="b">
        <f t="shared" si="32"/>
        <v>0</v>
      </c>
      <c r="Q126" s="53" t="b">
        <f t="shared" si="33"/>
        <v>0</v>
      </c>
      <c r="R126" s="152" t="s">
        <v>175</v>
      </c>
      <c r="S126" s="184">
        <f t="shared" si="35"/>
        <v>0</v>
      </c>
      <c r="T126" s="124"/>
      <c r="U126" s="41" t="s">
        <v>175</v>
      </c>
      <c r="V126" s="70" t="e">
        <f>VLOOKUP(U126,'BASE '!$A$4:$H$144,2,0)</f>
        <v>#N/A</v>
      </c>
      <c r="W126" s="159"/>
      <c r="X126" s="159"/>
      <c r="Y126" s="160"/>
      <c r="Z126" s="158" t="e">
        <f>VLOOKUP(U126,'BASE '!$A$4:$H$144,3,0)</f>
        <v>#N/A</v>
      </c>
      <c r="AA126" s="94" t="e">
        <f t="shared" si="34"/>
        <v>#N/A</v>
      </c>
      <c r="AB126" s="95" t="e">
        <f>VLOOKUP(U126,'BASE '!$A$4:$H$144,6,0)*Y126/100</f>
        <v>#N/A</v>
      </c>
      <c r="AC126" s="95" t="e">
        <f>VLOOKUP(U126,'BASE '!$A$4:$H$144,7,0)*Y126/100</f>
        <v>#N/A</v>
      </c>
      <c r="AD126" s="95" t="e">
        <f>VLOOKUP(U126,'BASE '!$A$4:$H$144,8,0)*Y126/100</f>
        <v>#N/A</v>
      </c>
      <c r="AE126" s="96" t="e">
        <f t="shared" si="36"/>
        <v>#N/A</v>
      </c>
      <c r="DN126" s="116" t="e">
        <f>(($I$5*#REF!)/100)+((#REF!*$J$5)/100)+(($K$5*#REF!)/100)+($L$5*#REF!)+($M$5*#REF!)</f>
        <v>#REF!</v>
      </c>
    </row>
    <row r="127" spans="2:118" x14ac:dyDescent="0.3">
      <c r="B127" s="64"/>
      <c r="C127" s="148"/>
      <c r="D127" s="109"/>
      <c r="E127" s="63"/>
      <c r="F127" s="127"/>
      <c r="G127" s="50"/>
      <c r="H127" s="10"/>
      <c r="I127" s="10"/>
      <c r="J127" s="10"/>
      <c r="K127" s="10"/>
      <c r="L127" s="10"/>
      <c r="M127" s="39"/>
      <c r="N127" s="33">
        <f t="shared" si="31"/>
        <v>0</v>
      </c>
      <c r="O127" s="52" t="b">
        <f>IF(AND(E127="CLIENT S+L",F127="HUILE"),(S127*3333.33+(VLOOKUP(H127,'BASE '!$I$112:$J$142,2,0)))-((S127*3333.33)*G127),IF(AND(E127="CLIENT S+L",F127="LAIT"),((S127*952.4)-(S127*952.4)*G127),IF(E127="CLIENT O","OFFERT",IF(AND(F127="HUILE",E127="CLIENT L"),(((VLOOKUP(H127,'BASE '!$I$112:$J$142,2,0))+(VLOOKUP(S127,'BASE '!#REF!,2,0)))),IF(AND(F127="LAIT",E127="CLIENT L"),(S127*952.4),IF(AND(F127="HUILE",E127="CLIENT D"),(S127*3809.53+(VLOOKUP(H127,'BASE '!$I$112:$J$142,2,0))),IF(AND(F127="LAIT",E127="CLIENT D"),(S127*952.4),IF(AND(F127="HUILE",E127="CLIENT S+D"),((S127*3809.53+(VLOOKUP(H127,'BASE '!$I$112:$J$142,2,0)))-((S127*3809.53)*G127)),IF(AND(F127="LAIT",E127="CLIENT S+D"),((S127*952.4)-((S127*952.4)*G127)),IF(AND(E127="CLIENT S",F127="LAIT"),((S127*952.4)-((S127*952.4)*G127)),IF(AND(F127="HUILE",E127="CLIENT S"),(VLOOKUP(H127,'BASE '!$I$112:$J$142,2,0)+(VLOOKUP(S127,'BASE '!#REF!,2,0)))-(G127*((VLOOKUP(S127,'BASE '!#REF!,2,0)+(VLOOKUP(H127,'BASE '!$I$112:$J$142,2,0))))))))))))))))</f>
        <v>0</v>
      </c>
      <c r="P127" s="52" t="b">
        <f t="shared" si="32"/>
        <v>0</v>
      </c>
      <c r="Q127" s="53" t="b">
        <f t="shared" si="33"/>
        <v>0</v>
      </c>
      <c r="R127" s="152" t="s">
        <v>175</v>
      </c>
      <c r="S127" s="184">
        <f t="shared" si="35"/>
        <v>0</v>
      </c>
      <c r="T127" s="124"/>
      <c r="U127" s="41" t="s">
        <v>175</v>
      </c>
      <c r="V127" s="70" t="e">
        <f>VLOOKUP(U127,'BASE '!$A$4:$H$144,2,0)</f>
        <v>#N/A</v>
      </c>
      <c r="W127" s="159"/>
      <c r="X127" s="159"/>
      <c r="Y127" s="160"/>
      <c r="Z127" s="158" t="e">
        <f>VLOOKUP(U127,'BASE '!$A$4:$H$144,3,0)</f>
        <v>#N/A</v>
      </c>
      <c r="AA127" s="94" t="e">
        <f t="shared" si="34"/>
        <v>#N/A</v>
      </c>
      <c r="AB127" s="95" t="e">
        <f>VLOOKUP(U127,'BASE '!$A$4:$H$144,6,0)*Y127/100</f>
        <v>#N/A</v>
      </c>
      <c r="AC127" s="95" t="e">
        <f>VLOOKUP(U127,'BASE '!$A$4:$H$144,7,0)*Y127/100</f>
        <v>#N/A</v>
      </c>
      <c r="AD127" s="95" t="e">
        <f>VLOOKUP(U127,'BASE '!$A$4:$H$144,8,0)*Y127/100</f>
        <v>#N/A</v>
      </c>
      <c r="AE127" s="96" t="e">
        <f t="shared" si="36"/>
        <v>#N/A</v>
      </c>
      <c r="DN127" s="116" t="e">
        <f>(($I$5*#REF!)/100)+((#REF!*$J$5)/100)+(($K$5*#REF!)/100)+($L$5*#REF!)+($M$5*#REF!)</f>
        <v>#REF!</v>
      </c>
    </row>
    <row r="128" spans="2:118" x14ac:dyDescent="0.3">
      <c r="B128" s="64"/>
      <c r="C128" s="148"/>
      <c r="D128" s="109"/>
      <c r="E128" s="63"/>
      <c r="F128" s="127"/>
      <c r="G128" s="50"/>
      <c r="H128" s="10"/>
      <c r="I128" s="10"/>
      <c r="J128" s="10"/>
      <c r="K128" s="10"/>
      <c r="L128" s="10"/>
      <c r="M128" s="39"/>
      <c r="N128" s="33">
        <f t="shared" si="31"/>
        <v>0</v>
      </c>
      <c r="O128" s="52" t="b">
        <f>IF(AND(E128="CLIENT S+L",F128="HUILE"),(S128*3333.33+(VLOOKUP(H128,'BASE '!$I$112:$J$142,2,0)))-((S128*3333.33)*G128),IF(AND(E128="CLIENT S+L",F128="LAIT"),((S128*952.4)-(S128*952.4)*G128),IF(E128="CLIENT O","OFFERT",IF(AND(F128="HUILE",E128="CLIENT L"),(((VLOOKUP(H128,'BASE '!$I$112:$J$142,2,0))+(VLOOKUP(S128,'BASE '!#REF!,2,0)))),IF(AND(F128="LAIT",E128="CLIENT L"),(S128*952.4),IF(AND(F128="HUILE",E128="CLIENT D"),(S128*3809.53+(VLOOKUP(H128,'BASE '!$I$112:$J$142,2,0))),IF(AND(F128="LAIT",E128="CLIENT D"),(S128*952.4),IF(AND(F128="HUILE",E128="CLIENT S+D"),((S128*3809.53+(VLOOKUP(H128,'BASE '!$I$112:$J$142,2,0)))-((S128*3809.53)*G128)),IF(AND(F128="LAIT",E128="CLIENT S+D"),((S128*952.4)-((S128*952.4)*G128)),IF(AND(E128="CLIENT S",F128="LAIT"),((S128*952.4)-((S128*952.4)*G128)),IF(AND(F128="HUILE",E128="CLIENT S"),(VLOOKUP(H128,'BASE '!$I$112:$J$142,2,0)+(VLOOKUP(S128,'BASE '!#REF!,2,0)))-(G128*((VLOOKUP(S128,'BASE '!#REF!,2,0)+(VLOOKUP(H128,'BASE '!$I$112:$J$142,2,0))))))))))))))))</f>
        <v>0</v>
      </c>
      <c r="P128" s="52" t="b">
        <f t="shared" si="32"/>
        <v>0</v>
      </c>
      <c r="Q128" s="53" t="b">
        <f t="shared" si="33"/>
        <v>0</v>
      </c>
      <c r="R128" s="152" t="s">
        <v>175</v>
      </c>
      <c r="S128" s="184">
        <f t="shared" si="35"/>
        <v>0</v>
      </c>
      <c r="T128" s="124"/>
      <c r="U128" s="41" t="s">
        <v>175</v>
      </c>
      <c r="V128" s="70" t="e">
        <f>VLOOKUP(U128,'BASE '!$A$4:$H$144,2,0)</f>
        <v>#N/A</v>
      </c>
      <c r="W128" s="159"/>
      <c r="X128" s="159"/>
      <c r="Y128" s="160"/>
      <c r="Z128" s="158" t="e">
        <f>VLOOKUP(U128,'BASE '!$A$4:$H$144,3,0)</f>
        <v>#N/A</v>
      </c>
      <c r="AA128" s="94" t="e">
        <f t="shared" si="34"/>
        <v>#N/A</v>
      </c>
      <c r="AB128" s="95" t="e">
        <f>VLOOKUP(U128,'BASE '!$A$4:$H$144,6,0)*Y128/100</f>
        <v>#N/A</v>
      </c>
      <c r="AC128" s="95" t="e">
        <f>VLOOKUP(U128,'BASE '!$A$4:$H$144,7,0)*Y128/100</f>
        <v>#N/A</v>
      </c>
      <c r="AD128" s="95" t="e">
        <f>VLOOKUP(U128,'BASE '!$A$4:$H$144,8,0)*Y128/100</f>
        <v>#N/A</v>
      </c>
      <c r="AE128" s="96" t="e">
        <f t="shared" si="36"/>
        <v>#N/A</v>
      </c>
      <c r="DN128" s="116" t="e">
        <f>(($I$5*#REF!)/100)+((#REF!*$J$5)/100)+(($K$5*#REF!)/100)+($L$5*#REF!)+($M$5*#REF!)</f>
        <v>#REF!</v>
      </c>
    </row>
    <row r="129" spans="2:118" x14ac:dyDescent="0.3">
      <c r="B129" s="64"/>
      <c r="C129" s="148"/>
      <c r="D129" s="109"/>
      <c r="E129" s="63"/>
      <c r="F129" s="127"/>
      <c r="G129" s="50"/>
      <c r="H129" s="10"/>
      <c r="I129" s="10"/>
      <c r="J129" s="10"/>
      <c r="K129" s="10"/>
      <c r="L129" s="10"/>
      <c r="M129" s="39"/>
      <c r="N129" s="33">
        <f t="shared" si="31"/>
        <v>0</v>
      </c>
      <c r="O129" s="52" t="b">
        <f>IF(AND(E129="CLIENT S+L",F129="HUILE"),(S129*3333.33+(VLOOKUP(H129,'BASE '!$I$112:$J$142,2,0)))-((S129*3333.33)*G129),IF(AND(E129="CLIENT S+L",F129="LAIT"),((S129*952.4)-(S129*952.4)*G129),IF(E129="CLIENT O","OFFERT",IF(AND(F129="HUILE",E129="CLIENT L"),(((VLOOKUP(H129,'BASE '!$I$112:$J$142,2,0))+(VLOOKUP(S129,'BASE '!#REF!,2,0)))),IF(AND(F129="LAIT",E129="CLIENT L"),(S129*952.4),IF(AND(F129="HUILE",E129="CLIENT D"),(S129*3809.53+(VLOOKUP(H129,'BASE '!$I$112:$J$142,2,0))),IF(AND(F129="LAIT",E129="CLIENT D"),(S129*952.4),IF(AND(F129="HUILE",E129="CLIENT S+D"),((S129*3809.53+(VLOOKUP(H129,'BASE '!$I$112:$J$142,2,0)))-((S129*3809.53)*G129)),IF(AND(F129="LAIT",E129="CLIENT S+D"),((S129*952.4)-((S129*952.4)*G129)),IF(AND(E129="CLIENT S",F129="LAIT"),((S129*952.4)-((S129*952.4)*G129)),IF(AND(F129="HUILE",E129="CLIENT S"),(VLOOKUP(H129,'BASE '!$I$112:$J$142,2,0)+(VLOOKUP(S129,'BASE '!#REF!,2,0)))-(G129*((VLOOKUP(S129,'BASE '!#REF!,2,0)+(VLOOKUP(H129,'BASE '!$I$112:$J$142,2,0))))))))))))))))</f>
        <v>0</v>
      </c>
      <c r="P129" s="52" t="b">
        <f t="shared" si="32"/>
        <v>0</v>
      </c>
      <c r="Q129" s="53" t="b">
        <f t="shared" si="33"/>
        <v>0</v>
      </c>
      <c r="R129" s="152" t="s">
        <v>175</v>
      </c>
      <c r="S129" s="184">
        <f t="shared" si="35"/>
        <v>0</v>
      </c>
      <c r="T129" s="124"/>
      <c r="U129" s="41" t="s">
        <v>175</v>
      </c>
      <c r="V129" s="70" t="e">
        <f>VLOOKUP(U129,'BASE '!$A$4:$H$144,2,0)</f>
        <v>#N/A</v>
      </c>
      <c r="W129" s="159"/>
      <c r="X129" s="159"/>
      <c r="Y129" s="160"/>
      <c r="Z129" s="158" t="e">
        <f>VLOOKUP(U129,'BASE '!$A$4:$H$144,3,0)</f>
        <v>#N/A</v>
      </c>
      <c r="AA129" s="94" t="e">
        <f t="shared" si="34"/>
        <v>#N/A</v>
      </c>
      <c r="AB129" s="95" t="e">
        <f>VLOOKUP(U129,'BASE '!$A$4:$H$144,6,0)*Y129/100</f>
        <v>#N/A</v>
      </c>
      <c r="AC129" s="95" t="e">
        <f>VLOOKUP(U129,'BASE '!$A$4:$H$144,7,0)*Y129/100</f>
        <v>#N/A</v>
      </c>
      <c r="AD129" s="95" t="e">
        <f>VLOOKUP(U129,'BASE '!$A$4:$H$144,8,0)*Y129/100</f>
        <v>#N/A</v>
      </c>
      <c r="AE129" s="96" t="e">
        <f t="shared" si="36"/>
        <v>#N/A</v>
      </c>
      <c r="DN129" s="116" t="e">
        <f>(($I$5*#REF!)/100)+((#REF!*$J$5)/100)+(($K$5*#REF!)/100)+($L$5*#REF!)+($M$5*#REF!)</f>
        <v>#REF!</v>
      </c>
    </row>
    <row r="130" spans="2:118" x14ac:dyDescent="0.3">
      <c r="B130" s="64"/>
      <c r="C130" s="148"/>
      <c r="D130" s="109"/>
      <c r="E130" s="63"/>
      <c r="F130" s="127"/>
      <c r="G130" s="50"/>
      <c r="H130" s="10"/>
      <c r="I130" s="10"/>
      <c r="J130" s="10"/>
      <c r="K130" s="10"/>
      <c r="L130" s="10"/>
      <c r="M130" s="39"/>
      <c r="N130" s="33">
        <f t="shared" si="31"/>
        <v>0</v>
      </c>
      <c r="O130" s="52" t="b">
        <f>IF(AND(E130="CLIENT S+L",F130="HUILE"),(S130*3333.33+(VLOOKUP(H130,'BASE '!$I$112:$J$142,2,0)))-((S130*3333.33)*G130),IF(AND(E130="CLIENT S+L",F130="LAIT"),((S130*952.4)-(S130*952.4)*G130),IF(E130="CLIENT O","OFFERT",IF(AND(F130="HUILE",E130="CLIENT L"),(((VLOOKUP(H130,'BASE '!$I$112:$J$142,2,0))+(VLOOKUP(S130,'BASE '!#REF!,2,0)))),IF(AND(F130="LAIT",E130="CLIENT L"),(S130*952.4),IF(AND(F130="HUILE",E130="CLIENT D"),(S130*3809.53+(VLOOKUP(H130,'BASE '!$I$112:$J$142,2,0))),IF(AND(F130="LAIT",E130="CLIENT D"),(S130*952.4),IF(AND(F130="HUILE",E130="CLIENT S+D"),((S130*3809.53+(VLOOKUP(H130,'BASE '!$I$112:$J$142,2,0)))-((S130*3809.53)*G130)),IF(AND(F130="LAIT",E130="CLIENT S+D"),((S130*952.4)-((S130*952.4)*G130)),IF(AND(E130="CLIENT S",F130="LAIT"),((S130*952.4)-((S130*952.4)*G130)),IF(AND(F130="HUILE",E130="CLIENT S"),(VLOOKUP(H130,'BASE '!$I$112:$J$142,2,0)+(VLOOKUP(S130,'BASE '!#REF!,2,0)))-(G130*((VLOOKUP(S130,'BASE '!#REF!,2,0)+(VLOOKUP(H130,'BASE '!$I$112:$J$142,2,0))))))))))))))))</f>
        <v>0</v>
      </c>
      <c r="P130" s="52" t="b">
        <f t="shared" si="32"/>
        <v>0</v>
      </c>
      <c r="Q130" s="53" t="b">
        <f t="shared" si="33"/>
        <v>0</v>
      </c>
      <c r="R130" s="152" t="s">
        <v>175</v>
      </c>
      <c r="S130" s="184">
        <f t="shared" si="35"/>
        <v>0</v>
      </c>
      <c r="T130" s="124"/>
      <c r="U130" s="41" t="s">
        <v>175</v>
      </c>
      <c r="V130" s="70" t="e">
        <f>VLOOKUP(U130,'BASE '!$A$4:$H$144,2,0)</f>
        <v>#N/A</v>
      </c>
      <c r="W130" s="159"/>
      <c r="X130" s="159"/>
      <c r="Y130" s="160"/>
      <c r="Z130" s="158" t="e">
        <f>VLOOKUP(U130,'BASE '!$A$4:$H$144,3,0)</f>
        <v>#N/A</v>
      </c>
      <c r="AA130" s="94" t="e">
        <f t="shared" si="34"/>
        <v>#N/A</v>
      </c>
      <c r="AB130" s="95" t="e">
        <f>VLOOKUP(U130,'BASE '!$A$4:$H$144,6,0)*Y130/100</f>
        <v>#N/A</v>
      </c>
      <c r="AC130" s="95" t="e">
        <f>VLOOKUP(U130,'BASE '!$A$4:$H$144,7,0)*Y130/100</f>
        <v>#N/A</v>
      </c>
      <c r="AD130" s="95" t="e">
        <f>VLOOKUP(U130,'BASE '!$A$4:$H$144,8,0)*Y130/100</f>
        <v>#N/A</v>
      </c>
      <c r="AE130" s="96" t="e">
        <f t="shared" si="36"/>
        <v>#N/A</v>
      </c>
      <c r="DN130" s="116" t="e">
        <f>(($I$5*#REF!)/100)+((#REF!*$J$5)/100)+(($K$5*#REF!)/100)+($L$5*#REF!)+($M$5*#REF!)</f>
        <v>#REF!</v>
      </c>
    </row>
    <row r="131" spans="2:118" x14ac:dyDescent="0.3">
      <c r="B131" s="64"/>
      <c r="C131" s="148"/>
      <c r="D131" s="109"/>
      <c r="E131" s="63"/>
      <c r="F131" s="127"/>
      <c r="G131" s="50"/>
      <c r="H131" s="10"/>
      <c r="I131" s="10"/>
      <c r="J131" s="10"/>
      <c r="K131" s="10"/>
      <c r="L131" s="10"/>
      <c r="M131" s="39"/>
      <c r="N131" s="33">
        <f t="shared" si="31"/>
        <v>0</v>
      </c>
      <c r="O131" s="52" t="b">
        <f>IF(AND(E131="CLIENT S+L",F131="HUILE"),(S131*3333.33+(VLOOKUP(H131,'BASE '!$I$112:$J$142,2,0)))-((S131*3333.33)*G131),IF(AND(E131="CLIENT S+L",F131="LAIT"),((S131*952.4)-(S131*952.4)*G131),IF(E131="CLIENT O","OFFERT",IF(AND(F131="HUILE",E131="CLIENT L"),(((VLOOKUP(H131,'BASE '!$I$112:$J$142,2,0))+(VLOOKUP(S131,'BASE '!#REF!,2,0)))),IF(AND(F131="LAIT",E131="CLIENT L"),(S131*952.4),IF(AND(F131="HUILE",E131="CLIENT D"),(S131*3809.53+(VLOOKUP(H131,'BASE '!$I$112:$J$142,2,0))),IF(AND(F131="LAIT",E131="CLIENT D"),(S131*952.4),IF(AND(F131="HUILE",E131="CLIENT S+D"),((S131*3809.53+(VLOOKUP(H131,'BASE '!$I$112:$J$142,2,0)))-((S131*3809.53)*G131)),IF(AND(F131="LAIT",E131="CLIENT S+D"),((S131*952.4)-((S131*952.4)*G131)),IF(AND(E131="CLIENT S",F131="LAIT"),((S131*952.4)-((S131*952.4)*G131)),IF(AND(F131="HUILE",E131="CLIENT S"),(VLOOKUP(H131,'BASE '!$I$112:$J$142,2,0)+(VLOOKUP(S131,'BASE '!#REF!,2,0)))-(G131*((VLOOKUP(S131,'BASE '!#REF!,2,0)+(VLOOKUP(H131,'BASE '!$I$112:$J$142,2,0))))))))))))))))</f>
        <v>0</v>
      </c>
      <c r="P131" s="52" t="b">
        <f t="shared" si="32"/>
        <v>0</v>
      </c>
      <c r="Q131" s="53" t="b">
        <f t="shared" si="33"/>
        <v>0</v>
      </c>
      <c r="R131" s="152" t="s">
        <v>175</v>
      </c>
      <c r="S131" s="184">
        <f t="shared" si="35"/>
        <v>0</v>
      </c>
      <c r="T131" s="124"/>
      <c r="U131" s="41" t="s">
        <v>175</v>
      </c>
      <c r="V131" s="70" t="e">
        <f>VLOOKUP(U131,'BASE '!$A$4:$H$144,2,0)</f>
        <v>#N/A</v>
      </c>
      <c r="W131" s="159"/>
      <c r="X131" s="159"/>
      <c r="Y131" s="160"/>
      <c r="Z131" s="158" t="e">
        <f>VLOOKUP(U131,'BASE '!$A$4:$H$144,3,0)</f>
        <v>#N/A</v>
      </c>
      <c r="AA131" s="94" t="e">
        <f t="shared" si="34"/>
        <v>#N/A</v>
      </c>
      <c r="AB131" s="95" t="e">
        <f>VLOOKUP(U131,'BASE '!$A$4:$H$144,6,0)*Y131/100</f>
        <v>#N/A</v>
      </c>
      <c r="AC131" s="95" t="e">
        <f>VLOOKUP(U131,'BASE '!$A$4:$H$144,7,0)*Y131/100</f>
        <v>#N/A</v>
      </c>
      <c r="AD131" s="95" t="e">
        <f>VLOOKUP(U131,'BASE '!$A$4:$H$144,8,0)*Y131/100</f>
        <v>#N/A</v>
      </c>
      <c r="AE131" s="96" t="e">
        <f t="shared" si="36"/>
        <v>#N/A</v>
      </c>
      <c r="DN131" s="116" t="e">
        <f>(($I$5*#REF!)/100)+((#REF!*$J$5)/100)+(($K$5*#REF!)/100)+($L$5*#REF!)+($M$5*#REF!)</f>
        <v>#REF!</v>
      </c>
    </row>
    <row r="132" spans="2:118" x14ac:dyDescent="0.3">
      <c r="B132" s="64"/>
      <c r="C132" s="148"/>
      <c r="D132" s="109"/>
      <c r="E132" s="63"/>
      <c r="F132" s="127"/>
      <c r="G132" s="50"/>
      <c r="H132" s="10"/>
      <c r="I132" s="10"/>
      <c r="J132" s="10"/>
      <c r="K132" s="10"/>
      <c r="L132" s="10"/>
      <c r="M132" s="39"/>
      <c r="N132" s="33">
        <f t="shared" si="31"/>
        <v>0</v>
      </c>
      <c r="O132" s="52" t="b">
        <f>IF(AND(E132="CLIENT S+L",F132="HUILE"),(S132*3333.33+(VLOOKUP(H132,'BASE '!$I$112:$J$142,2,0)))-((S132*3333.33)*G132),IF(AND(E132="CLIENT S+L",F132="LAIT"),((S132*952.4)-(S132*952.4)*G132),IF(E132="CLIENT O","OFFERT",IF(AND(F132="HUILE",E132="CLIENT L"),(((VLOOKUP(H132,'BASE '!$I$112:$J$142,2,0))+(VLOOKUP(S132,'BASE '!#REF!,2,0)))),IF(AND(F132="LAIT",E132="CLIENT L"),(S132*952.4),IF(AND(F132="HUILE",E132="CLIENT D"),(S132*3809.53+(VLOOKUP(H132,'BASE '!$I$112:$J$142,2,0))),IF(AND(F132="LAIT",E132="CLIENT D"),(S132*952.4),IF(AND(F132="HUILE",E132="CLIENT S+D"),((S132*3809.53+(VLOOKUP(H132,'BASE '!$I$112:$J$142,2,0)))-((S132*3809.53)*G132)),IF(AND(F132="LAIT",E132="CLIENT S+D"),((S132*952.4)-((S132*952.4)*G132)),IF(AND(E132="CLIENT S",F132="LAIT"),((S132*952.4)-((S132*952.4)*G132)),IF(AND(F132="HUILE",E132="CLIENT S"),(VLOOKUP(H132,'BASE '!$I$112:$J$142,2,0)+(VLOOKUP(S132,'BASE '!#REF!,2,0)))-(G132*((VLOOKUP(S132,'BASE '!#REF!,2,0)+(VLOOKUP(H132,'BASE '!$I$112:$J$142,2,0))))))))))))))))</f>
        <v>0</v>
      </c>
      <c r="P132" s="52" t="b">
        <f t="shared" si="32"/>
        <v>0</v>
      </c>
      <c r="Q132" s="53" t="b">
        <f t="shared" si="33"/>
        <v>0</v>
      </c>
      <c r="R132" s="152" t="s">
        <v>175</v>
      </c>
      <c r="S132" s="184">
        <f t="shared" si="35"/>
        <v>0</v>
      </c>
      <c r="T132" s="124"/>
      <c r="U132" s="41" t="s">
        <v>175</v>
      </c>
      <c r="V132" s="70" t="e">
        <f>VLOOKUP(U132,'BASE '!$A$4:$H$144,2,0)</f>
        <v>#N/A</v>
      </c>
      <c r="W132" s="159"/>
      <c r="X132" s="159"/>
      <c r="Y132" s="160"/>
      <c r="Z132" s="158" t="e">
        <f>VLOOKUP(U132,'BASE '!$A$4:$H$144,3,0)</f>
        <v>#N/A</v>
      </c>
      <c r="AA132" s="94" t="e">
        <f t="shared" si="34"/>
        <v>#N/A</v>
      </c>
      <c r="AB132" s="95" t="e">
        <f>VLOOKUP(U132,'BASE '!$A$4:$H$144,6,0)*Y132/100</f>
        <v>#N/A</v>
      </c>
      <c r="AC132" s="95" t="e">
        <f>VLOOKUP(U132,'BASE '!$A$4:$H$144,7,0)*Y132/100</f>
        <v>#N/A</v>
      </c>
      <c r="AD132" s="95" t="e">
        <f>VLOOKUP(U132,'BASE '!$A$4:$H$144,8,0)*Y132/100</f>
        <v>#N/A</v>
      </c>
      <c r="AE132" s="96" t="e">
        <f t="shared" si="36"/>
        <v>#N/A</v>
      </c>
      <c r="DN132" s="116" t="e">
        <f>(($I$5*#REF!)/100)+((#REF!*$J$5)/100)+(($K$5*#REF!)/100)+($L$5*#REF!)+($M$5*#REF!)</f>
        <v>#REF!</v>
      </c>
    </row>
    <row r="133" spans="2:118" x14ac:dyDescent="0.3">
      <c r="B133" s="64"/>
      <c r="C133" s="148"/>
      <c r="D133" s="109"/>
      <c r="E133" s="63"/>
      <c r="F133" s="127"/>
      <c r="G133" s="50"/>
      <c r="H133" s="10"/>
      <c r="I133" s="10"/>
      <c r="J133" s="10"/>
      <c r="K133" s="10"/>
      <c r="L133" s="10"/>
      <c r="M133" s="39"/>
      <c r="N133" s="33">
        <f t="shared" si="31"/>
        <v>0</v>
      </c>
      <c r="O133" s="52" t="b">
        <f>IF(AND(E133="CLIENT S+L",F133="HUILE"),(S133*3333.33+(VLOOKUP(H133,'BASE '!$I$112:$J$142,2,0)))-((S133*3333.33)*G133),IF(AND(E133="CLIENT S+L",F133="LAIT"),((S133*952.4)-(S133*952.4)*G133),IF(E133="CLIENT O","OFFERT",IF(AND(F133="HUILE",E133="CLIENT L"),(((VLOOKUP(H133,'BASE '!$I$112:$J$142,2,0))+(VLOOKUP(S133,'BASE '!#REF!,2,0)))),IF(AND(F133="LAIT",E133="CLIENT L"),(S133*952.4),IF(AND(F133="HUILE",E133="CLIENT D"),(S133*3809.53+(VLOOKUP(H133,'BASE '!$I$112:$J$142,2,0))),IF(AND(F133="LAIT",E133="CLIENT D"),(S133*952.4),IF(AND(F133="HUILE",E133="CLIENT S+D"),((S133*3809.53+(VLOOKUP(H133,'BASE '!$I$112:$J$142,2,0)))-((S133*3809.53)*G133)),IF(AND(F133="LAIT",E133="CLIENT S+D"),((S133*952.4)-((S133*952.4)*G133)),IF(AND(E133="CLIENT S",F133="LAIT"),((S133*952.4)-((S133*952.4)*G133)),IF(AND(F133="HUILE",E133="CLIENT S"),(VLOOKUP(H133,'BASE '!$I$112:$J$142,2,0)+(VLOOKUP(S133,'BASE '!#REF!,2,0)))-(G133*((VLOOKUP(S133,'BASE '!#REF!,2,0)+(VLOOKUP(H133,'BASE '!$I$112:$J$142,2,0))))))))))))))))</f>
        <v>0</v>
      </c>
      <c r="P133" s="52" t="b">
        <f t="shared" si="32"/>
        <v>0</v>
      </c>
      <c r="Q133" s="53" t="b">
        <f t="shared" si="33"/>
        <v>0</v>
      </c>
      <c r="R133" s="152" t="s">
        <v>175</v>
      </c>
      <c r="S133" s="184">
        <f t="shared" si="35"/>
        <v>0</v>
      </c>
      <c r="T133" s="124"/>
      <c r="U133" s="41" t="s">
        <v>175</v>
      </c>
      <c r="V133" s="70" t="e">
        <f>VLOOKUP(U133,'BASE '!$A$4:$H$144,2,0)</f>
        <v>#N/A</v>
      </c>
      <c r="W133" s="159"/>
      <c r="X133" s="159"/>
      <c r="Y133" s="160"/>
      <c r="Z133" s="158" t="e">
        <f>VLOOKUP(U133,'BASE '!$A$4:$H$144,3,0)</f>
        <v>#N/A</v>
      </c>
      <c r="AA133" s="94" t="e">
        <f t="shared" si="34"/>
        <v>#N/A</v>
      </c>
      <c r="AB133" s="95" t="e">
        <f>VLOOKUP(U133,'BASE '!$A$4:$H$144,6,0)*Y133/100</f>
        <v>#N/A</v>
      </c>
      <c r="AC133" s="95" t="e">
        <f>VLOOKUP(U133,'BASE '!$A$4:$H$144,7,0)*Y133/100</f>
        <v>#N/A</v>
      </c>
      <c r="AD133" s="95" t="e">
        <f>VLOOKUP(U133,'BASE '!$A$4:$H$144,8,0)*Y133/100</f>
        <v>#N/A</v>
      </c>
      <c r="AE133" s="96" t="e">
        <f t="shared" si="36"/>
        <v>#N/A</v>
      </c>
      <c r="DN133" s="116" t="e">
        <f>(($I$5*#REF!)/100)+((#REF!*$J$5)/100)+(($K$5*#REF!)/100)+($L$5*#REF!)+($M$5*#REF!)</f>
        <v>#REF!</v>
      </c>
    </row>
    <row r="134" spans="2:118" x14ac:dyDescent="0.3">
      <c r="B134" s="64"/>
      <c r="C134" s="148"/>
      <c r="D134" s="109"/>
      <c r="E134" s="63"/>
      <c r="F134" s="127"/>
      <c r="G134" s="50"/>
      <c r="H134" s="10"/>
      <c r="I134" s="10"/>
      <c r="J134" s="10"/>
      <c r="K134" s="10"/>
      <c r="L134" s="10"/>
      <c r="M134" s="39"/>
      <c r="N134" s="33">
        <f t="shared" ref="N134:N165" si="37">((($H$5*H134)/100)+($I$5*I134)/100)+((J134*$J$5)/100)+(($K$5*K134)/100)+($L$5*L134)+($M$5*M134)</f>
        <v>0</v>
      </c>
      <c r="O134" s="52" t="b">
        <f>IF(AND(E134="CLIENT S+L",F134="HUILE"),(S134*3333.33+(VLOOKUP(H134,'BASE '!$I$112:$J$142,2,0)))-((S134*3333.33)*G134),IF(AND(E134="CLIENT S+L",F134="LAIT"),((S134*952.4)-(S134*952.4)*G134),IF(E134="CLIENT O","OFFERT",IF(AND(F134="HUILE",E134="CLIENT L"),(((VLOOKUP(H134,'BASE '!$I$112:$J$142,2,0))+(VLOOKUP(S134,'BASE '!#REF!,2,0)))),IF(AND(F134="LAIT",E134="CLIENT L"),(S134*952.4),IF(AND(F134="HUILE",E134="CLIENT D"),(S134*3809.53+(VLOOKUP(H134,'BASE '!$I$112:$J$142,2,0))),IF(AND(F134="LAIT",E134="CLIENT D"),(S134*952.4),IF(AND(F134="HUILE",E134="CLIENT S+D"),((S134*3809.53+(VLOOKUP(H134,'BASE '!$I$112:$J$142,2,0)))-((S134*3809.53)*G134)),IF(AND(F134="LAIT",E134="CLIENT S+D"),((S134*952.4)-((S134*952.4)*G134)),IF(AND(E134="CLIENT S",F134="LAIT"),((S134*952.4)-((S134*952.4)*G134)),IF(AND(F134="HUILE",E134="CLIENT S"),(VLOOKUP(H134,'BASE '!$I$112:$J$142,2,0)+(VLOOKUP(S134,'BASE '!#REF!,2,0)))-(G134*((VLOOKUP(S134,'BASE '!#REF!,2,0)+(VLOOKUP(H134,'BASE '!$I$112:$J$142,2,0))))))))))))))))</f>
        <v>0</v>
      </c>
      <c r="P134" s="52" t="b">
        <f t="shared" ref="P134:P165" si="38">IF(E134="CLIENT S+L",(O134*0.05),IF(E134="CLIENT S",(O134*0.05),IF(E134="CLIENT D",(O134*5/100),IF(E134="CLIENT L",(O134*5)/100,IF(E134="CLIENT S+D",(O134*0.05),IF(E134="CLIENT O",O134))))))</f>
        <v>0</v>
      </c>
      <c r="Q134" s="53" t="b">
        <f t="shared" ref="Q134:Q165" si="39">IF(E134="CLIENT S+L",(O134+P134),IF(E134="CLIENT D",O134+P134,IF(E134="CLIENT S",(O134+P134),IF(E134="CLIENT L",O134+P134,IF(E134="CLIENT S+D",(O134+P134),IF(E134="CLIENT O",P134))))))</f>
        <v>0</v>
      </c>
      <c r="R134" s="152" t="s">
        <v>175</v>
      </c>
      <c r="S134" s="184">
        <f t="shared" si="35"/>
        <v>0</v>
      </c>
      <c r="T134" s="124"/>
      <c r="U134" s="41" t="s">
        <v>175</v>
      </c>
      <c r="V134" s="70" t="e">
        <f>VLOOKUP(U134,'BASE '!$A$4:$H$144,2,0)</f>
        <v>#N/A</v>
      </c>
      <c r="W134" s="159"/>
      <c r="X134" s="159"/>
      <c r="Y134" s="160"/>
      <c r="Z134" s="158" t="e">
        <f>VLOOKUP(U134,'BASE '!$A$4:$H$144,3,0)</f>
        <v>#N/A</v>
      </c>
      <c r="AA134" s="94" t="e">
        <f t="shared" ref="AA134:AA144" si="40">(Y134*Z134)/100</f>
        <v>#N/A</v>
      </c>
      <c r="AB134" s="95" t="e">
        <f>VLOOKUP(U134,'BASE '!$A$4:$H$144,6,0)*Y134/100</f>
        <v>#N/A</v>
      </c>
      <c r="AC134" s="95" t="e">
        <f>VLOOKUP(U134,'BASE '!$A$4:$H$144,7,0)*Y134/100</f>
        <v>#N/A</v>
      </c>
      <c r="AD134" s="95" t="e">
        <f>VLOOKUP(U134,'BASE '!$A$4:$H$144,8,0)*Y134/100</f>
        <v>#N/A</v>
      </c>
      <c r="AE134" s="96" t="e">
        <f t="shared" si="36"/>
        <v>#N/A</v>
      </c>
      <c r="DN134" s="116"/>
    </row>
    <row r="135" spans="2:118" x14ac:dyDescent="0.3">
      <c r="B135" s="64"/>
      <c r="C135" s="148"/>
      <c r="D135" s="109"/>
      <c r="E135" s="63"/>
      <c r="F135" s="127"/>
      <c r="G135" s="50"/>
      <c r="H135" s="10"/>
      <c r="I135" s="10"/>
      <c r="J135" s="10"/>
      <c r="K135" s="10"/>
      <c r="L135" s="10"/>
      <c r="M135" s="39"/>
      <c r="N135" s="33">
        <f t="shared" si="37"/>
        <v>0</v>
      </c>
      <c r="O135" s="52" t="b">
        <f>IF(AND(E135="CLIENT S+L",F135="HUILE"),(S135*3333.33+(VLOOKUP(H135,'BASE '!$I$112:$J$142,2,0)))-((S135*3333.33)*G135),IF(AND(E135="CLIENT S+L",F135="LAIT"),((S135*952.4)-(S135*952.4)*G135),IF(E135="CLIENT O","OFFERT",IF(AND(F135="HUILE",E135="CLIENT L"),(((VLOOKUP(H135,'BASE '!$I$112:$J$142,2,0))+(VLOOKUP(S135,'BASE '!#REF!,2,0)))),IF(AND(F135="LAIT",E135="CLIENT L"),(S135*952.4),IF(AND(F135="HUILE",E135="CLIENT D"),(S135*3809.53+(VLOOKUP(H135,'BASE '!$I$112:$J$142,2,0))),IF(AND(F135="LAIT",E135="CLIENT D"),(S135*952.4),IF(AND(F135="HUILE",E135="CLIENT S+D"),((S135*3809.53+(VLOOKUP(H135,'BASE '!$I$112:$J$142,2,0)))-((S135*3809.53)*G135)),IF(AND(F135="LAIT",E135="CLIENT S+D"),((S135*952.4)-((S135*952.4)*G135)),IF(AND(E135="CLIENT S",F135="LAIT"),((S135*952.4)-((S135*952.4)*G135)),IF(AND(F135="HUILE",E135="CLIENT S"),(VLOOKUP(H135,'BASE '!$I$112:$J$142,2,0)+(VLOOKUP(S135,'BASE '!#REF!,2,0)))-(G135*((VLOOKUP(S135,'BASE '!#REF!,2,0)+(VLOOKUP(H135,'BASE '!$I$112:$J$142,2,0))))))))))))))))</f>
        <v>0</v>
      </c>
      <c r="P135" s="52" t="b">
        <f t="shared" si="38"/>
        <v>0</v>
      </c>
      <c r="Q135" s="53" t="b">
        <f t="shared" si="39"/>
        <v>0</v>
      </c>
      <c r="R135" s="152" t="s">
        <v>175</v>
      </c>
      <c r="S135" s="184">
        <f t="shared" ref="S135:S165" si="41">(($I$5*I135)/100)+((J135*$J$5)/100)+(($K$5*K135)/100)+($L$5*L135)+($M$5*M135)</f>
        <v>0</v>
      </c>
      <c r="T135" s="124"/>
      <c r="U135" s="41" t="s">
        <v>175</v>
      </c>
      <c r="V135" s="70" t="e">
        <f>VLOOKUP(U135,'BASE '!$A$4:$H$144,2,0)</f>
        <v>#N/A</v>
      </c>
      <c r="W135" s="159"/>
      <c r="X135" s="159"/>
      <c r="Y135" s="160"/>
      <c r="Z135" s="158" t="e">
        <f>VLOOKUP(U135,'BASE '!$A$4:$H$144,3,0)</f>
        <v>#N/A</v>
      </c>
      <c r="AA135" s="94" t="e">
        <f t="shared" si="40"/>
        <v>#N/A</v>
      </c>
      <c r="AB135" s="95" t="e">
        <f>VLOOKUP(U135,'BASE '!$A$4:$H$144,6,0)*Y135/100</f>
        <v>#N/A</v>
      </c>
      <c r="AC135" s="95" t="e">
        <f>VLOOKUP(U135,'BASE '!$A$4:$H$144,7,0)*Y135/100</f>
        <v>#N/A</v>
      </c>
      <c r="AD135" s="95" t="e">
        <f>VLOOKUP(U135,'BASE '!$A$4:$H$144,8,0)*Y135/100</f>
        <v>#N/A</v>
      </c>
      <c r="AE135" s="96" t="e">
        <f t="shared" ref="AE135:AE144" si="42">AA135+AB135+AC135+AD135</f>
        <v>#N/A</v>
      </c>
      <c r="DN135" s="116"/>
    </row>
    <row r="136" spans="2:118" x14ac:dyDescent="0.3">
      <c r="B136" s="64"/>
      <c r="C136" s="148"/>
      <c r="D136" s="109"/>
      <c r="E136" s="63"/>
      <c r="F136" s="127"/>
      <c r="G136" s="50"/>
      <c r="H136" s="10"/>
      <c r="I136" s="10"/>
      <c r="J136" s="10"/>
      <c r="K136" s="10"/>
      <c r="L136" s="10"/>
      <c r="M136" s="39"/>
      <c r="N136" s="33">
        <f t="shared" si="37"/>
        <v>0</v>
      </c>
      <c r="O136" s="52" t="b">
        <f>IF(AND(E136="CLIENT S+L",F136="HUILE"),(S136*3333.33+(VLOOKUP(H136,'BASE '!$I$112:$J$142,2,0)))-((S136*3333.33)*G136),IF(AND(E136="CLIENT S+L",F136="LAIT"),((S136*952.4)-(S136*952.4)*G136),IF(E136="CLIENT O","OFFERT",IF(AND(F136="HUILE",E136="CLIENT L"),(((VLOOKUP(H136,'BASE '!$I$112:$J$142,2,0))+(VLOOKUP(S136,'BASE '!#REF!,2,0)))),IF(AND(F136="LAIT",E136="CLIENT L"),(S136*952.4),IF(AND(F136="HUILE",E136="CLIENT D"),(S136*3809.53+(VLOOKUP(H136,'BASE '!$I$112:$J$142,2,0))),IF(AND(F136="LAIT",E136="CLIENT D"),(S136*952.4),IF(AND(F136="HUILE",E136="CLIENT S+D"),((S136*3809.53+(VLOOKUP(H136,'BASE '!$I$112:$J$142,2,0)))-((S136*3809.53)*G136)),IF(AND(F136="LAIT",E136="CLIENT S+D"),((S136*952.4)-((S136*952.4)*G136)),IF(AND(E136="CLIENT S",F136="LAIT"),((S136*952.4)-((S136*952.4)*G136)),IF(AND(F136="HUILE",E136="CLIENT S"),(VLOOKUP(H136,'BASE '!$I$112:$J$142,2,0)+(VLOOKUP(S136,'BASE '!#REF!,2,0)))-(G136*((VLOOKUP(S136,'BASE '!#REF!,2,0)+(VLOOKUP(H136,'BASE '!$I$112:$J$142,2,0))))))))))))))))</f>
        <v>0</v>
      </c>
      <c r="P136" s="52" t="b">
        <f t="shared" si="38"/>
        <v>0</v>
      </c>
      <c r="Q136" s="53" t="b">
        <f t="shared" si="39"/>
        <v>0</v>
      </c>
      <c r="R136" s="152" t="s">
        <v>175</v>
      </c>
      <c r="S136" s="184">
        <f t="shared" si="41"/>
        <v>0</v>
      </c>
      <c r="T136" s="124"/>
      <c r="U136" s="41" t="s">
        <v>175</v>
      </c>
      <c r="V136" s="70" t="e">
        <f>VLOOKUP(U136,'BASE '!$A$4:$H$144,2,0)</f>
        <v>#N/A</v>
      </c>
      <c r="W136" s="159"/>
      <c r="X136" s="159"/>
      <c r="Y136" s="160"/>
      <c r="Z136" s="158" t="e">
        <f>VLOOKUP(U136,'BASE '!$A$4:$H$144,3,0)</f>
        <v>#N/A</v>
      </c>
      <c r="AA136" s="94" t="e">
        <f t="shared" si="40"/>
        <v>#N/A</v>
      </c>
      <c r="AB136" s="95" t="e">
        <f>VLOOKUP(U136,'BASE '!$A$4:$H$144,6,0)*Y136/100</f>
        <v>#N/A</v>
      </c>
      <c r="AC136" s="95" t="e">
        <f>VLOOKUP(U136,'BASE '!$A$4:$H$144,7,0)*Y136/100</f>
        <v>#N/A</v>
      </c>
      <c r="AD136" s="95" t="e">
        <f>VLOOKUP(U136,'BASE '!$A$4:$H$144,8,0)*Y136/100</f>
        <v>#N/A</v>
      </c>
      <c r="AE136" s="96" t="e">
        <f t="shared" si="42"/>
        <v>#N/A</v>
      </c>
      <c r="DN136" s="116"/>
    </row>
    <row r="137" spans="2:118" x14ac:dyDescent="0.3">
      <c r="B137" s="64"/>
      <c r="C137" s="148"/>
      <c r="D137" s="109"/>
      <c r="E137" s="63"/>
      <c r="F137" s="127"/>
      <c r="G137" s="50"/>
      <c r="H137" s="10"/>
      <c r="I137" s="10"/>
      <c r="J137" s="10"/>
      <c r="K137" s="10"/>
      <c r="L137" s="10"/>
      <c r="M137" s="39"/>
      <c r="N137" s="33">
        <f t="shared" si="37"/>
        <v>0</v>
      </c>
      <c r="O137" s="52" t="b">
        <f>IF(AND(E137="CLIENT S+L",F137="HUILE"),(S137*3333.33+(VLOOKUP(H137,'BASE '!$I$112:$J$142,2,0)))-((S137*3333.33)*G137),IF(AND(E137="CLIENT S+L",F137="LAIT"),((S137*952.4)-(S137*952.4)*G137),IF(E137="CLIENT O","OFFERT",IF(AND(F137="HUILE",E137="CLIENT L"),(((VLOOKUP(H137,'BASE '!$I$112:$J$142,2,0))+(VLOOKUP(S137,'BASE '!#REF!,2,0)))),IF(AND(F137="LAIT",E137="CLIENT L"),(S137*952.4),IF(AND(F137="HUILE",E137="CLIENT D"),(S137*3809.53+(VLOOKUP(H137,'BASE '!$I$112:$J$142,2,0))),IF(AND(F137="LAIT",E137="CLIENT D"),(S137*952.4),IF(AND(F137="HUILE",E137="CLIENT S+D"),((S137*3809.53+(VLOOKUP(H137,'BASE '!$I$112:$J$142,2,0)))-((S137*3809.53)*G137)),IF(AND(F137="LAIT",E137="CLIENT S+D"),((S137*952.4)-((S137*952.4)*G137)),IF(AND(E137="CLIENT S",F137="LAIT"),((S137*952.4)-((S137*952.4)*G137)),IF(AND(F137="HUILE",E137="CLIENT S"),(VLOOKUP(H137,'BASE '!$I$112:$J$142,2,0)+(VLOOKUP(S137,'BASE '!#REF!,2,0)))-(G137*((VLOOKUP(S137,'BASE '!#REF!,2,0)+(VLOOKUP(H137,'BASE '!$I$112:$J$142,2,0))))))))))))))))</f>
        <v>0</v>
      </c>
      <c r="P137" s="52" t="b">
        <f t="shared" si="38"/>
        <v>0</v>
      </c>
      <c r="Q137" s="53" t="b">
        <f t="shared" si="39"/>
        <v>0</v>
      </c>
      <c r="R137" s="152" t="s">
        <v>175</v>
      </c>
      <c r="S137" s="184">
        <f t="shared" si="41"/>
        <v>0</v>
      </c>
      <c r="T137" s="124"/>
      <c r="U137" s="41" t="s">
        <v>175</v>
      </c>
      <c r="V137" s="70" t="e">
        <f>VLOOKUP(U137,'BASE '!$A$4:$H$144,2,0)</f>
        <v>#N/A</v>
      </c>
      <c r="W137" s="159"/>
      <c r="X137" s="159"/>
      <c r="Y137" s="160"/>
      <c r="Z137" s="158" t="e">
        <f>VLOOKUP(U137,'BASE '!$A$4:$H$144,3,0)</f>
        <v>#N/A</v>
      </c>
      <c r="AA137" s="94" t="e">
        <f t="shared" si="40"/>
        <v>#N/A</v>
      </c>
      <c r="AB137" s="95" t="e">
        <f>VLOOKUP(U137,'BASE '!$A$4:$H$144,6,0)*Y137/100</f>
        <v>#N/A</v>
      </c>
      <c r="AC137" s="95" t="e">
        <f>VLOOKUP(U137,'BASE '!$A$4:$H$144,7,0)*Y137/100</f>
        <v>#N/A</v>
      </c>
      <c r="AD137" s="95" t="e">
        <f>VLOOKUP(U137,'BASE '!$A$4:$H$144,8,0)*Y137/100</f>
        <v>#N/A</v>
      </c>
      <c r="AE137" s="96" t="e">
        <f t="shared" si="42"/>
        <v>#N/A</v>
      </c>
      <c r="DN137" s="116"/>
    </row>
    <row r="138" spans="2:118" x14ac:dyDescent="0.3">
      <c r="B138" s="64"/>
      <c r="C138" s="148"/>
      <c r="D138" s="109"/>
      <c r="E138" s="63"/>
      <c r="F138" s="127"/>
      <c r="G138" s="50"/>
      <c r="H138" s="10"/>
      <c r="I138" s="10"/>
      <c r="J138" s="10"/>
      <c r="K138" s="10"/>
      <c r="L138" s="10"/>
      <c r="M138" s="39"/>
      <c r="N138" s="33">
        <f t="shared" si="37"/>
        <v>0</v>
      </c>
      <c r="O138" s="52" t="b">
        <f>IF(AND(E138="CLIENT S+L",F138="HUILE"),(S138*3333.33+(VLOOKUP(H138,'BASE '!$I$112:$J$142,2,0)))-((S138*3333.33)*G138),IF(AND(E138="CLIENT S+L",F138="LAIT"),((S138*952.4)-(S138*952.4)*G138),IF(E138="CLIENT O","OFFERT",IF(AND(F138="HUILE",E138="CLIENT L"),(((VLOOKUP(H138,'BASE '!$I$112:$J$142,2,0))+(VLOOKUP(S138,'BASE '!#REF!,2,0)))),IF(AND(F138="LAIT",E138="CLIENT L"),(S138*952.4),IF(AND(F138="HUILE",E138="CLIENT D"),(S138*3809.53+(VLOOKUP(H138,'BASE '!$I$112:$J$142,2,0))),IF(AND(F138="LAIT",E138="CLIENT D"),(S138*952.4),IF(AND(F138="HUILE",E138="CLIENT S+D"),((S138*3809.53+(VLOOKUP(H138,'BASE '!$I$112:$J$142,2,0)))-((S138*3809.53)*G138)),IF(AND(F138="LAIT",E138="CLIENT S+D"),((S138*952.4)-((S138*952.4)*G138)),IF(AND(E138="CLIENT S",F138="LAIT"),((S138*952.4)-((S138*952.4)*G138)),IF(AND(F138="HUILE",E138="CLIENT S"),(VLOOKUP(H138,'BASE '!$I$112:$J$142,2,0)+(VLOOKUP(S138,'BASE '!#REF!,2,0)))-(G138*((VLOOKUP(S138,'BASE '!#REF!,2,0)+(VLOOKUP(H138,'BASE '!$I$112:$J$142,2,0))))))))))))))))</f>
        <v>0</v>
      </c>
      <c r="P138" s="52" t="b">
        <f t="shared" si="38"/>
        <v>0</v>
      </c>
      <c r="Q138" s="53" t="b">
        <f t="shared" si="39"/>
        <v>0</v>
      </c>
      <c r="R138" s="152" t="s">
        <v>175</v>
      </c>
      <c r="S138" s="184">
        <f t="shared" si="41"/>
        <v>0</v>
      </c>
      <c r="T138" s="124"/>
      <c r="U138" s="41" t="s">
        <v>175</v>
      </c>
      <c r="V138" s="70" t="e">
        <f>VLOOKUP(U138,'BASE '!$A$4:$H$144,2,0)</f>
        <v>#N/A</v>
      </c>
      <c r="W138" s="159"/>
      <c r="X138" s="159"/>
      <c r="Y138" s="160"/>
      <c r="Z138" s="158" t="e">
        <f>VLOOKUP(U138,'BASE '!$A$4:$H$144,3,0)</f>
        <v>#N/A</v>
      </c>
      <c r="AA138" s="94" t="e">
        <f t="shared" si="40"/>
        <v>#N/A</v>
      </c>
      <c r="AB138" s="95" t="e">
        <f>VLOOKUP(U138,'BASE '!$A$4:$H$144,6,0)*Y138/100</f>
        <v>#N/A</v>
      </c>
      <c r="AC138" s="95" t="e">
        <f>VLOOKUP(U138,'BASE '!$A$4:$H$144,7,0)*Y138/100</f>
        <v>#N/A</v>
      </c>
      <c r="AD138" s="95" t="e">
        <f>VLOOKUP(U138,'BASE '!$A$4:$H$144,8,0)*Y138/100</f>
        <v>#N/A</v>
      </c>
      <c r="AE138" s="96" t="e">
        <f t="shared" si="42"/>
        <v>#N/A</v>
      </c>
      <c r="DN138" s="116" t="e">
        <f>(($I$5*#REF!)/100)+((#REF!*$J$5)/100)+(($K$5*#REF!)/100)+($L$5*#REF!)+($M$5*#REF!)</f>
        <v>#REF!</v>
      </c>
    </row>
    <row r="139" spans="2:118" x14ac:dyDescent="0.3">
      <c r="B139" s="64"/>
      <c r="C139" s="148"/>
      <c r="D139" s="109"/>
      <c r="E139" s="63"/>
      <c r="F139" s="127"/>
      <c r="G139" s="50"/>
      <c r="H139" s="10"/>
      <c r="I139" s="10"/>
      <c r="J139" s="10"/>
      <c r="K139" s="10"/>
      <c r="L139" s="10"/>
      <c r="M139" s="39"/>
      <c r="N139" s="33">
        <f t="shared" si="37"/>
        <v>0</v>
      </c>
      <c r="O139" s="52" t="b">
        <f>IF(AND(E139="CLIENT S+L",F139="HUILE"),(S139*3333.33+(VLOOKUP(H139,'BASE '!$I$112:$J$142,2,0)))-((S139*3333.33)*G139),IF(AND(E139="CLIENT S+L",F139="LAIT"),((S139*952.4)-(S139*952.4)*G139),IF(E139="CLIENT O","OFFERT",IF(AND(F139="HUILE",E139="CLIENT L"),(((VLOOKUP(H139,'BASE '!$I$112:$J$142,2,0))+(VLOOKUP(S139,'BASE '!#REF!,2,0)))),IF(AND(F139="LAIT",E139="CLIENT L"),(S139*952.4),IF(AND(F139="HUILE",E139="CLIENT D"),(S139*3809.53+(VLOOKUP(H139,'BASE '!$I$112:$J$142,2,0))),IF(AND(F139="LAIT",E139="CLIENT D"),(S139*952.4),IF(AND(F139="HUILE",E139="CLIENT S+D"),((S139*3809.53+(VLOOKUP(H139,'BASE '!$I$112:$J$142,2,0)))-((S139*3809.53)*G139)),IF(AND(F139="LAIT",E139="CLIENT S+D"),((S139*952.4)-((S139*952.4)*G139)),IF(AND(E139="CLIENT S",F139="LAIT"),((S139*952.4)-((S139*952.4)*G139)),IF(AND(F139="HUILE",E139="CLIENT S"),(VLOOKUP(H139,'BASE '!$I$112:$J$142,2,0)+(VLOOKUP(S139,'BASE '!#REF!,2,0)))-(G139*((VLOOKUP(S139,'BASE '!#REF!,2,0)+(VLOOKUP(H139,'BASE '!$I$112:$J$142,2,0))))))))))))))))</f>
        <v>0</v>
      </c>
      <c r="P139" s="52" t="b">
        <f t="shared" si="38"/>
        <v>0</v>
      </c>
      <c r="Q139" s="53" t="b">
        <f t="shared" si="39"/>
        <v>0</v>
      </c>
      <c r="R139" s="152" t="s">
        <v>175</v>
      </c>
      <c r="S139" s="184">
        <f t="shared" si="41"/>
        <v>0</v>
      </c>
      <c r="T139" s="124"/>
      <c r="U139" s="41" t="s">
        <v>175</v>
      </c>
      <c r="V139" s="70" t="e">
        <f>VLOOKUP(U139,'BASE '!$A$4:$H$144,2,0)</f>
        <v>#N/A</v>
      </c>
      <c r="W139" s="159"/>
      <c r="X139" s="159"/>
      <c r="Y139" s="160"/>
      <c r="Z139" s="158" t="e">
        <f>VLOOKUP(U139,'BASE '!$A$4:$H$144,3,0)</f>
        <v>#N/A</v>
      </c>
      <c r="AA139" s="94" t="e">
        <f t="shared" si="40"/>
        <v>#N/A</v>
      </c>
      <c r="AB139" s="95" t="e">
        <f>VLOOKUP(U139,'BASE '!$A$4:$H$144,6,0)*Y139/100</f>
        <v>#N/A</v>
      </c>
      <c r="AC139" s="95" t="e">
        <f>VLOOKUP(U139,'BASE '!$A$4:$H$144,7,0)*Y139/100</f>
        <v>#N/A</v>
      </c>
      <c r="AD139" s="95" t="e">
        <f>VLOOKUP(U139,'BASE '!$A$4:$H$144,8,0)*Y139/100</f>
        <v>#N/A</v>
      </c>
      <c r="AE139" s="96" t="e">
        <f t="shared" si="42"/>
        <v>#N/A</v>
      </c>
      <c r="DN139" s="116" t="e">
        <f>(($I$5*#REF!)/100)+((#REF!*$J$5)/100)+(($K$5*#REF!)/100)+($L$5*#REF!)+($M$5*#REF!)</f>
        <v>#REF!</v>
      </c>
    </row>
    <row r="140" spans="2:118" x14ac:dyDescent="0.3">
      <c r="B140" s="64"/>
      <c r="C140" s="148"/>
      <c r="D140" s="109"/>
      <c r="E140" s="63"/>
      <c r="F140" s="127"/>
      <c r="G140" s="50"/>
      <c r="H140" s="10"/>
      <c r="I140" s="10"/>
      <c r="J140" s="10"/>
      <c r="K140" s="10"/>
      <c r="L140" s="10"/>
      <c r="M140" s="39"/>
      <c r="N140" s="33">
        <f t="shared" si="37"/>
        <v>0</v>
      </c>
      <c r="O140" s="52" t="b">
        <f>IF(AND(E140="CLIENT S+L",F140="HUILE"),(S140*3333.33+(VLOOKUP(H140,'BASE '!$I$112:$J$142,2,0)))-((S140*3333.33)*G140),IF(AND(E140="CLIENT S+L",F140="LAIT"),((S140*952.4)-(S140*952.4)*G140),IF(E140="CLIENT O","OFFERT",IF(AND(F140="HUILE",E140="CLIENT L"),(((VLOOKUP(H140,'BASE '!$I$112:$J$142,2,0))+(VLOOKUP(S140,'BASE '!#REF!,2,0)))),IF(AND(F140="LAIT",E140="CLIENT L"),(S140*952.4),IF(AND(F140="HUILE",E140="CLIENT D"),(S140*3809.53+(VLOOKUP(H140,'BASE '!$I$112:$J$142,2,0))),IF(AND(F140="LAIT",E140="CLIENT D"),(S140*952.4),IF(AND(F140="HUILE",E140="CLIENT S+D"),((S140*3809.53+(VLOOKUP(H140,'BASE '!$I$112:$J$142,2,0)))-((S140*3809.53)*G140)),IF(AND(F140="LAIT",E140="CLIENT S+D"),((S140*952.4)-((S140*952.4)*G140)),IF(AND(E140="CLIENT S",F140="LAIT"),((S140*952.4)-((S140*952.4)*G140)),IF(AND(F140="HUILE",E140="CLIENT S"),(VLOOKUP(H140,'BASE '!$I$112:$J$142,2,0)+(VLOOKUP(S140,'BASE '!#REF!,2,0)))-(G140*((VLOOKUP(S140,'BASE '!#REF!,2,0)+(VLOOKUP(H140,'BASE '!$I$112:$J$142,2,0))))))))))))))))</f>
        <v>0</v>
      </c>
      <c r="P140" s="52" t="b">
        <f t="shared" si="38"/>
        <v>0</v>
      </c>
      <c r="Q140" s="53" t="b">
        <f t="shared" si="39"/>
        <v>0</v>
      </c>
      <c r="R140" s="152" t="s">
        <v>175</v>
      </c>
      <c r="S140" s="184">
        <f t="shared" si="41"/>
        <v>0</v>
      </c>
      <c r="T140" s="124"/>
      <c r="U140" s="41" t="s">
        <v>175</v>
      </c>
      <c r="V140" s="70" t="e">
        <f>VLOOKUP(U140,'BASE '!$A$4:$H$144,2,0)</f>
        <v>#N/A</v>
      </c>
      <c r="W140" s="159"/>
      <c r="X140" s="159"/>
      <c r="Y140" s="160"/>
      <c r="Z140" s="158" t="e">
        <f>VLOOKUP(U140,'BASE '!$A$4:$H$144,3,0)</f>
        <v>#N/A</v>
      </c>
      <c r="AA140" s="94" t="e">
        <f t="shared" si="40"/>
        <v>#N/A</v>
      </c>
      <c r="AB140" s="95" t="e">
        <f>VLOOKUP(U140,'BASE '!$A$4:$H$144,6,0)*Y140/100</f>
        <v>#N/A</v>
      </c>
      <c r="AC140" s="95" t="e">
        <f>VLOOKUP(U140,'BASE '!$A$4:$H$144,7,0)*Y140/100</f>
        <v>#N/A</v>
      </c>
      <c r="AD140" s="95" t="e">
        <f>VLOOKUP(U140,'BASE '!$A$4:$H$144,8,0)*Y140/100</f>
        <v>#N/A</v>
      </c>
      <c r="AE140" s="96" t="e">
        <f t="shared" si="42"/>
        <v>#N/A</v>
      </c>
      <c r="DN140" s="116" t="e">
        <f>(($I$5*#REF!)/100)+((#REF!*$J$5)/100)+(($K$5*#REF!)/100)+($L$5*#REF!)+($M$5*#REF!)</f>
        <v>#REF!</v>
      </c>
    </row>
    <row r="141" spans="2:118" x14ac:dyDescent="0.3">
      <c r="B141" s="64"/>
      <c r="C141" s="148"/>
      <c r="D141" s="109"/>
      <c r="E141" s="63"/>
      <c r="F141" s="127"/>
      <c r="G141" s="50"/>
      <c r="H141" s="10"/>
      <c r="I141" s="10"/>
      <c r="J141" s="10"/>
      <c r="K141" s="10"/>
      <c r="L141" s="10"/>
      <c r="M141" s="39"/>
      <c r="N141" s="33">
        <f t="shared" si="37"/>
        <v>0</v>
      </c>
      <c r="O141" s="52" t="b">
        <f>IF(AND(E141="CLIENT S+L",F141="HUILE"),(S141*3333.33+(VLOOKUP(H141,'BASE '!$I$112:$J$142,2,0)))-((S141*3333.33)*G141),IF(AND(E141="CLIENT S+L",F141="LAIT"),((S141*952.4)-(S141*952.4)*G141),IF(E141="CLIENT O","OFFERT",IF(AND(F141="HUILE",E141="CLIENT L"),(((VLOOKUP(H141,'BASE '!$I$112:$J$142,2,0))+(VLOOKUP(S141,'BASE '!#REF!,2,0)))),IF(AND(F141="LAIT",E141="CLIENT L"),(S141*952.4),IF(AND(F141="HUILE",E141="CLIENT D"),(S141*3809.53+(VLOOKUP(H141,'BASE '!$I$112:$J$142,2,0))),IF(AND(F141="LAIT",E141="CLIENT D"),(S141*952.4),IF(AND(F141="HUILE",E141="CLIENT S+D"),((S141*3809.53+(VLOOKUP(H141,'BASE '!$I$112:$J$142,2,0)))-((S141*3809.53)*G141)),IF(AND(F141="LAIT",E141="CLIENT S+D"),((S141*952.4)-((S141*952.4)*G141)),IF(AND(E141="CLIENT S",F141="LAIT"),((S141*952.4)-((S141*952.4)*G141)),IF(AND(F141="HUILE",E141="CLIENT S"),(VLOOKUP(H141,'BASE '!$I$112:$J$142,2,0)+(VLOOKUP(S141,'BASE '!#REF!,2,0)))-(G141*((VLOOKUP(S141,'BASE '!#REF!,2,0)+(VLOOKUP(H141,'BASE '!$I$112:$J$142,2,0))))))))))))))))</f>
        <v>0</v>
      </c>
      <c r="P141" s="52" t="b">
        <f t="shared" si="38"/>
        <v>0</v>
      </c>
      <c r="Q141" s="53" t="b">
        <f t="shared" si="39"/>
        <v>0</v>
      </c>
      <c r="R141" s="152" t="s">
        <v>175</v>
      </c>
      <c r="S141" s="184">
        <f t="shared" si="41"/>
        <v>0</v>
      </c>
      <c r="T141" s="124"/>
      <c r="U141" s="41" t="s">
        <v>175</v>
      </c>
      <c r="V141" s="70" t="e">
        <f>VLOOKUP(U141,'BASE '!$A$4:$H$144,2,0)</f>
        <v>#N/A</v>
      </c>
      <c r="W141" s="159"/>
      <c r="X141" s="159"/>
      <c r="Y141" s="160"/>
      <c r="Z141" s="158" t="e">
        <f>VLOOKUP(U141,'BASE '!$A$4:$H$144,3,0)</f>
        <v>#N/A</v>
      </c>
      <c r="AA141" s="94" t="e">
        <f t="shared" si="40"/>
        <v>#N/A</v>
      </c>
      <c r="AB141" s="95" t="e">
        <f>VLOOKUP(U141,'BASE '!$A$4:$H$144,6,0)*Y141/100</f>
        <v>#N/A</v>
      </c>
      <c r="AC141" s="95" t="e">
        <f>VLOOKUP(U141,'BASE '!$A$4:$H$144,7,0)*Y141/100</f>
        <v>#N/A</v>
      </c>
      <c r="AD141" s="95" t="e">
        <f>VLOOKUP(U141,'BASE '!$A$4:$H$144,8,0)*Y141/100</f>
        <v>#N/A</v>
      </c>
      <c r="AE141" s="96" t="e">
        <f t="shared" si="42"/>
        <v>#N/A</v>
      </c>
      <c r="DN141" s="116" t="e">
        <f>(($I$5*#REF!)/100)+((#REF!*$J$5)/100)+(($K$5*#REF!)/100)+($L$5*#REF!)+($M$5*#REF!)</f>
        <v>#REF!</v>
      </c>
    </row>
    <row r="142" spans="2:118" x14ac:dyDescent="0.3">
      <c r="B142" s="64"/>
      <c r="C142" s="148"/>
      <c r="D142" s="109"/>
      <c r="E142" s="63"/>
      <c r="F142" s="127"/>
      <c r="G142" s="50"/>
      <c r="H142" s="10"/>
      <c r="I142" s="10"/>
      <c r="J142" s="10"/>
      <c r="K142" s="10"/>
      <c r="L142" s="10"/>
      <c r="M142" s="39"/>
      <c r="N142" s="33">
        <f t="shared" si="37"/>
        <v>0</v>
      </c>
      <c r="O142" s="52" t="b">
        <f>IF(AND(E142="CLIENT S+L",F142="HUILE"),(S142*3333.33+(VLOOKUP(H142,'BASE '!$I$112:$J$142,2,0)))-((S142*3333.33)*G142),IF(AND(E142="CLIENT S+L",F142="LAIT"),((S142*952.4)-(S142*952.4)*G142),IF(E142="CLIENT O","OFFERT",IF(AND(F142="HUILE",E142="CLIENT L"),(((VLOOKUP(H142,'BASE '!$I$112:$J$142,2,0))+(VLOOKUP(S142,'BASE '!#REF!,2,0)))),IF(AND(F142="LAIT",E142="CLIENT L"),(S142*952.4),IF(AND(F142="HUILE",E142="CLIENT D"),(S142*3809.53+(VLOOKUP(H142,'BASE '!$I$112:$J$142,2,0))),IF(AND(F142="LAIT",E142="CLIENT D"),(S142*952.4),IF(AND(F142="HUILE",E142="CLIENT S+D"),((S142*3809.53+(VLOOKUP(H142,'BASE '!$I$112:$J$142,2,0)))-((S142*3809.53)*G142)),IF(AND(F142="LAIT",E142="CLIENT S+D"),((S142*952.4)-((S142*952.4)*G142)),IF(AND(E142="CLIENT S",F142="LAIT"),((S142*952.4)-((S142*952.4)*G142)),IF(AND(F142="HUILE",E142="CLIENT S"),(VLOOKUP(H142,'BASE '!$I$112:$J$142,2,0)+(VLOOKUP(S142,'BASE '!#REF!,2,0)))-(G142*((VLOOKUP(S142,'BASE '!#REF!,2,0)+(VLOOKUP(H142,'BASE '!$I$112:$J$142,2,0))))))))))))))))</f>
        <v>0</v>
      </c>
      <c r="P142" s="52" t="b">
        <f t="shared" si="38"/>
        <v>0</v>
      </c>
      <c r="Q142" s="53" t="b">
        <f t="shared" si="39"/>
        <v>0</v>
      </c>
      <c r="R142" s="152" t="s">
        <v>175</v>
      </c>
      <c r="S142" s="184">
        <f t="shared" si="41"/>
        <v>0</v>
      </c>
      <c r="T142" s="124"/>
      <c r="U142" s="41" t="s">
        <v>175</v>
      </c>
      <c r="V142" s="70" t="e">
        <f>VLOOKUP(U142,'BASE '!$A$4:$H$144,2,0)</f>
        <v>#N/A</v>
      </c>
      <c r="W142" s="159"/>
      <c r="X142" s="159"/>
      <c r="Y142" s="160"/>
      <c r="Z142" s="158" t="e">
        <f>VLOOKUP(U142,'BASE '!$A$4:$H$144,3,0)</f>
        <v>#N/A</v>
      </c>
      <c r="AA142" s="94" t="e">
        <f t="shared" si="40"/>
        <v>#N/A</v>
      </c>
      <c r="AB142" s="95" t="e">
        <f>VLOOKUP(U142,'BASE '!$A$4:$H$144,6,0)*Y142/100</f>
        <v>#N/A</v>
      </c>
      <c r="AC142" s="95" t="e">
        <f>VLOOKUP(U142,'BASE '!$A$4:$H$144,7,0)*Y142/100</f>
        <v>#N/A</v>
      </c>
      <c r="AD142" s="95" t="e">
        <f>VLOOKUP(U142,'BASE '!$A$4:$H$144,8,0)*Y142/100</f>
        <v>#N/A</v>
      </c>
      <c r="AE142" s="96" t="e">
        <f t="shared" si="42"/>
        <v>#N/A</v>
      </c>
      <c r="DN142" s="116" t="e">
        <f>(($I$5*#REF!)/100)+((#REF!*$J$5)/100)+(($K$5*#REF!)/100)+($L$5*#REF!)+($M$5*#REF!)</f>
        <v>#REF!</v>
      </c>
    </row>
    <row r="143" spans="2:118" x14ac:dyDescent="0.3">
      <c r="B143" s="64"/>
      <c r="C143" s="148"/>
      <c r="D143" s="109"/>
      <c r="E143" s="63"/>
      <c r="F143" s="127"/>
      <c r="G143" s="50"/>
      <c r="H143" s="10"/>
      <c r="I143" s="10"/>
      <c r="J143" s="10"/>
      <c r="K143" s="10"/>
      <c r="L143" s="10"/>
      <c r="M143" s="39"/>
      <c r="N143" s="33">
        <f t="shared" si="37"/>
        <v>0</v>
      </c>
      <c r="O143" s="52" t="b">
        <f>IF(AND(E143="CLIENT S+L",F143="HUILE"),(S143*3333.33+(VLOOKUP(H143,'BASE '!$I$112:$J$142,2,0)))-((S143*3333.33)*G143),IF(AND(E143="CLIENT S+L",F143="LAIT"),((S143*952.4)-(S143*952.4)*G143),IF(E143="CLIENT O","OFFERT",IF(AND(F143="HUILE",E143="CLIENT L"),(((VLOOKUP(H143,'BASE '!$I$112:$J$142,2,0))+(VLOOKUP(S143,'BASE '!#REF!,2,0)))),IF(AND(F143="LAIT",E143="CLIENT L"),(S143*952.4),IF(AND(F143="HUILE",E143="CLIENT D"),(S143*3809.53+(VLOOKUP(H143,'BASE '!$I$112:$J$142,2,0))),IF(AND(F143="LAIT",E143="CLIENT D"),(S143*952.4),IF(AND(F143="HUILE",E143="CLIENT S+D"),((S143*3809.53+(VLOOKUP(H143,'BASE '!$I$112:$J$142,2,0)))-((S143*3809.53)*G143)),IF(AND(F143="LAIT",E143="CLIENT S+D"),((S143*952.4)-((S143*952.4)*G143)),IF(AND(E143="CLIENT S",F143="LAIT"),((S143*952.4)-((S143*952.4)*G143)),IF(AND(F143="HUILE",E143="CLIENT S"),(VLOOKUP(H143,'BASE '!$I$112:$J$142,2,0)+(VLOOKUP(S143,'BASE '!#REF!,2,0)))-(G143*((VLOOKUP(S143,'BASE '!#REF!,2,0)+(VLOOKUP(H143,'BASE '!$I$112:$J$142,2,0))))))))))))))))</f>
        <v>0</v>
      </c>
      <c r="P143" s="52" t="b">
        <f t="shared" si="38"/>
        <v>0</v>
      </c>
      <c r="Q143" s="53" t="b">
        <f t="shared" si="39"/>
        <v>0</v>
      </c>
      <c r="R143" s="152" t="s">
        <v>175</v>
      </c>
      <c r="S143" s="184">
        <f t="shared" si="41"/>
        <v>0</v>
      </c>
      <c r="T143" s="124"/>
      <c r="U143" s="41" t="s">
        <v>175</v>
      </c>
      <c r="V143" s="70" t="e">
        <f>VLOOKUP(U143,'BASE '!$A$4:$H$144,2,0)</f>
        <v>#N/A</v>
      </c>
      <c r="W143" s="159"/>
      <c r="X143" s="159"/>
      <c r="Y143" s="160"/>
      <c r="Z143" s="158" t="e">
        <f>VLOOKUP(U143,'BASE '!$A$4:$H$144,3,0)</f>
        <v>#N/A</v>
      </c>
      <c r="AA143" s="94" t="e">
        <f t="shared" si="40"/>
        <v>#N/A</v>
      </c>
      <c r="AB143" s="95" t="e">
        <f>VLOOKUP(U143,'BASE '!$A$4:$H$144,6,0)*Y143/100</f>
        <v>#N/A</v>
      </c>
      <c r="AC143" s="95" t="e">
        <f>VLOOKUP(U143,'BASE '!$A$4:$H$144,7,0)*Y143/100</f>
        <v>#N/A</v>
      </c>
      <c r="AD143" s="95" t="e">
        <f>VLOOKUP(U143,'BASE '!$A$4:$H$144,8,0)*Y143/100</f>
        <v>#N/A</v>
      </c>
      <c r="AE143" s="96" t="e">
        <f t="shared" si="42"/>
        <v>#N/A</v>
      </c>
      <c r="DN143" s="116" t="e">
        <f>(($I$5*#REF!)/100)+((#REF!*$J$5)/100)+(($K$5*#REF!)/100)+($L$5*#REF!)+($M$5*#REF!)</f>
        <v>#REF!</v>
      </c>
    </row>
    <row r="144" spans="2:118" ht="15" thickBot="1" x14ac:dyDescent="0.35">
      <c r="B144" s="64"/>
      <c r="C144" s="148"/>
      <c r="D144" s="109"/>
      <c r="E144" s="63"/>
      <c r="F144" s="127"/>
      <c r="G144" s="50"/>
      <c r="H144" s="10"/>
      <c r="I144" s="10"/>
      <c r="J144" s="10"/>
      <c r="K144" s="10"/>
      <c r="L144" s="10"/>
      <c r="M144" s="39"/>
      <c r="N144" s="33">
        <f t="shared" si="37"/>
        <v>0</v>
      </c>
      <c r="O144" s="52" t="b">
        <f>IF(AND(E144="CLIENT S+L",F144="HUILE"),(S144*3333.33+(VLOOKUP(H144,'BASE '!$I$112:$J$142,2,0)))-((S144*3333.33)*G144),IF(AND(E144="CLIENT S+L",F144="LAIT"),((S144*952.4)-(S144*952.4)*G144),IF(E144="CLIENT O","OFFERT",IF(AND(F144="HUILE",E144="CLIENT L"),(((VLOOKUP(H144,'BASE '!$I$112:$J$142,2,0))+(VLOOKUP(S144,'BASE '!#REF!,2,0)))),IF(AND(F144="LAIT",E144="CLIENT L"),(S144*952.4),IF(AND(F144="HUILE",E144="CLIENT D"),(S144*3809.53+(VLOOKUP(H144,'BASE '!$I$112:$J$142,2,0))),IF(AND(F144="LAIT",E144="CLIENT D"),(S144*952.4),IF(AND(F144="HUILE",E144="CLIENT S+D"),((S144*3809.53+(VLOOKUP(H144,'BASE '!$I$112:$J$142,2,0)))-((S144*3809.53)*G144)),IF(AND(F144="LAIT",E144="CLIENT S+D"),((S144*952.4)-((S144*952.4)*G144)),IF(AND(E144="CLIENT S",F144="LAIT"),((S144*952.4)-((S144*952.4)*G144)),IF(AND(F144="HUILE",E144="CLIENT S"),(VLOOKUP(H144,'BASE '!$I$112:$J$142,2,0)+(VLOOKUP(S144,'BASE '!#REF!,2,0)))-(G144*((VLOOKUP(S144,'BASE '!#REF!,2,0)+(VLOOKUP(H144,'BASE '!$I$112:$J$142,2,0))))))))))))))))</f>
        <v>0</v>
      </c>
      <c r="P144" s="52" t="b">
        <f t="shared" si="38"/>
        <v>0</v>
      </c>
      <c r="Q144" s="53" t="b">
        <f t="shared" si="39"/>
        <v>0</v>
      </c>
      <c r="R144" s="152" t="s">
        <v>175</v>
      </c>
      <c r="S144" s="184">
        <f t="shared" si="41"/>
        <v>0</v>
      </c>
      <c r="T144" s="125"/>
      <c r="U144" s="185" t="s">
        <v>175</v>
      </c>
      <c r="V144" s="97" t="e">
        <f>VLOOKUP(U144,'BASE '!$A$4:$H$144,2,0)</f>
        <v>#N/A</v>
      </c>
      <c r="W144" s="163"/>
      <c r="X144" s="163"/>
      <c r="Y144" s="164"/>
      <c r="Z144" s="98" t="e">
        <f>VLOOKUP(U144,'BASE '!$A$4:$H$144,3,0)</f>
        <v>#N/A</v>
      </c>
      <c r="AA144" s="99" t="e">
        <f t="shared" si="40"/>
        <v>#N/A</v>
      </c>
      <c r="AB144" s="100" t="e">
        <f>VLOOKUP(U144,'BASE '!$A$4:$H$144,6,0)*Y144/100</f>
        <v>#N/A</v>
      </c>
      <c r="AC144" s="100" t="e">
        <f>VLOOKUP(U144,'BASE '!$A$4:$H$144,7,0)*Y144/100</f>
        <v>#N/A</v>
      </c>
      <c r="AD144" s="100" t="e">
        <f>VLOOKUP(U144,'BASE '!$A$4:$H$144,8,0)*Y144/100</f>
        <v>#N/A</v>
      </c>
      <c r="AE144" s="101" t="e">
        <f t="shared" si="42"/>
        <v>#N/A</v>
      </c>
      <c r="DN144" s="116" t="e">
        <f>(($I$5*#REF!)/100)+((#REF!*$J$5)/100)+(($K$5*#REF!)/100)+($L$5*#REF!)+($M$5*#REF!)</f>
        <v>#REF!</v>
      </c>
    </row>
    <row r="145" spans="2:118" ht="15.6" thickTop="1" thickBot="1" x14ac:dyDescent="0.35">
      <c r="B145" s="64"/>
      <c r="C145" s="148"/>
      <c r="D145" s="109"/>
      <c r="E145" s="63"/>
      <c r="F145" s="127"/>
      <c r="G145" s="50"/>
      <c r="H145" s="10"/>
      <c r="I145" s="10"/>
      <c r="J145" s="10"/>
      <c r="K145" s="10"/>
      <c r="L145" s="10"/>
      <c r="M145" s="39"/>
      <c r="N145" s="33">
        <f t="shared" si="37"/>
        <v>0</v>
      </c>
      <c r="O145" s="52" t="b">
        <f>IF(AND(E145="CLIENT S+L",F145="HUILE"),(S145*3333.33+(VLOOKUP(H145,'BASE '!$I$112:$J$142,2,0)))-((S145*3333.33)*G145),IF(AND(E145="CLIENT S+L",F145="LAIT"),((S145*952.4)-(S145*952.4)*G145),IF(E145="CLIENT O","OFFERT",IF(AND(F145="HUILE",E145="CLIENT L"),(((VLOOKUP(H145,'BASE '!$I$112:$J$142,2,0))+(VLOOKUP(S145,'BASE '!#REF!,2,0)))),IF(AND(F145="LAIT",E145="CLIENT L"),(S145*952.4),IF(AND(F145="HUILE",E145="CLIENT D"),(S145*3809.53+(VLOOKUP(H145,'BASE '!$I$112:$J$142,2,0))),IF(AND(F145="LAIT",E145="CLIENT D"),(S145*952.4),IF(AND(F145="HUILE",E145="CLIENT S+D"),((S145*3809.53+(VLOOKUP(H145,'BASE '!$I$112:$J$142,2,0)))-((S145*3809.53)*G145)),IF(AND(F145="LAIT",E145="CLIENT S+D"),((S145*952.4)-((S145*952.4)*G145)),IF(AND(E145="CLIENT S",F145="LAIT"),((S145*952.4)-((S145*952.4)*G145)),IF(AND(F145="HUILE",E145="CLIENT S"),(VLOOKUP(H145,'BASE '!$I$112:$J$142,2,0)+(VLOOKUP(S145,'BASE '!#REF!,2,0)))-(G145*((VLOOKUP(S145,'BASE '!#REF!,2,0)+(VLOOKUP(H145,'BASE '!$I$112:$J$142,2,0))))))))))))))))</f>
        <v>0</v>
      </c>
      <c r="P145" s="52" t="b">
        <f t="shared" si="38"/>
        <v>0</v>
      </c>
      <c r="Q145" s="53" t="b">
        <f t="shared" si="39"/>
        <v>0</v>
      </c>
      <c r="R145" s="152" t="s">
        <v>175</v>
      </c>
      <c r="S145" s="184">
        <f t="shared" si="41"/>
        <v>0</v>
      </c>
      <c r="T145" s="412" t="s">
        <v>48</v>
      </c>
      <c r="U145" s="413"/>
      <c r="V145" s="413"/>
      <c r="W145" s="413"/>
      <c r="X145" s="413"/>
      <c r="Y145" s="414">
        <f>SUMIF(Y6:Y144,"&lt;&gt;#N/A")</f>
        <v>0</v>
      </c>
      <c r="Z145" s="414"/>
      <c r="AA145" s="414"/>
      <c r="AB145" s="414"/>
      <c r="AC145" s="414"/>
      <c r="AD145" s="414"/>
      <c r="AE145" s="414"/>
      <c r="DN145" s="116" t="e">
        <f>(($I$5*#REF!)/100)+((#REF!*$J$5)/100)+(($K$5*#REF!)/100)+($L$5*#REF!)+($M$5*#REF!)</f>
        <v>#REF!</v>
      </c>
    </row>
    <row r="146" spans="2:118" ht="15" thickBot="1" x14ac:dyDescent="0.35">
      <c r="B146" s="64"/>
      <c r="C146" s="148"/>
      <c r="D146" s="109"/>
      <c r="E146" s="63"/>
      <c r="F146" s="127"/>
      <c r="G146" s="50"/>
      <c r="H146" s="10"/>
      <c r="I146" s="10"/>
      <c r="J146" s="10"/>
      <c r="K146" s="10"/>
      <c r="L146" s="10"/>
      <c r="M146" s="39"/>
      <c r="N146" s="33">
        <f t="shared" si="37"/>
        <v>0</v>
      </c>
      <c r="O146" s="52" t="b">
        <f>IF(AND(E146="CLIENT S+L",F146="HUILE"),(S146*3333.33+(VLOOKUP(H146,'BASE '!$I$112:$J$142,2,0)))-((S146*3333.33)*G146),IF(AND(E146="CLIENT S+L",F146="LAIT"),((S146*952.4)-(S146*952.4)*G146),IF(E146="CLIENT O","OFFERT",IF(AND(F146="HUILE",E146="CLIENT L"),(((VLOOKUP(H146,'BASE '!$I$112:$J$142,2,0))+(VLOOKUP(S146,'BASE '!#REF!,2,0)))),IF(AND(F146="LAIT",E146="CLIENT L"),(S146*952.4),IF(AND(F146="HUILE",E146="CLIENT D"),(S146*3809.53+(VLOOKUP(H146,'BASE '!$I$112:$J$142,2,0))),IF(AND(F146="LAIT",E146="CLIENT D"),(S146*952.4),IF(AND(F146="HUILE",E146="CLIENT S+D"),((S146*3809.53+(VLOOKUP(H146,'BASE '!$I$112:$J$142,2,0)))-((S146*3809.53)*G146)),IF(AND(F146="LAIT",E146="CLIENT S+D"),((S146*952.4)-((S146*952.4)*G146)),IF(AND(E146="CLIENT S",F146="LAIT"),((S146*952.4)-((S146*952.4)*G146)),IF(AND(F146="HUILE",E146="CLIENT S"),(VLOOKUP(H146,'BASE '!$I$112:$J$142,2,0)+(VLOOKUP(S146,'BASE '!#REF!,2,0)))-(G146*((VLOOKUP(S146,'BASE '!#REF!,2,0)+(VLOOKUP(H146,'BASE '!$I$112:$J$142,2,0))))))))))))))))</f>
        <v>0</v>
      </c>
      <c r="P146" s="52" t="b">
        <f t="shared" si="38"/>
        <v>0</v>
      </c>
      <c r="Q146" s="53" t="b">
        <f t="shared" si="39"/>
        <v>0</v>
      </c>
      <c r="R146" s="152" t="s">
        <v>175</v>
      </c>
      <c r="S146" s="184">
        <f t="shared" si="41"/>
        <v>0</v>
      </c>
      <c r="T146" s="406" t="s">
        <v>43</v>
      </c>
      <c r="U146" s="407"/>
      <c r="V146" s="407"/>
      <c r="W146" s="407"/>
      <c r="X146" s="407"/>
      <c r="Y146" s="407"/>
      <c r="Z146" s="407"/>
      <c r="AA146" s="416">
        <f>SUMIF(AA6:AA144,"&lt;&gt;#N/A")</f>
        <v>0</v>
      </c>
      <c r="AB146" s="416"/>
      <c r="AC146" s="416"/>
      <c r="AD146" s="416"/>
      <c r="AE146" s="416"/>
      <c r="DN146" s="116" t="e">
        <f>(($I$5*#REF!)/100)+((#REF!*$J$5)/100)+(($K$5*#REF!)/100)+($L$5*#REF!)+($M$5*#REF!)</f>
        <v>#REF!</v>
      </c>
    </row>
    <row r="147" spans="2:118" ht="15" thickBot="1" x14ac:dyDescent="0.35">
      <c r="B147" s="64"/>
      <c r="C147" s="148"/>
      <c r="D147" s="109"/>
      <c r="E147" s="63"/>
      <c r="F147" s="127"/>
      <c r="G147" s="50"/>
      <c r="H147" s="10"/>
      <c r="I147" s="10"/>
      <c r="J147" s="10"/>
      <c r="K147" s="10"/>
      <c r="L147" s="10"/>
      <c r="M147" s="39"/>
      <c r="N147" s="33">
        <f t="shared" si="37"/>
        <v>0</v>
      </c>
      <c r="O147" s="52" t="b">
        <f>IF(AND(E147="CLIENT S+L",F147="HUILE"),(S147*3333.33+(VLOOKUP(H147,'BASE '!$I$112:$J$142,2,0)))-((S147*3333.33)*G147),IF(AND(E147="CLIENT S+L",F147="LAIT"),((S147*952.4)-(S147*952.4)*G147),IF(E147="CLIENT O","OFFERT",IF(AND(F147="HUILE",E147="CLIENT L"),(((VLOOKUP(H147,'BASE '!$I$112:$J$142,2,0))+(VLOOKUP(S147,'BASE '!#REF!,2,0)))),IF(AND(F147="LAIT",E147="CLIENT L"),(S147*952.4),IF(AND(F147="HUILE",E147="CLIENT D"),(S147*3809.53+(VLOOKUP(H147,'BASE '!$I$112:$J$142,2,0))),IF(AND(F147="LAIT",E147="CLIENT D"),(S147*952.4),IF(AND(F147="HUILE",E147="CLIENT S+D"),((S147*3809.53+(VLOOKUP(H147,'BASE '!$I$112:$J$142,2,0)))-((S147*3809.53)*G147)),IF(AND(F147="LAIT",E147="CLIENT S+D"),((S147*952.4)-((S147*952.4)*G147)),IF(AND(E147="CLIENT S",F147="LAIT"),((S147*952.4)-((S147*952.4)*G147)),IF(AND(F147="HUILE",E147="CLIENT S"),(VLOOKUP(H147,'BASE '!$I$112:$J$142,2,0)+(VLOOKUP(S147,'BASE '!#REF!,2,0)))-(G147*((VLOOKUP(S147,'BASE '!#REF!,2,0)+(VLOOKUP(H147,'BASE '!$I$112:$J$142,2,0))))))))))))))))</f>
        <v>0</v>
      </c>
      <c r="P147" s="52" t="b">
        <f t="shared" si="38"/>
        <v>0</v>
      </c>
      <c r="Q147" s="53" t="b">
        <f t="shared" si="39"/>
        <v>0</v>
      </c>
      <c r="R147" s="152" t="s">
        <v>175</v>
      </c>
      <c r="S147" s="184">
        <f t="shared" si="41"/>
        <v>0</v>
      </c>
      <c r="T147" s="406" t="s">
        <v>47</v>
      </c>
      <c r="U147" s="407"/>
      <c r="V147" s="407"/>
      <c r="W147" s="407"/>
      <c r="X147" s="407"/>
      <c r="Y147" s="407"/>
      <c r="Z147" s="407"/>
      <c r="AA147" s="408">
        <f>SUMIF(AB6:AB144,"&lt;&gt;#N/A")</f>
        <v>0</v>
      </c>
      <c r="AB147" s="408"/>
      <c r="AC147" s="408"/>
      <c r="AD147" s="408"/>
      <c r="AE147" s="408"/>
      <c r="DN147" s="68"/>
    </row>
    <row r="148" spans="2:118" ht="15" thickBot="1" x14ac:dyDescent="0.35">
      <c r="B148" s="64"/>
      <c r="C148" s="148"/>
      <c r="D148" s="109"/>
      <c r="E148" s="63"/>
      <c r="F148" s="127"/>
      <c r="G148" s="50"/>
      <c r="H148" s="10"/>
      <c r="I148" s="10"/>
      <c r="J148" s="10"/>
      <c r="K148" s="10"/>
      <c r="L148" s="10"/>
      <c r="M148" s="39"/>
      <c r="N148" s="33">
        <f t="shared" si="37"/>
        <v>0</v>
      </c>
      <c r="O148" s="52" t="b">
        <f>IF(AND(E148="CLIENT S+L",F148="HUILE"),(S148*3333.33+(VLOOKUP(H148,'BASE '!$I$112:$J$142,2,0)))-((S148*3333.33)*G148),IF(AND(E148="CLIENT S+L",F148="LAIT"),((S148*952.4)-(S148*952.4)*G148),IF(E148="CLIENT O","OFFERT",IF(AND(F148="HUILE",E148="CLIENT L"),(((VLOOKUP(H148,'BASE '!$I$112:$J$142,2,0))+(VLOOKUP(S148,'BASE '!#REF!,2,0)))),IF(AND(F148="LAIT",E148="CLIENT L"),(S148*952.4),IF(AND(F148="HUILE",E148="CLIENT D"),(S148*3809.53+(VLOOKUP(H148,'BASE '!$I$112:$J$142,2,0))),IF(AND(F148="LAIT",E148="CLIENT D"),(S148*952.4),IF(AND(F148="HUILE",E148="CLIENT S+D"),((S148*3809.53+(VLOOKUP(H148,'BASE '!$I$112:$J$142,2,0)))-((S148*3809.53)*G148)),IF(AND(F148="LAIT",E148="CLIENT S+D"),((S148*952.4)-((S148*952.4)*G148)),IF(AND(E148="CLIENT S",F148="LAIT"),((S148*952.4)-((S148*952.4)*G148)),IF(AND(F148="HUILE",E148="CLIENT S"),(VLOOKUP(H148,'BASE '!$I$112:$J$142,2,0)+(VLOOKUP(S148,'BASE '!#REF!,2,0)))-(G148*((VLOOKUP(S148,'BASE '!#REF!,2,0)+(VLOOKUP(H148,'BASE '!$I$112:$J$142,2,0))))))))))))))))</f>
        <v>0</v>
      </c>
      <c r="P148" s="52" t="b">
        <f t="shared" si="38"/>
        <v>0</v>
      </c>
      <c r="Q148" s="53" t="b">
        <f t="shared" si="39"/>
        <v>0</v>
      </c>
      <c r="R148" s="152" t="s">
        <v>175</v>
      </c>
      <c r="S148" s="184">
        <f t="shared" si="41"/>
        <v>0</v>
      </c>
      <c r="T148" s="406" t="s">
        <v>46</v>
      </c>
      <c r="U148" s="407"/>
      <c r="V148" s="407"/>
      <c r="W148" s="407"/>
      <c r="X148" s="407"/>
      <c r="Y148" s="407"/>
      <c r="Z148" s="407"/>
      <c r="AA148" s="407"/>
      <c r="AB148" s="415">
        <f>SUMIF(AC6:AC144,"&lt;&gt;#N/A")</f>
        <v>0</v>
      </c>
      <c r="AC148" s="415"/>
      <c r="AD148" s="415"/>
      <c r="AE148" s="415"/>
      <c r="DN148" s="68"/>
    </row>
    <row r="149" spans="2:118" ht="15" thickBot="1" x14ac:dyDescent="0.35">
      <c r="B149" s="64"/>
      <c r="C149" s="148"/>
      <c r="D149" s="109"/>
      <c r="E149" s="63"/>
      <c r="F149" s="127"/>
      <c r="G149" s="50"/>
      <c r="H149" s="10"/>
      <c r="I149" s="10"/>
      <c r="J149" s="10"/>
      <c r="K149" s="10"/>
      <c r="L149" s="10"/>
      <c r="M149" s="39"/>
      <c r="N149" s="33">
        <f t="shared" si="37"/>
        <v>0</v>
      </c>
      <c r="O149" s="52" t="b">
        <f>IF(AND(E149="CLIENT S+L",F149="HUILE"),(S149*3333.33+(VLOOKUP(H149,'BASE '!$I$112:$J$142,2,0)))-((S149*3333.33)*G149),IF(AND(E149="CLIENT S+L",F149="LAIT"),((S149*952.4)-(S149*952.4)*G149),IF(E149="CLIENT O","OFFERT",IF(AND(F149="HUILE",E149="CLIENT L"),(((VLOOKUP(H149,'BASE '!$I$112:$J$142,2,0))+(VLOOKUP(S149,'BASE '!#REF!,2,0)))),IF(AND(F149="LAIT",E149="CLIENT L"),(S149*952.4),IF(AND(F149="HUILE",E149="CLIENT D"),(S149*3809.53+(VLOOKUP(H149,'BASE '!$I$112:$J$142,2,0))),IF(AND(F149="LAIT",E149="CLIENT D"),(S149*952.4),IF(AND(F149="HUILE",E149="CLIENT S+D"),((S149*3809.53+(VLOOKUP(H149,'BASE '!$I$112:$J$142,2,0)))-((S149*3809.53)*G149)),IF(AND(F149="LAIT",E149="CLIENT S+D"),((S149*952.4)-((S149*952.4)*G149)),IF(AND(E149="CLIENT S",F149="LAIT"),((S149*952.4)-((S149*952.4)*G149)),IF(AND(F149="HUILE",E149="CLIENT S"),(VLOOKUP(H149,'BASE '!$I$112:$J$142,2,0)+(VLOOKUP(S149,'BASE '!#REF!,2,0)))-(G149*((VLOOKUP(S149,'BASE '!#REF!,2,0)+(VLOOKUP(H149,'BASE '!$I$112:$J$142,2,0))))))))))))))))</f>
        <v>0</v>
      </c>
      <c r="P149" s="52" t="b">
        <f t="shared" si="38"/>
        <v>0</v>
      </c>
      <c r="Q149" s="53" t="b">
        <f t="shared" si="39"/>
        <v>0</v>
      </c>
      <c r="R149" s="152" t="s">
        <v>175</v>
      </c>
      <c r="S149" s="184">
        <f t="shared" si="41"/>
        <v>0</v>
      </c>
      <c r="T149" s="406" t="s">
        <v>45</v>
      </c>
      <c r="U149" s="407"/>
      <c r="V149" s="407"/>
      <c r="W149" s="407"/>
      <c r="X149" s="407"/>
      <c r="Y149" s="407"/>
      <c r="Z149" s="407"/>
      <c r="AA149" s="407"/>
      <c r="AB149" s="407"/>
      <c r="AC149" s="415">
        <f>SUMIF(AD6:AD144,"&lt;&gt;#N/A")</f>
        <v>0</v>
      </c>
      <c r="AD149" s="415"/>
      <c r="AE149" s="415"/>
      <c r="DN149" s="66"/>
    </row>
    <row r="150" spans="2:118" ht="15" thickBot="1" x14ac:dyDescent="0.35">
      <c r="B150" s="64"/>
      <c r="C150" s="148"/>
      <c r="D150" s="109"/>
      <c r="E150" s="63"/>
      <c r="F150" s="127"/>
      <c r="G150" s="50"/>
      <c r="H150" s="10"/>
      <c r="I150" s="10"/>
      <c r="J150" s="10"/>
      <c r="K150" s="10"/>
      <c r="L150" s="10"/>
      <c r="M150" s="39"/>
      <c r="N150" s="33">
        <f t="shared" si="37"/>
        <v>0</v>
      </c>
      <c r="O150" s="52" t="b">
        <f>IF(AND(E150="CLIENT S+L",F150="HUILE"),(S150*3333.33+(VLOOKUP(H150,'BASE '!$I$112:$J$142,2,0)))-((S150*3333.33)*G150),IF(AND(E150="CLIENT S+L",F150="LAIT"),((S150*952.4)-(S150*952.4)*G150),IF(E150="CLIENT O","OFFERT",IF(AND(F150="HUILE",E150="CLIENT L"),(((VLOOKUP(H150,'BASE '!$I$112:$J$142,2,0))+(VLOOKUP(S150,'BASE '!#REF!,2,0)))),IF(AND(F150="LAIT",E150="CLIENT L"),(S150*952.4),IF(AND(F150="HUILE",E150="CLIENT D"),(S150*3809.53+(VLOOKUP(H150,'BASE '!$I$112:$J$142,2,0))),IF(AND(F150="LAIT",E150="CLIENT D"),(S150*952.4),IF(AND(F150="HUILE",E150="CLIENT S+D"),((S150*3809.53+(VLOOKUP(H150,'BASE '!$I$112:$J$142,2,0)))-((S150*3809.53)*G150)),IF(AND(F150="LAIT",E150="CLIENT S+D"),((S150*952.4)-((S150*952.4)*G150)),IF(AND(E150="CLIENT S",F150="LAIT"),((S150*952.4)-((S150*952.4)*G150)),IF(AND(F150="HUILE",E150="CLIENT S"),(VLOOKUP(H150,'BASE '!$I$112:$J$142,2,0)+(VLOOKUP(S150,'BASE '!#REF!,2,0)))-(G150*((VLOOKUP(S150,'BASE '!#REF!,2,0)+(VLOOKUP(H150,'BASE '!$I$112:$J$142,2,0))))))))))))))))</f>
        <v>0</v>
      </c>
      <c r="P150" s="52" t="b">
        <f t="shared" si="38"/>
        <v>0</v>
      </c>
      <c r="Q150" s="53" t="b">
        <f t="shared" si="39"/>
        <v>0</v>
      </c>
      <c r="R150" s="152" t="s">
        <v>175</v>
      </c>
      <c r="S150" s="184">
        <f t="shared" si="41"/>
        <v>0</v>
      </c>
      <c r="T150" s="406" t="s">
        <v>44</v>
      </c>
      <c r="U150" s="407"/>
      <c r="V150" s="407"/>
      <c r="W150" s="407"/>
      <c r="X150" s="407"/>
      <c r="Y150" s="407"/>
      <c r="Z150" s="407"/>
      <c r="AA150" s="407"/>
      <c r="AB150" s="407"/>
      <c r="AC150" s="407"/>
      <c r="AD150" s="408">
        <f>SUMIF(AE6:AE144,"&lt;&gt;#N/A")</f>
        <v>0</v>
      </c>
      <c r="AE150" s="408"/>
      <c r="DN150" s="66"/>
    </row>
    <row r="151" spans="2:118" x14ac:dyDescent="0.3">
      <c r="B151" s="64"/>
      <c r="C151" s="148"/>
      <c r="D151" s="109"/>
      <c r="E151" s="63"/>
      <c r="F151" s="127"/>
      <c r="G151" s="50"/>
      <c r="H151" s="10"/>
      <c r="I151" s="10"/>
      <c r="J151" s="10"/>
      <c r="K151" s="10"/>
      <c r="L151" s="10"/>
      <c r="M151" s="39"/>
      <c r="N151" s="33">
        <f t="shared" si="37"/>
        <v>0</v>
      </c>
      <c r="O151" s="52" t="b">
        <f>IF(AND(E151="CLIENT S+L",F151="HUILE"),(S151*3333.33+(VLOOKUP(H151,'BASE '!$I$112:$J$142,2,0)))-((S151*3333.33)*G151),IF(AND(E151="CLIENT S+L",F151="LAIT"),((S151*952.4)-(S151*952.4)*G151),IF(E151="CLIENT O","OFFERT",IF(AND(F151="HUILE",E151="CLIENT L"),(((VLOOKUP(H151,'BASE '!$I$112:$J$142,2,0))+(VLOOKUP(S151,'BASE '!#REF!,2,0)))),IF(AND(F151="LAIT",E151="CLIENT L"),(S151*952.4),IF(AND(F151="HUILE",E151="CLIENT D"),(S151*3809.53+(VLOOKUP(H151,'BASE '!$I$112:$J$142,2,0))),IF(AND(F151="LAIT",E151="CLIENT D"),(S151*952.4),IF(AND(F151="HUILE",E151="CLIENT S+D"),((S151*3809.53+(VLOOKUP(H151,'BASE '!$I$112:$J$142,2,0)))-((S151*3809.53)*G151)),IF(AND(F151="LAIT",E151="CLIENT S+D"),((S151*952.4)-((S151*952.4)*G151)),IF(AND(E151="CLIENT S",F151="LAIT"),((S151*952.4)-((S151*952.4)*G151)),IF(AND(F151="HUILE",E151="CLIENT S"),(VLOOKUP(H151,'BASE '!$I$112:$J$142,2,0)+(VLOOKUP(S151,'BASE '!#REF!,2,0)))-(G151*((VLOOKUP(S151,'BASE '!#REF!,2,0)+(VLOOKUP(H151,'BASE '!$I$112:$J$142,2,0))))))))))))))))</f>
        <v>0</v>
      </c>
      <c r="P151" s="52" t="b">
        <f t="shared" si="38"/>
        <v>0</v>
      </c>
      <c r="Q151" s="53" t="b">
        <f t="shared" si="39"/>
        <v>0</v>
      </c>
      <c r="R151" s="152" t="s">
        <v>175</v>
      </c>
      <c r="S151" s="184">
        <f t="shared" si="41"/>
        <v>0</v>
      </c>
      <c r="DN151" s="66"/>
    </row>
    <row r="152" spans="2:118" x14ac:dyDescent="0.3">
      <c r="B152" s="64"/>
      <c r="C152" s="148"/>
      <c r="D152" s="109"/>
      <c r="E152" s="63"/>
      <c r="F152" s="127"/>
      <c r="G152" s="50"/>
      <c r="H152" s="10"/>
      <c r="I152" s="10"/>
      <c r="J152" s="10"/>
      <c r="K152" s="10"/>
      <c r="L152" s="10"/>
      <c r="M152" s="39"/>
      <c r="N152" s="33">
        <f t="shared" si="37"/>
        <v>0</v>
      </c>
      <c r="O152" s="52" t="b">
        <f>IF(AND(E152="CLIENT S+L",F152="HUILE"),(S152*3333.33+(VLOOKUP(H152,'BASE '!$I$112:$J$142,2,0)))-((S152*3333.33)*G152),IF(AND(E152="CLIENT S+L",F152="LAIT"),((S152*952.4)-(S152*952.4)*G152),IF(E152="CLIENT O","OFFERT",IF(AND(F152="HUILE",E152="CLIENT L"),(((VLOOKUP(H152,'BASE '!$I$112:$J$142,2,0))+(VLOOKUP(S152,'BASE '!#REF!,2,0)))),IF(AND(F152="LAIT",E152="CLIENT L"),(S152*952.4),IF(AND(F152="HUILE",E152="CLIENT D"),(S152*3809.53+(VLOOKUP(H152,'BASE '!$I$112:$J$142,2,0))),IF(AND(F152="LAIT",E152="CLIENT D"),(S152*952.4),IF(AND(F152="HUILE",E152="CLIENT S+D"),((S152*3809.53+(VLOOKUP(H152,'BASE '!$I$112:$J$142,2,0)))-((S152*3809.53)*G152)),IF(AND(F152="LAIT",E152="CLIENT S+D"),((S152*952.4)-((S152*952.4)*G152)),IF(AND(E152="CLIENT S",F152="LAIT"),((S152*952.4)-((S152*952.4)*G152)),IF(AND(F152="HUILE",E152="CLIENT S"),(VLOOKUP(H152,'BASE '!$I$112:$J$142,2,0)+(VLOOKUP(S152,'BASE '!#REF!,2,0)))-(G152*((VLOOKUP(S152,'BASE '!#REF!,2,0)+(VLOOKUP(H152,'BASE '!$I$112:$J$142,2,0))))))))))))))))</f>
        <v>0</v>
      </c>
      <c r="P152" s="52" t="b">
        <f t="shared" si="38"/>
        <v>0</v>
      </c>
      <c r="Q152" s="53" t="b">
        <f t="shared" si="39"/>
        <v>0</v>
      </c>
      <c r="R152" s="152" t="s">
        <v>175</v>
      </c>
      <c r="S152" s="184">
        <f t="shared" si="41"/>
        <v>0</v>
      </c>
      <c r="DN152" s="66"/>
    </row>
    <row r="153" spans="2:118" x14ac:dyDescent="0.3">
      <c r="B153" s="64"/>
      <c r="C153" s="148"/>
      <c r="D153" s="109"/>
      <c r="E153" s="63"/>
      <c r="F153" s="127"/>
      <c r="G153" s="50"/>
      <c r="H153" s="10"/>
      <c r="I153" s="10"/>
      <c r="J153" s="10"/>
      <c r="K153" s="10"/>
      <c r="L153" s="10"/>
      <c r="M153" s="39"/>
      <c r="N153" s="33">
        <f t="shared" si="37"/>
        <v>0</v>
      </c>
      <c r="O153" s="52" t="b">
        <f>IF(AND(E153="CLIENT S+L",F153="HUILE"),(S153*3333.33+(VLOOKUP(H153,'BASE '!$I$112:$J$142,2,0)))-((S153*3333.33)*G153),IF(AND(E153="CLIENT S+L",F153="LAIT"),((S153*952.4)-(S153*952.4)*G153),IF(E153="CLIENT O","OFFERT",IF(AND(F153="HUILE",E153="CLIENT L"),(((VLOOKUP(H153,'BASE '!$I$112:$J$142,2,0))+(VLOOKUP(S153,'BASE '!#REF!,2,0)))),IF(AND(F153="LAIT",E153="CLIENT L"),(S153*952.4),IF(AND(F153="HUILE",E153="CLIENT D"),(S153*3809.53+(VLOOKUP(H153,'BASE '!$I$112:$J$142,2,0))),IF(AND(F153="LAIT",E153="CLIENT D"),(S153*952.4),IF(AND(F153="HUILE",E153="CLIENT S+D"),((S153*3809.53+(VLOOKUP(H153,'BASE '!$I$112:$J$142,2,0)))-((S153*3809.53)*G153)),IF(AND(F153="LAIT",E153="CLIENT S+D"),((S153*952.4)-((S153*952.4)*G153)),IF(AND(E153="CLIENT S",F153="LAIT"),((S153*952.4)-((S153*952.4)*G153)),IF(AND(F153="HUILE",E153="CLIENT S"),(VLOOKUP(H153,'BASE '!$I$112:$J$142,2,0)+(VLOOKUP(S153,'BASE '!#REF!,2,0)))-(G153*((VLOOKUP(S153,'BASE '!#REF!,2,0)+(VLOOKUP(H153,'BASE '!$I$112:$J$142,2,0))))))))))))))))</f>
        <v>0</v>
      </c>
      <c r="P153" s="52" t="b">
        <f t="shared" si="38"/>
        <v>0</v>
      </c>
      <c r="Q153" s="53" t="b">
        <f t="shared" si="39"/>
        <v>0</v>
      </c>
      <c r="R153" s="152" t="s">
        <v>175</v>
      </c>
      <c r="S153" s="184">
        <f t="shared" si="41"/>
        <v>0</v>
      </c>
      <c r="DN153" s="67"/>
    </row>
    <row r="154" spans="2:118" x14ac:dyDescent="0.3">
      <c r="B154" s="64"/>
      <c r="C154" s="148"/>
      <c r="D154" s="109"/>
      <c r="E154" s="63"/>
      <c r="F154" s="127"/>
      <c r="G154" s="50"/>
      <c r="H154" s="10"/>
      <c r="I154" s="10"/>
      <c r="J154" s="10"/>
      <c r="K154" s="10"/>
      <c r="L154" s="10"/>
      <c r="M154" s="39"/>
      <c r="N154" s="33">
        <f t="shared" si="37"/>
        <v>0</v>
      </c>
      <c r="O154" s="52" t="b">
        <f>IF(AND(E154="CLIENT S+L",F154="HUILE"),(S154*3333.33+(VLOOKUP(H154,'BASE '!$I$112:$J$142,2,0)))-((S154*3333.33)*G154),IF(AND(E154="CLIENT S+L",F154="LAIT"),((S154*952.4)-(S154*952.4)*G154),IF(E154="CLIENT O","OFFERT",IF(AND(F154="HUILE",E154="CLIENT L"),(((VLOOKUP(H154,'BASE '!$I$112:$J$142,2,0))+(VLOOKUP(S154,'BASE '!#REF!,2,0)))),IF(AND(F154="LAIT",E154="CLIENT L"),(S154*952.4),IF(AND(F154="HUILE",E154="CLIENT D"),(S154*3809.53+(VLOOKUP(H154,'BASE '!$I$112:$J$142,2,0))),IF(AND(F154="LAIT",E154="CLIENT D"),(S154*952.4),IF(AND(F154="HUILE",E154="CLIENT S+D"),((S154*3809.53+(VLOOKUP(H154,'BASE '!$I$112:$J$142,2,0)))-((S154*3809.53)*G154)),IF(AND(F154="LAIT",E154="CLIENT S+D"),((S154*952.4)-((S154*952.4)*G154)),IF(AND(E154="CLIENT S",F154="LAIT"),((S154*952.4)-((S154*952.4)*G154)),IF(AND(F154="HUILE",E154="CLIENT S"),(VLOOKUP(H154,'BASE '!$I$112:$J$142,2,0)+(VLOOKUP(S154,'BASE '!#REF!,2,0)))-(G154*((VLOOKUP(S154,'BASE '!#REF!,2,0)+(VLOOKUP(H154,'BASE '!$I$112:$J$142,2,0))))))))))))))))</f>
        <v>0</v>
      </c>
      <c r="P154" s="52" t="b">
        <f t="shared" si="38"/>
        <v>0</v>
      </c>
      <c r="Q154" s="53" t="b">
        <f t="shared" si="39"/>
        <v>0</v>
      </c>
      <c r="R154" s="152" t="s">
        <v>175</v>
      </c>
      <c r="S154" s="184">
        <f t="shared" si="41"/>
        <v>0</v>
      </c>
      <c r="DN154" s="67"/>
    </row>
    <row r="155" spans="2:118" x14ac:dyDescent="0.3">
      <c r="B155" s="64"/>
      <c r="C155" s="148"/>
      <c r="D155" s="109"/>
      <c r="E155" s="63"/>
      <c r="F155" s="127"/>
      <c r="G155" s="50"/>
      <c r="H155" s="10"/>
      <c r="I155" s="10"/>
      <c r="J155" s="10"/>
      <c r="K155" s="10"/>
      <c r="L155" s="10"/>
      <c r="M155" s="39"/>
      <c r="N155" s="33">
        <f t="shared" si="37"/>
        <v>0</v>
      </c>
      <c r="O155" s="52" t="b">
        <f>IF(AND(E155="CLIENT S+L",F155="HUILE"),(S155*3333.33+(VLOOKUP(H155,'BASE '!$I$112:$J$142,2,0)))-((S155*3333.33)*G155),IF(AND(E155="CLIENT S+L",F155="LAIT"),((S155*952.4)-(S155*952.4)*G155),IF(E155="CLIENT O","OFFERT",IF(AND(F155="HUILE",E155="CLIENT L"),(((VLOOKUP(H155,'BASE '!$I$112:$J$142,2,0))+(VLOOKUP(S155,'BASE '!#REF!,2,0)))),IF(AND(F155="LAIT",E155="CLIENT L"),(S155*952.4),IF(AND(F155="HUILE",E155="CLIENT D"),(S155*3809.53+(VLOOKUP(H155,'BASE '!$I$112:$J$142,2,0))),IF(AND(F155="LAIT",E155="CLIENT D"),(S155*952.4),IF(AND(F155="HUILE",E155="CLIENT S+D"),((S155*3809.53+(VLOOKUP(H155,'BASE '!$I$112:$J$142,2,0)))-((S155*3809.53)*G155)),IF(AND(F155="LAIT",E155="CLIENT S+D"),((S155*952.4)-((S155*952.4)*G155)),IF(AND(E155="CLIENT S",F155="LAIT"),((S155*952.4)-((S155*952.4)*G155)),IF(AND(F155="HUILE",E155="CLIENT S"),(VLOOKUP(H155,'BASE '!$I$112:$J$142,2,0)+(VLOOKUP(S155,'BASE '!#REF!,2,0)))-(G155*((VLOOKUP(S155,'BASE '!#REF!,2,0)+(VLOOKUP(H155,'BASE '!$I$112:$J$142,2,0))))))))))))))))</f>
        <v>0</v>
      </c>
      <c r="P155" s="52" t="b">
        <f t="shared" si="38"/>
        <v>0</v>
      </c>
      <c r="Q155" s="53" t="b">
        <f t="shared" si="39"/>
        <v>0</v>
      </c>
      <c r="R155" s="152" t="s">
        <v>175</v>
      </c>
      <c r="S155" s="184">
        <f t="shared" si="41"/>
        <v>0</v>
      </c>
    </row>
    <row r="156" spans="2:118" x14ac:dyDescent="0.3">
      <c r="B156" s="64"/>
      <c r="C156" s="148"/>
      <c r="D156" s="109"/>
      <c r="E156" s="63"/>
      <c r="F156" s="127"/>
      <c r="G156" s="50"/>
      <c r="H156" s="10"/>
      <c r="I156" s="10"/>
      <c r="J156" s="10"/>
      <c r="K156" s="10"/>
      <c r="L156" s="10"/>
      <c r="M156" s="39"/>
      <c r="N156" s="33">
        <f t="shared" si="37"/>
        <v>0</v>
      </c>
      <c r="O156" s="52" t="b">
        <f>IF(AND(E156="CLIENT S+L",F156="HUILE"),(S156*3333.33+(VLOOKUP(H156,'BASE '!$I$112:$J$142,2,0)))-((S156*3333.33)*G156),IF(AND(E156="CLIENT S+L",F156="LAIT"),((S156*952.4)-(S156*952.4)*G156),IF(E156="CLIENT O","OFFERT",IF(AND(F156="HUILE",E156="CLIENT L"),(((VLOOKUP(H156,'BASE '!$I$112:$J$142,2,0))+(VLOOKUP(S156,'BASE '!#REF!,2,0)))),IF(AND(F156="LAIT",E156="CLIENT L"),(S156*952.4),IF(AND(F156="HUILE",E156="CLIENT D"),(S156*3809.53+(VLOOKUP(H156,'BASE '!$I$112:$J$142,2,0))),IF(AND(F156="LAIT",E156="CLIENT D"),(S156*952.4),IF(AND(F156="HUILE",E156="CLIENT S+D"),((S156*3809.53+(VLOOKUP(H156,'BASE '!$I$112:$J$142,2,0)))-((S156*3809.53)*G156)),IF(AND(F156="LAIT",E156="CLIENT S+D"),((S156*952.4)-((S156*952.4)*G156)),IF(AND(E156="CLIENT S",F156="LAIT"),((S156*952.4)-((S156*952.4)*G156)),IF(AND(F156="HUILE",E156="CLIENT S"),(VLOOKUP(H156,'BASE '!$I$112:$J$142,2,0)+(VLOOKUP(S156,'BASE '!#REF!,2,0)))-(G156*((VLOOKUP(S156,'BASE '!#REF!,2,0)+(VLOOKUP(H156,'BASE '!$I$112:$J$142,2,0))))))))))))))))</f>
        <v>0</v>
      </c>
      <c r="P156" s="52" t="b">
        <f t="shared" si="38"/>
        <v>0</v>
      </c>
      <c r="Q156" s="53" t="b">
        <f t="shared" si="39"/>
        <v>0</v>
      </c>
      <c r="R156" s="152" t="s">
        <v>175</v>
      </c>
      <c r="S156" s="184">
        <f t="shared" si="41"/>
        <v>0</v>
      </c>
    </row>
    <row r="157" spans="2:118" x14ac:dyDescent="0.3">
      <c r="B157" s="64"/>
      <c r="C157" s="148"/>
      <c r="D157" s="109"/>
      <c r="E157" s="63"/>
      <c r="F157" s="127"/>
      <c r="G157" s="50"/>
      <c r="H157" s="10"/>
      <c r="I157" s="10"/>
      <c r="J157" s="10"/>
      <c r="K157" s="10"/>
      <c r="L157" s="10"/>
      <c r="M157" s="39"/>
      <c r="N157" s="33">
        <f t="shared" si="37"/>
        <v>0</v>
      </c>
      <c r="O157" s="52" t="b">
        <f>IF(AND(E157="CLIENT S+L",F157="HUILE"),(S157*3333.33+(VLOOKUP(H157,'BASE '!$I$112:$J$142,2,0)))-((S157*3333.33)*G157),IF(AND(E157="CLIENT S+L",F157="LAIT"),((S157*952.4)-(S157*952.4)*G157),IF(E157="CLIENT O","OFFERT",IF(AND(F157="HUILE",E157="CLIENT L"),(((VLOOKUP(H157,'BASE '!$I$112:$J$142,2,0))+(VLOOKUP(S157,'BASE '!#REF!,2,0)))),IF(AND(F157="LAIT",E157="CLIENT L"),(S157*952.4),IF(AND(F157="HUILE",E157="CLIENT D"),(S157*3809.53+(VLOOKUP(H157,'BASE '!$I$112:$J$142,2,0))),IF(AND(F157="LAIT",E157="CLIENT D"),(S157*952.4),IF(AND(F157="HUILE",E157="CLIENT S+D"),((S157*3809.53+(VLOOKUP(H157,'BASE '!$I$112:$J$142,2,0)))-((S157*3809.53)*G157)),IF(AND(F157="LAIT",E157="CLIENT S+D"),((S157*952.4)-((S157*952.4)*G157)),IF(AND(E157="CLIENT S",F157="LAIT"),((S157*952.4)-((S157*952.4)*G157)),IF(AND(F157="HUILE",E157="CLIENT S"),(VLOOKUP(H157,'BASE '!$I$112:$J$142,2,0)+(VLOOKUP(S157,'BASE '!#REF!,2,0)))-(G157*((VLOOKUP(S157,'BASE '!#REF!,2,0)+(VLOOKUP(H157,'BASE '!$I$112:$J$142,2,0))))))))))))))))</f>
        <v>0</v>
      </c>
      <c r="P157" s="52" t="b">
        <f t="shared" si="38"/>
        <v>0</v>
      </c>
      <c r="Q157" s="53" t="b">
        <f t="shared" si="39"/>
        <v>0</v>
      </c>
      <c r="R157" s="152" t="s">
        <v>175</v>
      </c>
      <c r="S157" s="184">
        <f t="shared" si="41"/>
        <v>0</v>
      </c>
    </row>
    <row r="158" spans="2:118" x14ac:dyDescent="0.3">
      <c r="B158" s="64"/>
      <c r="C158" s="148"/>
      <c r="D158" s="109"/>
      <c r="E158" s="63"/>
      <c r="F158" s="127"/>
      <c r="G158" s="50"/>
      <c r="H158" s="10"/>
      <c r="I158" s="10"/>
      <c r="J158" s="10"/>
      <c r="K158" s="10"/>
      <c r="L158" s="10"/>
      <c r="M158" s="39"/>
      <c r="N158" s="33">
        <f t="shared" si="37"/>
        <v>0</v>
      </c>
      <c r="O158" s="52" t="b">
        <f>IF(AND(E158="CLIENT S+L",F158="HUILE"),(S158*3333.33+(VLOOKUP(H158,'BASE '!$I$112:$J$142,2,0)))-((S158*3333.33)*G158),IF(AND(E158="CLIENT S+L",F158="LAIT"),((S158*952.4)-(S158*952.4)*G158),IF(E158="CLIENT O","OFFERT",IF(AND(F158="HUILE",E158="CLIENT L"),(((VLOOKUP(H158,'BASE '!$I$112:$J$142,2,0))+(VLOOKUP(S158,'BASE '!#REF!,2,0)))),IF(AND(F158="LAIT",E158="CLIENT L"),(S158*952.4),IF(AND(F158="HUILE",E158="CLIENT D"),(S158*3809.53+(VLOOKUP(H158,'BASE '!$I$112:$J$142,2,0))),IF(AND(F158="LAIT",E158="CLIENT D"),(S158*952.4),IF(AND(F158="HUILE",E158="CLIENT S+D"),((S158*3809.53+(VLOOKUP(H158,'BASE '!$I$112:$J$142,2,0)))-((S158*3809.53)*G158)),IF(AND(F158="LAIT",E158="CLIENT S+D"),((S158*952.4)-((S158*952.4)*G158)),IF(AND(E158="CLIENT S",F158="LAIT"),((S158*952.4)-((S158*952.4)*G158)),IF(AND(F158="HUILE",E158="CLIENT S"),(VLOOKUP(H158,'BASE '!$I$112:$J$142,2,0)+(VLOOKUP(S158,'BASE '!#REF!,2,0)))-(G158*((VLOOKUP(S158,'BASE '!#REF!,2,0)+(VLOOKUP(H158,'BASE '!$I$112:$J$142,2,0))))))))))))))))</f>
        <v>0</v>
      </c>
      <c r="P158" s="52" t="b">
        <f t="shared" si="38"/>
        <v>0</v>
      </c>
      <c r="Q158" s="53" t="b">
        <f t="shared" si="39"/>
        <v>0</v>
      </c>
      <c r="R158" s="152" t="s">
        <v>175</v>
      </c>
      <c r="S158" s="184">
        <f t="shared" si="41"/>
        <v>0</v>
      </c>
    </row>
    <row r="159" spans="2:118" x14ac:dyDescent="0.3">
      <c r="B159" s="64"/>
      <c r="C159" s="148"/>
      <c r="D159" s="109"/>
      <c r="E159" s="63"/>
      <c r="F159" s="127"/>
      <c r="G159" s="50"/>
      <c r="H159" s="10"/>
      <c r="I159" s="10"/>
      <c r="J159" s="10"/>
      <c r="K159" s="10"/>
      <c r="L159" s="10"/>
      <c r="M159" s="39"/>
      <c r="N159" s="33">
        <f t="shared" si="37"/>
        <v>0</v>
      </c>
      <c r="O159" s="52" t="b">
        <f>IF(AND(E159="CLIENT S+L",F159="HUILE"),(S159*3333.33+(VLOOKUP(H159,'BASE '!$I$112:$J$142,2,0)))-((S159*3333.33)*G159),IF(AND(E159="CLIENT S+L",F159="LAIT"),((S159*952.4)-(S159*952.4)*G159),IF(E159="CLIENT O","OFFERT",IF(AND(F159="HUILE",E159="CLIENT L"),(((VLOOKUP(H159,'BASE '!$I$112:$J$142,2,0))+(VLOOKUP(S159,'BASE '!#REF!,2,0)))),IF(AND(F159="LAIT",E159="CLIENT L"),(S159*952.4),IF(AND(F159="HUILE",E159="CLIENT D"),(S159*3809.53+(VLOOKUP(H159,'BASE '!$I$112:$J$142,2,0))),IF(AND(F159="LAIT",E159="CLIENT D"),(S159*952.4),IF(AND(F159="HUILE",E159="CLIENT S+D"),((S159*3809.53+(VLOOKUP(H159,'BASE '!$I$112:$J$142,2,0)))-((S159*3809.53)*G159)),IF(AND(F159="LAIT",E159="CLIENT S+D"),((S159*952.4)-((S159*952.4)*G159)),IF(AND(E159="CLIENT S",F159="LAIT"),((S159*952.4)-((S159*952.4)*G159)),IF(AND(F159="HUILE",E159="CLIENT S"),(VLOOKUP(H159,'BASE '!$I$112:$J$142,2,0)+(VLOOKUP(S159,'BASE '!#REF!,2,0)))-(G159*((VLOOKUP(S159,'BASE '!#REF!,2,0)+(VLOOKUP(H159,'BASE '!$I$112:$J$142,2,0))))))))))))))))</f>
        <v>0</v>
      </c>
      <c r="P159" s="52" t="b">
        <f t="shared" si="38"/>
        <v>0</v>
      </c>
      <c r="Q159" s="53" t="b">
        <f t="shared" si="39"/>
        <v>0</v>
      </c>
      <c r="R159" s="152" t="s">
        <v>175</v>
      </c>
      <c r="S159" s="184">
        <f t="shared" si="41"/>
        <v>0</v>
      </c>
    </row>
    <row r="160" spans="2:118" x14ac:dyDescent="0.3">
      <c r="B160" s="64"/>
      <c r="C160" s="148"/>
      <c r="D160" s="109"/>
      <c r="E160" s="63"/>
      <c r="F160" s="127"/>
      <c r="G160" s="50"/>
      <c r="H160" s="10"/>
      <c r="I160" s="10"/>
      <c r="J160" s="10"/>
      <c r="K160" s="10"/>
      <c r="L160" s="10"/>
      <c r="M160" s="39"/>
      <c r="N160" s="33">
        <f t="shared" si="37"/>
        <v>0</v>
      </c>
      <c r="O160" s="52" t="b">
        <f>IF(AND(E160="CLIENT S+L",F160="HUILE"),(S160*3333.33+(VLOOKUP(H160,'BASE '!$I$112:$J$142,2,0)))-((S160*3333.33)*G160),IF(AND(E160="CLIENT S+L",F160="LAIT"),((S160*952.4)-(S160*952.4)*G160),IF(E160="CLIENT O","OFFERT",IF(AND(F160="HUILE",E160="CLIENT L"),(((VLOOKUP(H160,'BASE '!$I$112:$J$142,2,0))+(VLOOKUP(S160,'BASE '!#REF!,2,0)))),IF(AND(F160="LAIT",E160="CLIENT L"),(S160*952.4),IF(AND(F160="HUILE",E160="CLIENT D"),(S160*3809.53+(VLOOKUP(H160,'BASE '!$I$112:$J$142,2,0))),IF(AND(F160="LAIT",E160="CLIENT D"),(S160*952.4),IF(AND(F160="HUILE",E160="CLIENT S+D"),((S160*3809.53+(VLOOKUP(H160,'BASE '!$I$112:$J$142,2,0)))-((S160*3809.53)*G160)),IF(AND(F160="LAIT",E160="CLIENT S+D"),((S160*952.4)-((S160*952.4)*G160)),IF(AND(E160="CLIENT S",F160="LAIT"),((S160*952.4)-((S160*952.4)*G160)),IF(AND(F160="HUILE",E160="CLIENT S"),(VLOOKUP(H160,'BASE '!$I$112:$J$142,2,0)+(VLOOKUP(S160,'BASE '!#REF!,2,0)))-(G160*((VLOOKUP(S160,'BASE '!#REF!,2,0)+(VLOOKUP(H160,'BASE '!$I$112:$J$142,2,0))))))))))))))))</f>
        <v>0</v>
      </c>
      <c r="P160" s="52" t="b">
        <f t="shared" si="38"/>
        <v>0</v>
      </c>
      <c r="Q160" s="53" t="b">
        <f t="shared" si="39"/>
        <v>0</v>
      </c>
      <c r="R160" s="152" t="s">
        <v>175</v>
      </c>
      <c r="S160" s="184">
        <f t="shared" si="41"/>
        <v>0</v>
      </c>
    </row>
    <row r="161" spans="2:19" x14ac:dyDescent="0.3">
      <c r="B161" s="64"/>
      <c r="C161" s="148"/>
      <c r="D161" s="109"/>
      <c r="E161" s="63"/>
      <c r="F161" s="127"/>
      <c r="G161" s="50"/>
      <c r="H161" s="10"/>
      <c r="I161" s="10"/>
      <c r="J161" s="10"/>
      <c r="K161" s="10"/>
      <c r="L161" s="10"/>
      <c r="M161" s="39"/>
      <c r="N161" s="33">
        <f t="shared" si="37"/>
        <v>0</v>
      </c>
      <c r="O161" s="52" t="b">
        <f>IF(AND(E161="CLIENT S+L",F161="HUILE"),(S161*3333.33+(VLOOKUP(H161,'BASE '!$I$112:$J$142,2,0)))-((S161*3333.33)*G161),IF(AND(E161="CLIENT S+L",F161="LAIT"),((S161*952.4)-(S161*952.4)*G161),IF(E161="CLIENT O","OFFERT",IF(AND(F161="HUILE",E161="CLIENT L"),(((VLOOKUP(H161,'BASE '!$I$112:$J$142,2,0))+(VLOOKUP(S161,'BASE '!#REF!,2,0)))),IF(AND(F161="LAIT",E161="CLIENT L"),(S161*952.4),IF(AND(F161="HUILE",E161="CLIENT D"),(S161*3809.53+(VLOOKUP(H161,'BASE '!$I$112:$J$142,2,0))),IF(AND(F161="LAIT",E161="CLIENT D"),(S161*952.4),IF(AND(F161="HUILE",E161="CLIENT S+D"),((S161*3809.53+(VLOOKUP(H161,'BASE '!$I$112:$J$142,2,0)))-((S161*3809.53)*G161)),IF(AND(F161="LAIT",E161="CLIENT S+D"),((S161*952.4)-((S161*952.4)*G161)),IF(AND(E161="CLIENT S",F161="LAIT"),((S161*952.4)-((S161*952.4)*G161)),IF(AND(F161="HUILE",E161="CLIENT S"),(VLOOKUP(H161,'BASE '!$I$112:$J$142,2,0)+(VLOOKUP(S161,'BASE '!#REF!,2,0)))-(G161*((VLOOKUP(S161,'BASE '!#REF!,2,0)+(VLOOKUP(H161,'BASE '!$I$112:$J$142,2,0))))))))))))))))</f>
        <v>0</v>
      </c>
      <c r="P161" s="52" t="b">
        <f t="shared" si="38"/>
        <v>0</v>
      </c>
      <c r="Q161" s="53" t="b">
        <f t="shared" si="39"/>
        <v>0</v>
      </c>
      <c r="R161" s="152" t="s">
        <v>175</v>
      </c>
      <c r="S161" s="184">
        <f t="shared" si="41"/>
        <v>0</v>
      </c>
    </row>
    <row r="162" spans="2:19" x14ac:dyDescent="0.3">
      <c r="B162" s="64"/>
      <c r="C162" s="148"/>
      <c r="D162" s="109"/>
      <c r="E162" s="63"/>
      <c r="F162" s="127"/>
      <c r="G162" s="50"/>
      <c r="H162" s="10"/>
      <c r="I162" s="10"/>
      <c r="J162" s="10"/>
      <c r="K162" s="10"/>
      <c r="L162" s="10"/>
      <c r="M162" s="39"/>
      <c r="N162" s="33">
        <f t="shared" si="37"/>
        <v>0</v>
      </c>
      <c r="O162" s="52" t="b">
        <f>IF(AND(E162="CLIENT S+L",F162="HUILE"),(S162*3333.33+(VLOOKUP(H162,'BASE '!$I$112:$J$142,2,0)))-((S162*3333.33)*G162),IF(AND(E162="CLIENT S+L",F162="LAIT"),((S162*952.4)-(S162*952.4)*G162),IF(E162="CLIENT O","OFFERT",IF(AND(F162="HUILE",E162="CLIENT L"),(((VLOOKUP(H162,'BASE '!$I$112:$J$142,2,0))+(VLOOKUP(S162,'BASE '!#REF!,2,0)))),IF(AND(F162="LAIT",E162="CLIENT L"),(S162*952.4),IF(AND(F162="HUILE",E162="CLIENT D"),(S162*3809.53+(VLOOKUP(H162,'BASE '!$I$112:$J$142,2,0))),IF(AND(F162="LAIT",E162="CLIENT D"),(S162*952.4),IF(AND(F162="HUILE",E162="CLIENT S+D"),((S162*3809.53+(VLOOKUP(H162,'BASE '!$I$112:$J$142,2,0)))-((S162*3809.53)*G162)),IF(AND(F162="LAIT",E162="CLIENT S+D"),((S162*952.4)-((S162*952.4)*G162)),IF(AND(E162="CLIENT S",F162="LAIT"),((S162*952.4)-((S162*952.4)*G162)),IF(AND(F162="HUILE",E162="CLIENT S"),(VLOOKUP(H162,'BASE '!$I$112:$J$142,2,0)+(VLOOKUP(S162,'BASE '!#REF!,2,0)))-(G162*((VLOOKUP(S162,'BASE '!#REF!,2,0)+(VLOOKUP(H162,'BASE '!$I$112:$J$142,2,0))))))))))))))))</f>
        <v>0</v>
      </c>
      <c r="P162" s="52" t="b">
        <f t="shared" si="38"/>
        <v>0</v>
      </c>
      <c r="Q162" s="53" t="b">
        <f t="shared" si="39"/>
        <v>0</v>
      </c>
      <c r="R162" s="152" t="s">
        <v>175</v>
      </c>
      <c r="S162" s="184">
        <f t="shared" si="41"/>
        <v>0</v>
      </c>
    </row>
    <row r="163" spans="2:19" x14ac:dyDescent="0.3">
      <c r="B163" s="64"/>
      <c r="C163" s="148"/>
      <c r="D163" s="109"/>
      <c r="E163" s="63"/>
      <c r="F163" s="127"/>
      <c r="G163" s="50"/>
      <c r="H163" s="10"/>
      <c r="I163" s="10"/>
      <c r="J163" s="10"/>
      <c r="K163" s="10"/>
      <c r="L163" s="10"/>
      <c r="M163" s="39"/>
      <c r="N163" s="33">
        <f t="shared" si="37"/>
        <v>0</v>
      </c>
      <c r="O163" s="52" t="b">
        <f>IF(AND(E163="CLIENT S+L",F163="HUILE"),(S163*3333.33+(VLOOKUP(H163,'BASE '!$I$112:$J$142,2,0)))-((S163*3333.33)*G163),IF(AND(E163="CLIENT S+L",F163="LAIT"),((S163*952.4)-(S163*952.4)*G163),IF(E163="CLIENT O","OFFERT",IF(AND(F163="HUILE",E163="CLIENT L"),(((VLOOKUP(H163,'BASE '!$I$112:$J$142,2,0))+(VLOOKUP(S163,'BASE '!#REF!,2,0)))),IF(AND(F163="LAIT",E163="CLIENT L"),(S163*952.4),IF(AND(F163="HUILE",E163="CLIENT D"),(S163*3809.53+(VLOOKUP(H163,'BASE '!$I$112:$J$142,2,0))),IF(AND(F163="LAIT",E163="CLIENT D"),(S163*952.4),IF(AND(F163="HUILE",E163="CLIENT S+D"),((S163*3809.53+(VLOOKUP(H163,'BASE '!$I$112:$J$142,2,0)))-((S163*3809.53)*G163)),IF(AND(F163="LAIT",E163="CLIENT S+D"),((S163*952.4)-((S163*952.4)*G163)),IF(AND(E163="CLIENT S",F163="LAIT"),((S163*952.4)-((S163*952.4)*G163)),IF(AND(F163="HUILE",E163="CLIENT S"),(VLOOKUP(H163,'BASE '!$I$112:$J$142,2,0)+(VLOOKUP(S163,'BASE '!#REF!,2,0)))-(G163*((VLOOKUP(S163,'BASE '!#REF!,2,0)+(VLOOKUP(H163,'BASE '!$I$112:$J$142,2,0))))))))))))))))</f>
        <v>0</v>
      </c>
      <c r="P163" s="52" t="b">
        <f t="shared" si="38"/>
        <v>0</v>
      </c>
      <c r="Q163" s="53" t="b">
        <f t="shared" si="39"/>
        <v>0</v>
      </c>
      <c r="R163" s="152" t="s">
        <v>175</v>
      </c>
      <c r="S163" s="184">
        <f t="shared" si="41"/>
        <v>0</v>
      </c>
    </row>
    <row r="164" spans="2:19" x14ac:dyDescent="0.3">
      <c r="B164" s="64"/>
      <c r="C164" s="148"/>
      <c r="D164" s="109"/>
      <c r="E164" s="63"/>
      <c r="F164" s="127"/>
      <c r="G164" s="50"/>
      <c r="H164" s="10"/>
      <c r="I164" s="10"/>
      <c r="J164" s="10"/>
      <c r="K164" s="10"/>
      <c r="L164" s="10"/>
      <c r="M164" s="39"/>
      <c r="N164" s="33">
        <f t="shared" si="37"/>
        <v>0</v>
      </c>
      <c r="O164" s="52" t="b">
        <f>IF(AND(E164="CLIENT S+L",F164="HUILE"),(S164*3333.33+(VLOOKUP(H164,'BASE '!$I$112:$J$142,2,0)))-((S164*3333.33)*G164),IF(AND(E164="CLIENT S+L",F164="LAIT"),((S164*952.4)-(S164*952.4)*G164),IF(E164="CLIENT O","OFFERT",IF(AND(F164="HUILE",E164="CLIENT L"),(((VLOOKUP(H164,'BASE '!$I$112:$J$142,2,0))+(VLOOKUP(S164,'BASE '!#REF!,2,0)))),IF(AND(F164="LAIT",E164="CLIENT L"),(S164*952.4),IF(AND(F164="HUILE",E164="CLIENT D"),(S164*3809.53+(VLOOKUP(H164,'BASE '!$I$112:$J$142,2,0))),IF(AND(F164="LAIT",E164="CLIENT D"),(S164*952.4),IF(AND(F164="HUILE",E164="CLIENT S+D"),((S164*3809.53+(VLOOKUP(H164,'BASE '!$I$112:$J$142,2,0)))-((S164*3809.53)*G164)),IF(AND(F164="LAIT",E164="CLIENT S+D"),((S164*952.4)-((S164*952.4)*G164)),IF(AND(E164="CLIENT S",F164="LAIT"),((S164*952.4)-((S164*952.4)*G164)),IF(AND(F164="HUILE",E164="CLIENT S"),(VLOOKUP(H164,'BASE '!$I$112:$J$142,2,0)+(VLOOKUP(S164,'BASE '!#REF!,2,0)))-(G164*((VLOOKUP(S164,'BASE '!#REF!,2,0)+(VLOOKUP(H164,'BASE '!$I$112:$J$142,2,0))))))))))))))))</f>
        <v>0</v>
      </c>
      <c r="P164" s="52" t="b">
        <f t="shared" si="38"/>
        <v>0</v>
      </c>
      <c r="Q164" s="53" t="b">
        <f t="shared" si="39"/>
        <v>0</v>
      </c>
      <c r="R164" s="152" t="s">
        <v>175</v>
      </c>
      <c r="S164" s="184">
        <f t="shared" si="41"/>
        <v>0</v>
      </c>
    </row>
    <row r="165" spans="2:19" ht="15" thickBot="1" x14ac:dyDescent="0.35">
      <c r="B165" s="179"/>
      <c r="C165" s="150"/>
      <c r="D165" s="110"/>
      <c r="E165" s="44"/>
      <c r="F165" s="180"/>
      <c r="G165" s="181"/>
      <c r="H165" s="14"/>
      <c r="I165" s="14"/>
      <c r="J165" s="14"/>
      <c r="K165" s="14"/>
      <c r="L165" s="14"/>
      <c r="M165" s="40"/>
      <c r="N165" s="34">
        <f t="shared" si="37"/>
        <v>0</v>
      </c>
      <c r="O165" s="182" t="b">
        <f>IF(AND(E165="CLIENT S+L",F165="HUILE"),(S165*3333.33+(VLOOKUP(H165,'BASE '!$I$112:$J$142,2,0)))-((S165*3333.33)*G165),IF(AND(E165="CLIENT S+L",F165="LAIT"),((S165*952.4)-(S165*952.4)*G165),IF(E165="CLIENT O","OFFERT",IF(AND(F165="HUILE",E165="CLIENT L"),(((VLOOKUP(H165,'BASE '!$I$112:$J$142,2,0))+(VLOOKUP(S165,'BASE '!#REF!,2,0)))),IF(AND(F165="LAIT",E165="CLIENT L"),(S165*952.4),IF(AND(F165="HUILE",E165="CLIENT D"),(S165*3809.53+(VLOOKUP(H165,'BASE '!$I$112:$J$142,2,0))),IF(AND(F165="LAIT",E165="CLIENT D"),(S165*952.4),IF(AND(F165="HUILE",E165="CLIENT S+D"),((S165*3809.53+(VLOOKUP(H165,'BASE '!$I$112:$J$142,2,0)))-((S165*3809.53)*G165)),IF(AND(F165="LAIT",E165="CLIENT S+D"),((S165*952.4)-((S165*952.4)*G165)),IF(AND(E165="CLIENT S",F165="LAIT"),((S165*952.4)-((S165*952.4)*G165)),IF(AND(F165="HUILE",E165="CLIENT S"),(VLOOKUP(H165,'BASE '!$I$112:$J$142,2,0)+(VLOOKUP(S165,'BASE '!#REF!,2,0)))-(G165*((VLOOKUP(S165,'BASE '!#REF!,2,0)+(VLOOKUP(H165,'BASE '!$I$112:$J$142,2,0))))))))))))))))</f>
        <v>0</v>
      </c>
      <c r="P165" s="182" t="b">
        <f t="shared" si="38"/>
        <v>0</v>
      </c>
      <c r="Q165" s="183" t="b">
        <f t="shared" si="39"/>
        <v>0</v>
      </c>
      <c r="R165" s="151" t="s">
        <v>175</v>
      </c>
      <c r="S165" s="184">
        <f t="shared" si="41"/>
        <v>0</v>
      </c>
    </row>
    <row r="166" spans="2:19" ht="15" thickBot="1" x14ac:dyDescent="0.35">
      <c r="B166" s="555" t="s">
        <v>180</v>
      </c>
      <c r="C166" s="555"/>
      <c r="D166" s="555"/>
      <c r="E166" s="555"/>
      <c r="F166" s="555"/>
      <c r="G166" s="555"/>
      <c r="H166" s="556" t="e">
        <f t="shared" ref="H166:N166" si="43">SUMIF(CHOIX,"HUILE",H6:H165)</f>
        <v>#NAME?</v>
      </c>
      <c r="I166" s="556" t="e">
        <f t="shared" si="43"/>
        <v>#NAME?</v>
      </c>
      <c r="J166" s="556" t="e">
        <f t="shared" si="43"/>
        <v>#NAME?</v>
      </c>
      <c r="K166" s="556" t="e">
        <f t="shared" si="43"/>
        <v>#NAME?</v>
      </c>
      <c r="L166" s="556" t="e">
        <f t="shared" si="43"/>
        <v>#NAME?</v>
      </c>
      <c r="M166" s="556" t="e">
        <f t="shared" si="43"/>
        <v>#NAME?</v>
      </c>
      <c r="N166" s="556" t="e">
        <f t="shared" si="43"/>
        <v>#NAME?</v>
      </c>
      <c r="O166" s="557"/>
      <c r="P166" s="557"/>
      <c r="Q166" s="557"/>
      <c r="R166" s="557"/>
      <c r="S166" s="116"/>
    </row>
    <row r="167" spans="2:19" ht="15" thickBot="1" x14ac:dyDescent="0.35">
      <c r="B167" s="391"/>
      <c r="C167" s="391"/>
      <c r="D167" s="391"/>
      <c r="E167" s="391"/>
      <c r="F167" s="391"/>
      <c r="G167" s="391"/>
      <c r="H167" s="538"/>
      <c r="I167" s="538"/>
      <c r="J167" s="538"/>
      <c r="K167" s="538"/>
      <c r="L167" s="538"/>
      <c r="M167" s="538"/>
      <c r="N167" s="538"/>
      <c r="O167" s="539"/>
      <c r="P167" s="539"/>
      <c r="Q167" s="539"/>
      <c r="R167" s="539"/>
      <c r="S167" s="116"/>
    </row>
    <row r="168" spans="2:19" ht="15" thickBot="1" x14ac:dyDescent="0.35">
      <c r="B168" s="391" t="s">
        <v>181</v>
      </c>
      <c r="C168" s="391"/>
      <c r="D168" s="391"/>
      <c r="E168" s="391"/>
      <c r="F168" s="391"/>
      <c r="G168" s="391"/>
      <c r="H168" s="537" t="e">
        <f t="shared" ref="H168:N168" si="44">SUMIF(CHOIX,"LAIT",H6:H165)</f>
        <v>#NAME?</v>
      </c>
      <c r="I168" s="537" t="e">
        <f t="shared" si="44"/>
        <v>#NAME?</v>
      </c>
      <c r="J168" s="537" t="e">
        <f t="shared" si="44"/>
        <v>#NAME?</v>
      </c>
      <c r="K168" s="537" t="e">
        <f t="shared" si="44"/>
        <v>#NAME?</v>
      </c>
      <c r="L168" s="537" t="e">
        <f t="shared" si="44"/>
        <v>#NAME?</v>
      </c>
      <c r="M168" s="537" t="e">
        <f t="shared" si="44"/>
        <v>#NAME?</v>
      </c>
      <c r="N168" s="537" t="e">
        <f t="shared" si="44"/>
        <v>#NAME?</v>
      </c>
      <c r="O168" s="539"/>
      <c r="P168" s="539"/>
      <c r="Q168" s="539"/>
      <c r="R168" s="539"/>
      <c r="S168" s="68"/>
    </row>
    <row r="169" spans="2:19" ht="15" thickBot="1" x14ac:dyDescent="0.35">
      <c r="B169" s="391"/>
      <c r="C169" s="391"/>
      <c r="D169" s="391"/>
      <c r="E169" s="391"/>
      <c r="F169" s="391"/>
      <c r="G169" s="391"/>
      <c r="H169" s="538"/>
      <c r="I169" s="538"/>
      <c r="J169" s="538"/>
      <c r="K169" s="538"/>
      <c r="L169" s="538"/>
      <c r="M169" s="538"/>
      <c r="N169" s="538"/>
      <c r="O169" s="539"/>
      <c r="P169" s="539"/>
      <c r="Q169" s="539"/>
      <c r="R169" s="539"/>
      <c r="S169" s="68"/>
    </row>
    <row r="170" spans="2:19" ht="15" thickBot="1" x14ac:dyDescent="0.35">
      <c r="B170" s="391" t="s">
        <v>28</v>
      </c>
      <c r="C170" s="391"/>
      <c r="D170" s="391"/>
      <c r="E170" s="391"/>
      <c r="F170" s="391"/>
      <c r="G170" s="391"/>
      <c r="H170" s="391"/>
      <c r="I170" s="391"/>
      <c r="J170" s="391"/>
      <c r="K170" s="391"/>
      <c r="L170" s="391"/>
      <c r="M170" s="391"/>
      <c r="N170" s="390">
        <f>SUMIF(O6:O165,"&lt;&gt;#N/A")</f>
        <v>0</v>
      </c>
      <c r="O170" s="390"/>
      <c r="P170" s="390"/>
      <c r="Q170" s="390"/>
      <c r="R170" s="390"/>
      <c r="S170" s="66"/>
    </row>
    <row r="171" spans="2:19" ht="15" thickBot="1" x14ac:dyDescent="0.35">
      <c r="B171" s="391"/>
      <c r="C171" s="391"/>
      <c r="D171" s="391"/>
      <c r="E171" s="391"/>
      <c r="F171" s="391"/>
      <c r="G171" s="391"/>
      <c r="H171" s="391"/>
      <c r="I171" s="391"/>
      <c r="J171" s="391"/>
      <c r="K171" s="391"/>
      <c r="L171" s="391"/>
      <c r="M171" s="391"/>
      <c r="N171" s="390"/>
      <c r="O171" s="390"/>
      <c r="P171" s="390"/>
      <c r="Q171" s="390"/>
      <c r="R171" s="390"/>
      <c r="S171" s="66"/>
    </row>
    <row r="172" spans="2:19" ht="15" thickBot="1" x14ac:dyDescent="0.35">
      <c r="B172" s="391" t="s">
        <v>29</v>
      </c>
      <c r="C172" s="391"/>
      <c r="D172" s="391"/>
      <c r="E172" s="391"/>
      <c r="F172" s="391"/>
      <c r="G172" s="391"/>
      <c r="H172" s="391"/>
      <c r="I172" s="391"/>
      <c r="J172" s="391"/>
      <c r="K172" s="391"/>
      <c r="L172" s="391"/>
      <c r="M172" s="391"/>
      <c r="N172" s="391"/>
      <c r="O172" s="390">
        <f>SUMIF(P6:P165,"&lt;&gt;#N/A")</f>
        <v>0</v>
      </c>
      <c r="P172" s="390"/>
      <c r="Q172" s="390"/>
      <c r="R172" s="390"/>
      <c r="S172" s="66"/>
    </row>
    <row r="173" spans="2:19" ht="15" thickBot="1" x14ac:dyDescent="0.35">
      <c r="B173" s="391"/>
      <c r="C173" s="391"/>
      <c r="D173" s="391"/>
      <c r="E173" s="391"/>
      <c r="F173" s="391"/>
      <c r="G173" s="391"/>
      <c r="H173" s="391"/>
      <c r="I173" s="391"/>
      <c r="J173" s="391"/>
      <c r="K173" s="391"/>
      <c r="L173" s="391"/>
      <c r="M173" s="391"/>
      <c r="N173" s="391"/>
      <c r="O173" s="390"/>
      <c r="P173" s="390"/>
      <c r="Q173" s="390"/>
      <c r="R173" s="390"/>
      <c r="S173" s="66"/>
    </row>
    <row r="174" spans="2:19" ht="15" thickBot="1" x14ac:dyDescent="0.35">
      <c r="B174" s="391" t="s">
        <v>44</v>
      </c>
      <c r="C174" s="391"/>
      <c r="D174" s="391"/>
      <c r="E174" s="391"/>
      <c r="F174" s="391"/>
      <c r="G174" s="391"/>
      <c r="H174" s="391"/>
      <c r="I174" s="391"/>
      <c r="J174" s="391"/>
      <c r="K174" s="391"/>
      <c r="L174" s="391"/>
      <c r="M174" s="391"/>
      <c r="N174" s="391"/>
      <c r="O174" s="391"/>
      <c r="P174" s="390">
        <f>SUMIF(Q6:Q165,"&lt;&gt;#N/A")</f>
        <v>0</v>
      </c>
      <c r="Q174" s="390"/>
      <c r="R174" s="390"/>
      <c r="S174" s="67"/>
    </row>
    <row r="175" spans="2:19" ht="15" thickBot="1" x14ac:dyDescent="0.35">
      <c r="B175" s="540"/>
      <c r="C175" s="540"/>
      <c r="D175" s="540"/>
      <c r="E175" s="540"/>
      <c r="F175" s="540"/>
      <c r="G175" s="540"/>
      <c r="H175" s="540"/>
      <c r="I175" s="540"/>
      <c r="J175" s="540"/>
      <c r="K175" s="540"/>
      <c r="L175" s="540"/>
      <c r="M175" s="540"/>
      <c r="N175" s="540"/>
      <c r="O175" s="540"/>
      <c r="P175" s="541"/>
      <c r="Q175" s="541"/>
      <c r="R175" s="541"/>
      <c r="S175" s="67"/>
    </row>
    <row r="176" spans="2:19" ht="15" thickTop="1" x14ac:dyDescent="0.3"/>
  </sheetData>
  <sheetProtection selectLockedCells="1"/>
  <mergeCells count="311">
    <mergeCell ref="T148:AA148"/>
    <mergeCell ref="BE66:BO66"/>
    <mergeCell ref="T149:AB149"/>
    <mergeCell ref="AC149:AE149"/>
    <mergeCell ref="T150:AC150"/>
    <mergeCell ref="AD150:AE150"/>
    <mergeCell ref="AZ67:BE67"/>
    <mergeCell ref="AF71:AH72"/>
    <mergeCell ref="AI71:AL72"/>
    <mergeCell ref="AZ71:BI71"/>
    <mergeCell ref="AZ73:BK73"/>
    <mergeCell ref="AZ74:BL74"/>
    <mergeCell ref="AZ75:BL75"/>
    <mergeCell ref="T145:X145"/>
    <mergeCell ref="Y145:AE145"/>
    <mergeCell ref="T146:Z146"/>
    <mergeCell ref="AA146:AE146"/>
    <mergeCell ref="AU69:AU70"/>
    <mergeCell ref="AV69:AV70"/>
    <mergeCell ref="AZ69:BG69"/>
    <mergeCell ref="BH69:BO69"/>
    <mergeCell ref="AZ70:BH70"/>
    <mergeCell ref="BI70:BO70"/>
    <mergeCell ref="T147:Z147"/>
    <mergeCell ref="AA147:AE147"/>
    <mergeCell ref="DO37:DT37"/>
    <mergeCell ref="AB148:AE148"/>
    <mergeCell ref="BL73:BO73"/>
    <mergeCell ref="BM74:BO74"/>
    <mergeCell ref="BM75:BO75"/>
    <mergeCell ref="BJ71:BO71"/>
    <mergeCell ref="AZ72:BJ72"/>
    <mergeCell ref="BK72:BO72"/>
    <mergeCell ref="AF51:AF52"/>
    <mergeCell ref="AF53:AF54"/>
    <mergeCell ref="AF55:AF56"/>
    <mergeCell ref="AF57:AF58"/>
    <mergeCell ref="AF59:AF60"/>
    <mergeCell ref="AF61:AF62"/>
    <mergeCell ref="BA62:BO62"/>
    <mergeCell ref="AF63:AF64"/>
    <mergeCell ref="AZ63:BA63"/>
    <mergeCell ref="BB63:BO63"/>
    <mergeCell ref="AZ64:BB64"/>
    <mergeCell ref="BC64:BO64"/>
    <mergeCell ref="AF65:AF66"/>
    <mergeCell ref="AZ65:BC65"/>
    <mergeCell ref="BD65:BO65"/>
    <mergeCell ref="AZ66:BD66"/>
    <mergeCell ref="DE30:DE31"/>
    <mergeCell ref="DF30:DF31"/>
    <mergeCell ref="DG30:DG31"/>
    <mergeCell ref="BF67:BO67"/>
    <mergeCell ref="AZ68:BF68"/>
    <mergeCell ref="BG68:BO68"/>
    <mergeCell ref="AF69:AF70"/>
    <mergeCell ref="DU37:DY37"/>
    <mergeCell ref="CV38:DJ39"/>
    <mergeCell ref="DK38:DM39"/>
    <mergeCell ref="DO38:DU38"/>
    <mergeCell ref="DV38:DY38"/>
    <mergeCell ref="AF39:AF40"/>
    <mergeCell ref="DO39:DU39"/>
    <mergeCell ref="DV39:DY39"/>
    <mergeCell ref="DO40:DV40"/>
    <mergeCell ref="DW40:DY40"/>
    <mergeCell ref="DJ36:DM37"/>
    <mergeCell ref="AF37:AF38"/>
    <mergeCell ref="DO41:DW41"/>
    <mergeCell ref="DX41:DY41"/>
    <mergeCell ref="AF43:AF44"/>
    <mergeCell ref="AF45:AF46"/>
    <mergeCell ref="AF47:AF48"/>
    <mergeCell ref="AF41:AF42"/>
    <mergeCell ref="AF27:AF28"/>
    <mergeCell ref="AF29:AF30"/>
    <mergeCell ref="DH30:DH31"/>
    <mergeCell ref="DI30:DI31"/>
    <mergeCell ref="DJ30:DM31"/>
    <mergeCell ref="AF31:AF32"/>
    <mergeCell ref="CV32:DB33"/>
    <mergeCell ref="DC32:DC33"/>
    <mergeCell ref="DD32:DD33"/>
    <mergeCell ref="DE32:DE33"/>
    <mergeCell ref="DF32:DF33"/>
    <mergeCell ref="DG32:DG33"/>
    <mergeCell ref="DH32:DH33"/>
    <mergeCell ref="DI32:DI33"/>
    <mergeCell ref="DJ32:DM33"/>
    <mergeCell ref="AF33:AF34"/>
    <mergeCell ref="CV34:DH35"/>
    <mergeCell ref="DI34:DM35"/>
    <mergeCell ref="AF35:AF36"/>
    <mergeCell ref="CV36:DI37"/>
    <mergeCell ref="CV30:DB31"/>
    <mergeCell ref="DC30:DC31"/>
    <mergeCell ref="DD30:DD31"/>
    <mergeCell ref="BS21:BS22"/>
    <mergeCell ref="BT21:BT22"/>
    <mergeCell ref="BU21:BU22"/>
    <mergeCell ref="AF23:AF24"/>
    <mergeCell ref="BS23:BU24"/>
    <mergeCell ref="BV23:BV24"/>
    <mergeCell ref="BX23:CB24"/>
    <mergeCell ref="CC23:CC24"/>
    <mergeCell ref="AF25:AF26"/>
    <mergeCell ref="BS25:CB26"/>
    <mergeCell ref="CC25:CC26"/>
    <mergeCell ref="CC21:CC22"/>
    <mergeCell ref="AF21:AF22"/>
    <mergeCell ref="CC15:CC16"/>
    <mergeCell ref="CC17:CC18"/>
    <mergeCell ref="AF19:AF20"/>
    <mergeCell ref="BS19:BS20"/>
    <mergeCell ref="BT19:BT20"/>
    <mergeCell ref="BU19:BU20"/>
    <mergeCell ref="BV19:BV20"/>
    <mergeCell ref="BX19:BX20"/>
    <mergeCell ref="BY19:BY20"/>
    <mergeCell ref="BZ19:BZ20"/>
    <mergeCell ref="CA19:CA20"/>
    <mergeCell ref="CB19:CB20"/>
    <mergeCell ref="CC19:CC20"/>
    <mergeCell ref="BS17:BS18"/>
    <mergeCell ref="BT17:BT18"/>
    <mergeCell ref="BU17:BU18"/>
    <mergeCell ref="BV17:BV18"/>
    <mergeCell ref="BW17:BW22"/>
    <mergeCell ref="BX17:BX18"/>
    <mergeCell ref="BY17:BY18"/>
    <mergeCell ref="BZ17:BZ18"/>
    <mergeCell ref="BY15:BY16"/>
    <mergeCell ref="CA15:CA16"/>
    <mergeCell ref="BV21:BV22"/>
    <mergeCell ref="BX21:BX22"/>
    <mergeCell ref="BY21:BY22"/>
    <mergeCell ref="BZ21:BZ22"/>
    <mergeCell ref="CA21:CA22"/>
    <mergeCell ref="CB17:CB18"/>
    <mergeCell ref="CB21:CB22"/>
    <mergeCell ref="CA17:CA18"/>
    <mergeCell ref="CB15:CB16"/>
    <mergeCell ref="CB13:CB14"/>
    <mergeCell ref="CB9:CB10"/>
    <mergeCell ref="CC9:CC10"/>
    <mergeCell ref="AF11:AF12"/>
    <mergeCell ref="BS11:BS12"/>
    <mergeCell ref="BT11:BT12"/>
    <mergeCell ref="BU11:BU12"/>
    <mergeCell ref="BV11:BV12"/>
    <mergeCell ref="BX11:BX12"/>
    <mergeCell ref="BY11:BY12"/>
    <mergeCell ref="BZ11:BZ12"/>
    <mergeCell ref="CA11:CA12"/>
    <mergeCell ref="CB11:CB12"/>
    <mergeCell ref="CC11:CC12"/>
    <mergeCell ref="CC13:CC14"/>
    <mergeCell ref="CA9:CA10"/>
    <mergeCell ref="AF15:AF16"/>
    <mergeCell ref="BS5:BS6"/>
    <mergeCell ref="BT5:BT6"/>
    <mergeCell ref="BU5:BU6"/>
    <mergeCell ref="BV5:BV6"/>
    <mergeCell ref="BW5:BW16"/>
    <mergeCell ref="BX5:BX6"/>
    <mergeCell ref="BY5:BY6"/>
    <mergeCell ref="BZ5:BZ6"/>
    <mergeCell ref="BS15:BS16"/>
    <mergeCell ref="BT15:BT16"/>
    <mergeCell ref="BU15:BU16"/>
    <mergeCell ref="BV15:BV16"/>
    <mergeCell ref="BX15:BX16"/>
    <mergeCell ref="BS13:BS14"/>
    <mergeCell ref="BT13:BT14"/>
    <mergeCell ref="BU13:BU14"/>
    <mergeCell ref="BV13:BV14"/>
    <mergeCell ref="BX13:BX14"/>
    <mergeCell ref="BY13:BY14"/>
    <mergeCell ref="BZ13:BZ14"/>
    <mergeCell ref="CA13:CA14"/>
    <mergeCell ref="BZ15:BZ16"/>
    <mergeCell ref="BS7:BS8"/>
    <mergeCell ref="BT7:BT8"/>
    <mergeCell ref="BU7:BU8"/>
    <mergeCell ref="BV7:BV8"/>
    <mergeCell ref="BX7:BX8"/>
    <mergeCell ref="BY7:BY8"/>
    <mergeCell ref="BX9:BX10"/>
    <mergeCell ref="BY9:BY10"/>
    <mergeCell ref="BZ9:BZ10"/>
    <mergeCell ref="BW3:BW4"/>
    <mergeCell ref="BX3:BX4"/>
    <mergeCell ref="DS3:DS5"/>
    <mergeCell ref="DT3:DT5"/>
    <mergeCell ref="DU3:DU5"/>
    <mergeCell ref="DV3:DV5"/>
    <mergeCell ref="DW3:DW5"/>
    <mergeCell ref="DX3:DX5"/>
    <mergeCell ref="DY3:DY5"/>
    <mergeCell ref="CB5:CB6"/>
    <mergeCell ref="CC5:CC6"/>
    <mergeCell ref="DK3:DK5"/>
    <mergeCell ref="DL3:DL5"/>
    <mergeCell ref="DM3:DM5"/>
    <mergeCell ref="DO3:DO5"/>
    <mergeCell ref="DP3:DP5"/>
    <mergeCell ref="DQ3:DQ5"/>
    <mergeCell ref="DR3:DR5"/>
    <mergeCell ref="CA5:CA6"/>
    <mergeCell ref="CV1:DM2"/>
    <mergeCell ref="DO1:DY2"/>
    <mergeCell ref="CW3:CW5"/>
    <mergeCell ref="CX3:CX5"/>
    <mergeCell ref="CY3:CY5"/>
    <mergeCell ref="CZ3:CZ5"/>
    <mergeCell ref="DA3:DA5"/>
    <mergeCell ref="DB3:DB5"/>
    <mergeCell ref="DC3:DH4"/>
    <mergeCell ref="DI3:DI5"/>
    <mergeCell ref="DJ3:DJ5"/>
    <mergeCell ref="CV3:CV5"/>
    <mergeCell ref="C3:C5"/>
    <mergeCell ref="D3:D5"/>
    <mergeCell ref="E3:E5"/>
    <mergeCell ref="F3:F5"/>
    <mergeCell ref="H3:M4"/>
    <mergeCell ref="N3:N5"/>
    <mergeCell ref="V3:V5"/>
    <mergeCell ref="W3:W5"/>
    <mergeCell ref="X3:X5"/>
    <mergeCell ref="Y3:Y5"/>
    <mergeCell ref="AB3:AB5"/>
    <mergeCell ref="AC3:AC5"/>
    <mergeCell ref="AD3:AD5"/>
    <mergeCell ref="AE3:AE5"/>
    <mergeCell ref="AF3:AF6"/>
    <mergeCell ref="AG3:AM5"/>
    <mergeCell ref="AN3:AT5"/>
    <mergeCell ref="AU3:AU6"/>
    <mergeCell ref="B166:G167"/>
    <mergeCell ref="H166:H167"/>
    <mergeCell ref="I166:I167"/>
    <mergeCell ref="J166:J167"/>
    <mergeCell ref="K166:K167"/>
    <mergeCell ref="L166:L167"/>
    <mergeCell ref="M166:M167"/>
    <mergeCell ref="N166:N167"/>
    <mergeCell ref="O166:R167"/>
    <mergeCell ref="B1:R2"/>
    <mergeCell ref="T1:AE2"/>
    <mergeCell ref="AF49:AF50"/>
    <mergeCell ref="AF67:AF68"/>
    <mergeCell ref="O3:O5"/>
    <mergeCell ref="BA3:BA5"/>
    <mergeCell ref="BM3:BM5"/>
    <mergeCell ref="AF1:AV2"/>
    <mergeCell ref="AZ1:BQ2"/>
    <mergeCell ref="AF17:AF18"/>
    <mergeCell ref="B3:B5"/>
    <mergeCell ref="G3:G5"/>
    <mergeCell ref="BB3:BB5"/>
    <mergeCell ref="Z3:Z5"/>
    <mergeCell ref="P3:P5"/>
    <mergeCell ref="Q3:Q5"/>
    <mergeCell ref="R3:R5"/>
    <mergeCell ref="T3:T5"/>
    <mergeCell ref="U3:U5"/>
    <mergeCell ref="AA3:AA5"/>
    <mergeCell ref="AV3:AV6"/>
    <mergeCell ref="AZ3:AZ5"/>
    <mergeCell ref="BD3:BI4"/>
    <mergeCell ref="BJ3:BL4"/>
    <mergeCell ref="BS1:CC2"/>
    <mergeCell ref="BY3:BY4"/>
    <mergeCell ref="BZ3:BZ4"/>
    <mergeCell ref="CA3:CA4"/>
    <mergeCell ref="CB3:CB4"/>
    <mergeCell ref="CC3:CC4"/>
    <mergeCell ref="AF7:AF8"/>
    <mergeCell ref="AF9:AF10"/>
    <mergeCell ref="AF13:AF14"/>
    <mergeCell ref="BN3:BN5"/>
    <mergeCell ref="BO3:BO5"/>
    <mergeCell ref="BS3:BS4"/>
    <mergeCell ref="BT3:BT4"/>
    <mergeCell ref="BU3:BU4"/>
    <mergeCell ref="BC3:BC5"/>
    <mergeCell ref="BZ7:BZ8"/>
    <mergeCell ref="CA7:CA8"/>
    <mergeCell ref="CB7:CB8"/>
    <mergeCell ref="CC7:CC8"/>
    <mergeCell ref="BS9:BS10"/>
    <mergeCell ref="BT9:BT10"/>
    <mergeCell ref="BU9:BU10"/>
    <mergeCell ref="BV9:BV10"/>
    <mergeCell ref="BV3:BV4"/>
    <mergeCell ref="B172:N173"/>
    <mergeCell ref="O172:R173"/>
    <mergeCell ref="M168:M169"/>
    <mergeCell ref="N168:N169"/>
    <mergeCell ref="O168:R169"/>
    <mergeCell ref="B170:M171"/>
    <mergeCell ref="N170:R171"/>
    <mergeCell ref="B174:O175"/>
    <mergeCell ref="P174:R175"/>
    <mergeCell ref="B168:G169"/>
    <mergeCell ref="H168:H169"/>
    <mergeCell ref="I168:I169"/>
    <mergeCell ref="J168:J169"/>
    <mergeCell ref="K168:K169"/>
    <mergeCell ref="L168:L169"/>
  </mergeCells>
  <printOptions horizontalCentered="1" verticalCentered="1"/>
  <pageMargins left="3.937007874015748E-2" right="3.937007874015748E-2" top="0.35433070866141736" bottom="0.35433070866141736" header="0" footer="0.31496062992125984"/>
  <pageSetup paperSize="9" scale="84" orientation="landscape" r:id="rId1"/>
  <rowBreaks count="2" manualBreakCount="2">
    <brk id="112" max="128" man="1"/>
    <brk id="153" max="16383" man="1"/>
  </rowBreaks>
  <colBreaks count="6" manualBreakCount="6">
    <brk id="19" max="1048575" man="1"/>
    <brk id="31" max="1048575" man="1"/>
    <brk id="51" max="1048575" man="1"/>
    <brk id="69" max="1048575" man="1"/>
    <brk id="98" max="1048575" man="1"/>
    <brk id="118" max="1048575" man="1"/>
  </col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E467638-3DE7-49F7-ABB6-AFAE7E5EBBD8}">
          <x14:formula1>
            <xm:f>'BASE '!$P$112:$P$118</xm:f>
          </x14:formula1>
          <xm:sqref>DA6:DA29 F6:F169</xm:sqref>
        </x14:dataValidation>
        <x14:dataValidation type="list" allowBlank="1" showInputMessage="1" showErrorMessage="1" xr:uid="{05D11AD2-524B-47D9-8268-DAD861BEEA16}">
          <x14:formula1>
            <xm:f>'BASE '!$O$112:$O$123</xm:f>
          </x14:formula1>
          <xm:sqref>CZ6:CZ29 E6:E169</xm:sqref>
        </x14:dataValidation>
        <x14:dataValidation type="list" allowBlank="1" showInputMessage="1" showErrorMessage="1" xr:uid="{09C36115-B5A9-40A3-942A-2B3F7401AE74}">
          <x14:formula1>
            <xm:f>'BASE '!$O$112:$O$120</xm:f>
          </x14:formula1>
          <xm:sqref>W1:X1 DR1:DT1</xm:sqref>
        </x14:dataValidation>
        <x14:dataValidation type="list" allowBlank="1" showInputMessage="1" showErrorMessage="1" xr:uid="{EF277C4D-9038-4CD0-BBF8-112FF293227E}">
          <x14:formula1>
            <xm:f>'BASE '!$A$5:$A$144</xm:f>
          </x14:formula1>
          <xm:sqref>U6:U144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90B0-D8D0-40B6-99BE-A442695CCD65}">
  <sheetPr codeName="Feuil7"/>
  <dimension ref="B1:DY176"/>
  <sheetViews>
    <sheetView view="pageBreakPreview" zoomScale="60" zoomScaleNormal="100" workbookViewId="0">
      <selection activeCell="BC14" sqref="BC14"/>
    </sheetView>
  </sheetViews>
  <sheetFormatPr baseColWidth="10" defaultColWidth="0" defaultRowHeight="14.4" x14ac:dyDescent="0.3"/>
  <cols>
    <col min="1" max="1" width="4.88671875" customWidth="1"/>
    <col min="2" max="2" width="8.5546875" customWidth="1"/>
    <col min="3" max="3" width="10" customWidth="1"/>
    <col min="4" max="4" width="20.109375" customWidth="1"/>
    <col min="5" max="5" width="10" customWidth="1"/>
    <col min="6" max="6" width="7" customWidth="1"/>
    <col min="7" max="7" width="4.88671875" customWidth="1"/>
    <col min="8" max="13" width="3.5546875" customWidth="1"/>
    <col min="14" max="14" width="4.6640625" customWidth="1"/>
    <col min="15" max="18" width="12.5546875" customWidth="1"/>
    <col min="19" max="19" width="4.88671875" customWidth="1"/>
    <col min="20" max="20" width="8" customWidth="1"/>
    <col min="21" max="21" width="12" customWidth="1"/>
    <col min="22" max="22" width="15" customWidth="1"/>
    <col min="23" max="23" width="10" customWidth="1"/>
    <col min="24" max="24" width="12" customWidth="1"/>
    <col min="25" max="25" width="13.5546875" customWidth="1"/>
    <col min="26" max="26" width="6.88671875" customWidth="1"/>
    <col min="27" max="31" width="12" customWidth="1"/>
    <col min="32" max="32" width="20" customWidth="1"/>
    <col min="33" max="46" width="6" customWidth="1"/>
    <col min="47" max="48" width="15" customWidth="1"/>
    <col min="52" max="52" width="10" customWidth="1"/>
    <col min="53" max="55" width="12.5546875" customWidth="1"/>
    <col min="56" max="64" width="5" customWidth="1"/>
    <col min="65" max="66" width="9.6640625" customWidth="1"/>
    <col min="67" max="67" width="15" customWidth="1"/>
    <col min="70" max="70" width="20" customWidth="1"/>
    <col min="71" max="73" width="12.5546875" customWidth="1"/>
    <col min="74" max="75" width="15" customWidth="1"/>
    <col min="76" max="80" width="12.33203125" customWidth="1"/>
    <col min="81" max="81" width="15" customWidth="1"/>
    <col min="99" max="99" width="4.88671875" customWidth="1"/>
    <col min="100" max="100" width="8.5546875" customWidth="1"/>
    <col min="101" max="101" width="10" customWidth="1"/>
    <col min="102" max="102" width="15" customWidth="1"/>
    <col min="103" max="104" width="10" customWidth="1"/>
    <col min="105" max="105" width="6" customWidth="1"/>
    <col min="106" max="106" width="4.88671875" customWidth="1"/>
    <col min="107" max="112" width="3.5546875" customWidth="1"/>
    <col min="113" max="113" width="4.6640625" customWidth="1"/>
    <col min="114" max="117" width="12.5546875" customWidth="1"/>
    <col min="118" max="118" width="4.88671875" customWidth="1"/>
    <col min="119" max="119" width="10" customWidth="1"/>
    <col min="120" max="121" width="20" customWidth="1"/>
    <col min="122" max="122" width="12.5546875" customWidth="1"/>
    <col min="123" max="123" width="10" customWidth="1"/>
    <col min="124" max="129" width="15" customWidth="1"/>
  </cols>
  <sheetData>
    <row r="1" spans="2:129" ht="14.1" customHeight="1" thickTop="1" thickBot="1" x14ac:dyDescent="0.35">
      <c r="B1" s="546" t="s">
        <v>27</v>
      </c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8"/>
      <c r="S1" s="165"/>
      <c r="T1" s="443" t="s">
        <v>22</v>
      </c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5"/>
      <c r="AF1" s="400" t="s">
        <v>21</v>
      </c>
      <c r="AG1" s="400"/>
      <c r="AH1" s="400"/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76"/>
      <c r="AX1" s="76"/>
      <c r="AY1" s="93"/>
      <c r="AZ1" s="482" t="s">
        <v>55</v>
      </c>
      <c r="BA1" s="482"/>
      <c r="BB1" s="482"/>
      <c r="BC1" s="482"/>
      <c r="BD1" s="482"/>
      <c r="BE1" s="482"/>
      <c r="BF1" s="482"/>
      <c r="BG1" s="482"/>
      <c r="BH1" s="482"/>
      <c r="BI1" s="482"/>
      <c r="BJ1" s="482"/>
      <c r="BK1" s="482"/>
      <c r="BL1" s="482"/>
      <c r="BM1" s="482"/>
      <c r="BN1" s="482"/>
      <c r="BO1" s="482"/>
      <c r="BP1" s="482"/>
      <c r="BQ1" s="482"/>
      <c r="BR1" s="145"/>
      <c r="BS1" s="511" t="s">
        <v>24</v>
      </c>
      <c r="BT1" s="511"/>
      <c r="BU1" s="511"/>
      <c r="BV1" s="511"/>
      <c r="BW1" s="511"/>
      <c r="BX1" s="511"/>
      <c r="BY1" s="511"/>
      <c r="BZ1" s="511"/>
      <c r="CA1" s="511"/>
      <c r="CB1" s="511"/>
      <c r="CC1" s="511"/>
      <c r="CD1" s="133"/>
      <c r="CE1" s="133"/>
      <c r="CF1" s="133"/>
      <c r="CG1" s="133"/>
      <c r="CH1" s="133"/>
      <c r="CI1" s="133"/>
      <c r="CJ1" s="133"/>
      <c r="CK1" s="133"/>
      <c r="CL1" s="133"/>
      <c r="CM1" s="133"/>
      <c r="CN1" s="133"/>
      <c r="CO1" s="133"/>
      <c r="CP1" s="133"/>
      <c r="CQ1" s="133"/>
      <c r="CR1" s="133"/>
      <c r="CS1" s="133"/>
      <c r="CT1" s="133"/>
      <c r="CU1" s="136"/>
      <c r="CV1" s="546" t="s">
        <v>179</v>
      </c>
      <c r="CW1" s="547"/>
      <c r="CX1" s="547"/>
      <c r="CY1" s="547"/>
      <c r="CZ1" s="547"/>
      <c r="DA1" s="547"/>
      <c r="DB1" s="547"/>
      <c r="DC1" s="547"/>
      <c r="DD1" s="547"/>
      <c r="DE1" s="547"/>
      <c r="DF1" s="547"/>
      <c r="DG1" s="547"/>
      <c r="DH1" s="547"/>
      <c r="DI1" s="547"/>
      <c r="DJ1" s="547"/>
      <c r="DK1" s="547"/>
      <c r="DL1" s="547"/>
      <c r="DM1" s="548"/>
      <c r="DO1" s="443" t="s">
        <v>23</v>
      </c>
      <c r="DP1" s="444"/>
      <c r="DQ1" s="444"/>
      <c r="DR1" s="444"/>
      <c r="DS1" s="444"/>
      <c r="DT1" s="444"/>
      <c r="DU1" s="444"/>
      <c r="DV1" s="444"/>
      <c r="DW1" s="444"/>
      <c r="DX1" s="444"/>
      <c r="DY1" s="445"/>
    </row>
    <row r="2" spans="2:129" ht="14.1" customHeight="1" thickBot="1" x14ac:dyDescent="0.35">
      <c r="B2" s="446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8"/>
      <c r="S2" s="165"/>
      <c r="T2" s="446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8"/>
      <c r="AF2" s="400"/>
      <c r="AG2" s="400"/>
      <c r="AH2" s="400"/>
      <c r="AI2" s="400"/>
      <c r="AJ2" s="400"/>
      <c r="AK2" s="400"/>
      <c r="AL2" s="400"/>
      <c r="AM2" s="400"/>
      <c r="AN2" s="400"/>
      <c r="AO2" s="400"/>
      <c r="AP2" s="400"/>
      <c r="AQ2" s="400"/>
      <c r="AR2" s="400"/>
      <c r="AS2" s="400"/>
      <c r="AT2" s="400"/>
      <c r="AU2" s="400"/>
      <c r="AV2" s="400"/>
      <c r="AW2" s="77"/>
      <c r="AX2" s="77"/>
      <c r="AY2" s="77"/>
      <c r="AZ2" s="482"/>
      <c r="BA2" s="482"/>
      <c r="BB2" s="482"/>
      <c r="BC2" s="482"/>
      <c r="BD2" s="482"/>
      <c r="BE2" s="482"/>
      <c r="BF2" s="482"/>
      <c r="BG2" s="482"/>
      <c r="BH2" s="482"/>
      <c r="BI2" s="482"/>
      <c r="BJ2" s="482"/>
      <c r="BK2" s="482"/>
      <c r="BL2" s="482"/>
      <c r="BM2" s="482"/>
      <c r="BN2" s="482"/>
      <c r="BO2" s="482"/>
      <c r="BP2" s="482"/>
      <c r="BQ2" s="482"/>
      <c r="BR2" s="145"/>
      <c r="BS2" s="511"/>
      <c r="BT2" s="511"/>
      <c r="BU2" s="511"/>
      <c r="BV2" s="511"/>
      <c r="BW2" s="511"/>
      <c r="BX2" s="511"/>
      <c r="BY2" s="511"/>
      <c r="BZ2" s="511"/>
      <c r="CA2" s="511"/>
      <c r="CB2" s="511"/>
      <c r="CC2" s="511"/>
      <c r="CD2" s="133"/>
      <c r="CE2" s="133"/>
      <c r="CF2" s="133"/>
      <c r="CG2" s="133"/>
      <c r="CH2" s="133"/>
      <c r="CI2" s="133"/>
      <c r="CJ2" s="133"/>
      <c r="CK2" s="133"/>
      <c r="CL2" s="133"/>
      <c r="CM2" s="133"/>
      <c r="CN2" s="133"/>
      <c r="CO2" s="133"/>
      <c r="CP2" s="133"/>
      <c r="CQ2" s="133"/>
      <c r="CR2" s="133"/>
      <c r="CS2" s="133"/>
      <c r="CT2" s="133"/>
      <c r="CU2" s="136"/>
      <c r="CV2" s="446"/>
      <c r="CW2" s="447"/>
      <c r="CX2" s="447"/>
      <c r="CY2" s="447"/>
      <c r="CZ2" s="447"/>
      <c r="DA2" s="447"/>
      <c r="DB2" s="447"/>
      <c r="DC2" s="447"/>
      <c r="DD2" s="447"/>
      <c r="DE2" s="447"/>
      <c r="DF2" s="447"/>
      <c r="DG2" s="447"/>
      <c r="DH2" s="447"/>
      <c r="DI2" s="447"/>
      <c r="DJ2" s="447"/>
      <c r="DK2" s="447"/>
      <c r="DL2" s="447"/>
      <c r="DM2" s="448"/>
      <c r="DN2" s="130"/>
      <c r="DO2" s="446"/>
      <c r="DP2" s="447"/>
      <c r="DQ2" s="447"/>
      <c r="DR2" s="447"/>
      <c r="DS2" s="447"/>
      <c r="DT2" s="447"/>
      <c r="DU2" s="447"/>
      <c r="DV2" s="447"/>
      <c r="DW2" s="447"/>
      <c r="DX2" s="447"/>
      <c r="DY2" s="448"/>
    </row>
    <row r="3" spans="2:129" ht="14.1" customHeight="1" thickBot="1" x14ac:dyDescent="0.35">
      <c r="B3" s="395" t="s">
        <v>0</v>
      </c>
      <c r="C3" s="395" t="s">
        <v>174</v>
      </c>
      <c r="D3" s="550" t="s">
        <v>1</v>
      </c>
      <c r="E3" s="395" t="s">
        <v>25</v>
      </c>
      <c r="F3" s="560" t="s">
        <v>154</v>
      </c>
      <c r="G3" s="440" t="s">
        <v>26</v>
      </c>
      <c r="H3" s="562" t="s">
        <v>2</v>
      </c>
      <c r="I3" s="563"/>
      <c r="J3" s="563"/>
      <c r="K3" s="563"/>
      <c r="L3" s="563"/>
      <c r="M3" s="564"/>
      <c r="N3" s="568" t="s">
        <v>119</v>
      </c>
      <c r="O3" s="442" t="s">
        <v>92</v>
      </c>
      <c r="P3" s="441" t="s">
        <v>159</v>
      </c>
      <c r="Q3" s="395" t="s">
        <v>49</v>
      </c>
      <c r="R3" s="399" t="s">
        <v>106</v>
      </c>
      <c r="S3" s="69"/>
      <c r="T3" s="451" t="s">
        <v>89</v>
      </c>
      <c r="U3" s="409" t="s">
        <v>2</v>
      </c>
      <c r="V3" s="396" t="s">
        <v>30</v>
      </c>
      <c r="W3" s="426" t="s">
        <v>33</v>
      </c>
      <c r="X3" s="449" t="s">
        <v>91</v>
      </c>
      <c r="Y3" s="453" t="s">
        <v>92</v>
      </c>
      <c r="Z3" s="453" t="s">
        <v>31</v>
      </c>
      <c r="AA3" s="426" t="s">
        <v>90</v>
      </c>
      <c r="AB3" s="396" t="s">
        <v>18</v>
      </c>
      <c r="AC3" s="396" t="s">
        <v>32</v>
      </c>
      <c r="AD3" s="396" t="s">
        <v>19</v>
      </c>
      <c r="AE3" s="449" t="s">
        <v>34</v>
      </c>
      <c r="AF3" s="558" t="s">
        <v>3</v>
      </c>
      <c r="AG3" s="558" t="s">
        <v>123</v>
      </c>
      <c r="AH3" s="558"/>
      <c r="AI3" s="558"/>
      <c r="AJ3" s="558"/>
      <c r="AK3" s="558"/>
      <c r="AL3" s="558"/>
      <c r="AM3" s="558"/>
      <c r="AN3" s="558" t="s">
        <v>10</v>
      </c>
      <c r="AO3" s="558"/>
      <c r="AP3" s="558"/>
      <c r="AQ3" s="558"/>
      <c r="AR3" s="558"/>
      <c r="AS3" s="558"/>
      <c r="AT3" s="558"/>
      <c r="AU3" s="554" t="s">
        <v>92</v>
      </c>
      <c r="AV3" s="554" t="s">
        <v>49</v>
      </c>
      <c r="AW3" s="43"/>
      <c r="AX3" s="43"/>
      <c r="AY3" s="43"/>
      <c r="AZ3" s="483" t="s">
        <v>0</v>
      </c>
      <c r="BA3" s="486" t="s">
        <v>57</v>
      </c>
      <c r="BB3" s="428" t="s">
        <v>56</v>
      </c>
      <c r="BC3" s="428" t="s">
        <v>58</v>
      </c>
      <c r="BD3" s="486" t="s">
        <v>172</v>
      </c>
      <c r="BE3" s="489"/>
      <c r="BF3" s="489"/>
      <c r="BG3" s="489"/>
      <c r="BH3" s="489"/>
      <c r="BI3" s="490"/>
      <c r="BJ3" s="486" t="s">
        <v>173</v>
      </c>
      <c r="BK3" s="489"/>
      <c r="BL3" s="490"/>
      <c r="BM3" s="428" t="s">
        <v>171</v>
      </c>
      <c r="BN3" s="428" t="s">
        <v>161</v>
      </c>
      <c r="BO3" s="483" t="s">
        <v>59</v>
      </c>
      <c r="BP3" s="167"/>
      <c r="BQ3" s="12"/>
      <c r="BR3" s="12"/>
      <c r="BS3" s="376" t="s">
        <v>11</v>
      </c>
      <c r="BT3" s="376" t="s">
        <v>4</v>
      </c>
      <c r="BU3" s="376" t="s">
        <v>187</v>
      </c>
      <c r="BV3" s="376" t="s">
        <v>188</v>
      </c>
      <c r="BW3" s="376"/>
      <c r="BX3" s="376" t="s">
        <v>11</v>
      </c>
      <c r="BY3" s="376" t="s">
        <v>189</v>
      </c>
      <c r="BZ3" s="376" t="s">
        <v>190</v>
      </c>
      <c r="CA3" s="376" t="s">
        <v>191</v>
      </c>
      <c r="CB3" s="376" t="s">
        <v>187</v>
      </c>
      <c r="CC3" s="376" t="s">
        <v>188</v>
      </c>
      <c r="CV3" s="395" t="s">
        <v>0</v>
      </c>
      <c r="CW3" s="395" t="s">
        <v>174</v>
      </c>
      <c r="CX3" s="550" t="s">
        <v>1</v>
      </c>
      <c r="CY3" s="550" t="s">
        <v>185</v>
      </c>
      <c r="CZ3" s="395" t="s">
        <v>25</v>
      </c>
      <c r="DA3" s="560" t="s">
        <v>154</v>
      </c>
      <c r="DB3" s="440" t="s">
        <v>26</v>
      </c>
      <c r="DC3" s="562" t="s">
        <v>2</v>
      </c>
      <c r="DD3" s="563"/>
      <c r="DE3" s="563"/>
      <c r="DF3" s="563"/>
      <c r="DG3" s="563"/>
      <c r="DH3" s="564"/>
      <c r="DI3" s="568" t="s">
        <v>119</v>
      </c>
      <c r="DJ3" s="442" t="s">
        <v>92</v>
      </c>
      <c r="DK3" s="441" t="s">
        <v>159</v>
      </c>
      <c r="DL3" s="395" t="s">
        <v>49</v>
      </c>
      <c r="DM3" s="399" t="s">
        <v>106</v>
      </c>
      <c r="DN3" s="69"/>
      <c r="DO3" s="409" t="s">
        <v>89</v>
      </c>
      <c r="DP3" s="409" t="s">
        <v>2</v>
      </c>
      <c r="DQ3" s="396" t="s">
        <v>30</v>
      </c>
      <c r="DR3" s="426" t="s">
        <v>33</v>
      </c>
      <c r="DS3" s="426" t="s">
        <v>185</v>
      </c>
      <c r="DT3" s="449" t="s">
        <v>91</v>
      </c>
      <c r="DU3" s="453" t="s">
        <v>92</v>
      </c>
      <c r="DV3" s="396" t="s">
        <v>18</v>
      </c>
      <c r="DW3" s="396" t="s">
        <v>32</v>
      </c>
      <c r="DX3" s="396" t="s">
        <v>19</v>
      </c>
      <c r="DY3" s="449" t="s">
        <v>34</v>
      </c>
    </row>
    <row r="4" spans="2:129" ht="14.1" customHeight="1" thickBot="1" x14ac:dyDescent="0.35">
      <c r="B4" s="395"/>
      <c r="C4" s="395"/>
      <c r="D4" s="559"/>
      <c r="E4" s="395"/>
      <c r="F4" s="561"/>
      <c r="G4" s="440"/>
      <c r="H4" s="565"/>
      <c r="I4" s="566"/>
      <c r="J4" s="566"/>
      <c r="K4" s="566"/>
      <c r="L4" s="566"/>
      <c r="M4" s="567"/>
      <c r="N4" s="569"/>
      <c r="O4" s="442"/>
      <c r="P4" s="441"/>
      <c r="Q4" s="395"/>
      <c r="R4" s="399"/>
      <c r="S4" s="69"/>
      <c r="T4" s="452"/>
      <c r="U4" s="410"/>
      <c r="V4" s="397"/>
      <c r="W4" s="427"/>
      <c r="X4" s="450"/>
      <c r="Y4" s="454"/>
      <c r="Z4" s="454"/>
      <c r="AA4" s="427"/>
      <c r="AB4" s="397"/>
      <c r="AC4" s="397"/>
      <c r="AD4" s="397"/>
      <c r="AE4" s="450"/>
      <c r="AF4" s="558"/>
      <c r="AG4" s="558"/>
      <c r="AH4" s="558"/>
      <c r="AI4" s="558"/>
      <c r="AJ4" s="558"/>
      <c r="AK4" s="558"/>
      <c r="AL4" s="558"/>
      <c r="AM4" s="558"/>
      <c r="AN4" s="558"/>
      <c r="AO4" s="558"/>
      <c r="AP4" s="558"/>
      <c r="AQ4" s="558"/>
      <c r="AR4" s="558"/>
      <c r="AS4" s="558"/>
      <c r="AT4" s="558"/>
      <c r="AU4" s="554"/>
      <c r="AV4" s="554"/>
      <c r="AW4" s="12"/>
      <c r="AX4" s="12"/>
      <c r="AY4" s="12"/>
      <c r="AZ4" s="484"/>
      <c r="BA4" s="487"/>
      <c r="BB4" s="429"/>
      <c r="BC4" s="429"/>
      <c r="BD4" s="488"/>
      <c r="BE4" s="491"/>
      <c r="BF4" s="491"/>
      <c r="BG4" s="491"/>
      <c r="BH4" s="491"/>
      <c r="BI4" s="492"/>
      <c r="BJ4" s="488"/>
      <c r="BK4" s="491"/>
      <c r="BL4" s="492"/>
      <c r="BM4" s="429"/>
      <c r="BN4" s="429"/>
      <c r="BO4" s="484"/>
      <c r="BP4" s="167"/>
      <c r="BQ4" s="12"/>
      <c r="BR4" s="12"/>
      <c r="BS4" s="376"/>
      <c r="BT4" s="376"/>
      <c r="BU4" s="376"/>
      <c r="BV4" s="376"/>
      <c r="BW4" s="376"/>
      <c r="BX4" s="376"/>
      <c r="BY4" s="376"/>
      <c r="BZ4" s="376"/>
      <c r="CA4" s="376"/>
      <c r="CB4" s="376"/>
      <c r="CC4" s="376"/>
      <c r="CV4" s="395"/>
      <c r="CW4" s="395"/>
      <c r="CX4" s="559"/>
      <c r="CY4" s="559"/>
      <c r="CZ4" s="395"/>
      <c r="DA4" s="561"/>
      <c r="DB4" s="440"/>
      <c r="DC4" s="565"/>
      <c r="DD4" s="566"/>
      <c r="DE4" s="566"/>
      <c r="DF4" s="566"/>
      <c r="DG4" s="566"/>
      <c r="DH4" s="567"/>
      <c r="DI4" s="569"/>
      <c r="DJ4" s="442"/>
      <c r="DK4" s="441"/>
      <c r="DL4" s="395"/>
      <c r="DM4" s="399"/>
      <c r="DN4" s="69"/>
      <c r="DO4" s="410"/>
      <c r="DP4" s="410"/>
      <c r="DQ4" s="397"/>
      <c r="DR4" s="427"/>
      <c r="DS4" s="427"/>
      <c r="DT4" s="450"/>
      <c r="DU4" s="454"/>
      <c r="DV4" s="397"/>
      <c r="DW4" s="397"/>
      <c r="DX4" s="397"/>
      <c r="DY4" s="450"/>
    </row>
    <row r="5" spans="2:129" ht="14.1" customHeight="1" thickBot="1" x14ac:dyDescent="0.35">
      <c r="B5" s="550"/>
      <c r="C5" s="550"/>
      <c r="D5" s="559"/>
      <c r="E5" s="550"/>
      <c r="F5" s="561"/>
      <c r="G5" s="551"/>
      <c r="H5" s="170">
        <v>10</v>
      </c>
      <c r="I5" s="171">
        <v>25</v>
      </c>
      <c r="J5" s="171">
        <v>50</v>
      </c>
      <c r="K5" s="170">
        <v>75</v>
      </c>
      <c r="L5" s="171">
        <v>1</v>
      </c>
      <c r="M5" s="172">
        <v>5</v>
      </c>
      <c r="N5" s="569"/>
      <c r="O5" s="549"/>
      <c r="P5" s="552"/>
      <c r="Q5" s="550"/>
      <c r="R5" s="553"/>
      <c r="S5" s="69"/>
      <c r="T5" s="452"/>
      <c r="U5" s="410"/>
      <c r="V5" s="397"/>
      <c r="W5" s="427"/>
      <c r="X5" s="450"/>
      <c r="Y5" s="454"/>
      <c r="Z5" s="454"/>
      <c r="AA5" s="427"/>
      <c r="AB5" s="397"/>
      <c r="AC5" s="397"/>
      <c r="AD5" s="397"/>
      <c r="AE5" s="450"/>
      <c r="AF5" s="558"/>
      <c r="AG5" s="558"/>
      <c r="AH5" s="558"/>
      <c r="AI5" s="558"/>
      <c r="AJ5" s="558"/>
      <c r="AK5" s="558"/>
      <c r="AL5" s="558"/>
      <c r="AM5" s="558"/>
      <c r="AN5" s="558"/>
      <c r="AO5" s="558"/>
      <c r="AP5" s="558"/>
      <c r="AQ5" s="558"/>
      <c r="AR5" s="558"/>
      <c r="AS5" s="558"/>
      <c r="AT5" s="558"/>
      <c r="AU5" s="554"/>
      <c r="AV5" s="554"/>
      <c r="AW5" s="12"/>
      <c r="AX5" s="12"/>
      <c r="AY5" s="12"/>
      <c r="AZ5" s="485"/>
      <c r="BA5" s="488"/>
      <c r="BB5" s="430"/>
      <c r="BC5" s="430"/>
      <c r="BD5" s="45">
        <v>10</v>
      </c>
      <c r="BE5" s="45">
        <v>25</v>
      </c>
      <c r="BF5" s="45">
        <v>50</v>
      </c>
      <c r="BG5" s="45">
        <v>75</v>
      </c>
      <c r="BH5" s="45">
        <v>1</v>
      </c>
      <c r="BI5" s="146">
        <v>5</v>
      </c>
      <c r="BJ5" s="146">
        <v>25</v>
      </c>
      <c r="BK5" s="146">
        <v>50</v>
      </c>
      <c r="BL5" s="146">
        <v>1</v>
      </c>
      <c r="BM5" s="430"/>
      <c r="BN5" s="430"/>
      <c r="BO5" s="485"/>
      <c r="BP5" s="167"/>
      <c r="BQ5" s="12"/>
      <c r="BR5" s="12"/>
      <c r="BS5" s="577" t="s">
        <v>12</v>
      </c>
      <c r="BT5" s="504"/>
      <c r="BU5" s="525">
        <v>69</v>
      </c>
      <c r="BV5" s="578">
        <f>BU5*BT5</f>
        <v>0</v>
      </c>
      <c r="BW5" s="579" t="s">
        <v>157</v>
      </c>
      <c r="BX5" s="582">
        <v>10</v>
      </c>
      <c r="BY5" s="503">
        <f>BD65</f>
        <v>0</v>
      </c>
      <c r="BZ5" s="583" t="e">
        <f>H166</f>
        <v>#NAME?</v>
      </c>
      <c r="CA5" s="575"/>
      <c r="CB5" s="525">
        <v>800</v>
      </c>
      <c r="CC5" s="574">
        <f>BY5*CB5</f>
        <v>0</v>
      </c>
      <c r="CV5" s="395"/>
      <c r="CW5" s="395"/>
      <c r="CX5" s="570"/>
      <c r="CY5" s="570"/>
      <c r="CZ5" s="395"/>
      <c r="DA5" s="571"/>
      <c r="DB5" s="440"/>
      <c r="DC5" s="58">
        <v>10</v>
      </c>
      <c r="DD5" s="57">
        <v>25</v>
      </c>
      <c r="DE5" s="57">
        <v>50</v>
      </c>
      <c r="DF5" s="58">
        <v>75</v>
      </c>
      <c r="DG5" s="57">
        <v>1</v>
      </c>
      <c r="DH5" s="38">
        <v>5</v>
      </c>
      <c r="DI5" s="572"/>
      <c r="DJ5" s="442"/>
      <c r="DK5" s="441"/>
      <c r="DL5" s="395"/>
      <c r="DM5" s="399"/>
      <c r="DN5" s="69"/>
      <c r="DO5" s="411"/>
      <c r="DP5" s="410"/>
      <c r="DQ5" s="397"/>
      <c r="DR5" s="427"/>
      <c r="DS5" s="573"/>
      <c r="DT5" s="450"/>
      <c r="DU5" s="454"/>
      <c r="DV5" s="397"/>
      <c r="DW5" s="397"/>
      <c r="DX5" s="397"/>
      <c r="DY5" s="450"/>
    </row>
    <row r="6" spans="2:129" ht="15" customHeight="1" thickBot="1" x14ac:dyDescent="0.35">
      <c r="B6" s="173"/>
      <c r="C6" s="154"/>
      <c r="D6" s="174"/>
      <c r="E6" s="62"/>
      <c r="F6" s="175"/>
      <c r="G6" s="176"/>
      <c r="H6" s="9"/>
      <c r="I6" s="9"/>
      <c r="J6" s="9"/>
      <c r="K6" s="9"/>
      <c r="L6" s="9"/>
      <c r="M6" s="46"/>
      <c r="N6" s="32">
        <f t="shared" ref="N6:N69" si="0">((($H$5*H6)/100)+($I$5*I6)/100)+((J6*$J$5)/100)+(($K$5*K6)/100)+($L$5*L6)+($M$5*M6)</f>
        <v>0</v>
      </c>
      <c r="O6" s="177" t="b">
        <f>IF(AND(E6="CLIENT S+L",F6="HUILE"),(S6*3333.33+(VLOOKUP(H6,'BASE '!$I$112:$J$142,2,0)))-((S6*3333.33)*G6),IF(AND(E6="CLIENT S+L",F6="LAIT"),((S6*952.4)-(S6*952.4)*G6),IF(E6="CLIENT O","OFFERT",IF(AND(F6="HUILE",E6="CLIENT L"),(((VLOOKUP(H6,'BASE '!$I$112:$J$142,2,0))+(VLOOKUP(S6,'BASE '!#REF!,2,0)))),IF(AND(F6="LAIT",E6="CLIENT L"),(S6*952.4),IF(AND(F6="HUILE",E6="CLIENT D"),(S6*3809.53+(VLOOKUP(H6,'BASE '!$I$112:$J$142,2,0))),IF(AND(F6="LAIT",E6="CLIENT D"),(S6*952.4),IF(AND(F6="HUILE",E6="CLIENT S+D"),((S6*3809.53+(VLOOKUP(H6,'BASE '!$I$112:$J$142,2,0)))-((S6*3809.53)*G6)),IF(AND(F6="LAIT",E6="CLIENT S+D"),((S6*952.4)-((S6*952.4)*G6)),IF(AND(E6="CLIENT S",F6="LAIT"),((S6*952.4)-((S6*952.4)*G6)),IF(AND(F6="HUILE",E6="CLIENT S"),(VLOOKUP(H6,'BASE '!$I$112:$J$142,2,0)+(VLOOKUP(S6,'BASE '!#REF!,2,0)))-(G6*((VLOOKUP(S6,'BASE '!#REF!,2,0)+(VLOOKUP(H6,'BASE '!$I$112:$J$142,2,0))))))))))))))))</f>
        <v>0</v>
      </c>
      <c r="P6" s="177" t="b">
        <f t="shared" ref="P6:P69" si="1">IF(E6="CLIENT S+L",(O6*0.05),IF(E6="CLIENT S",(O6*0.05),IF(E6="CLIENT D",(O6*5/100),IF(E6="CLIENT L",(O6*5)/100,IF(E6="CLIENT S+D",(O6*0.05),IF(E6="CLIENT O",O6))))))</f>
        <v>0</v>
      </c>
      <c r="Q6" s="178" t="b">
        <f t="shared" ref="Q6:Q69" si="2">IF(E6="CLIENT S+L",(O6+P6),IF(E6="CLIENT D",O6+P6,IF(E6="CLIENT S",(O6+P6),IF(E6="CLIENT L",O6+P6,IF(E6="CLIENT S+D",(O6+P6),IF(E6="CLIENT O",P6))))))</f>
        <v>0</v>
      </c>
      <c r="R6" s="153" t="s">
        <v>175</v>
      </c>
      <c r="S6" s="184">
        <f>(($I$5*I6)/100)+((J6*$J$5)/100)+(($K$5*K6)/100)+($L$5*L6)+($M$5*M6)</f>
        <v>0</v>
      </c>
      <c r="T6" s="117"/>
      <c r="U6" s="118" t="s">
        <v>175</v>
      </c>
      <c r="V6" s="119" t="e">
        <f>VLOOKUP(U6,'BASE '!$A$4:$H$144,2,0)</f>
        <v>#N/A</v>
      </c>
      <c r="W6" s="161"/>
      <c r="X6" s="161"/>
      <c r="Y6" s="162"/>
      <c r="Z6" s="120" t="e">
        <f>VLOOKUP(U6,'BASE '!$A$4:$H$144,3,0)</f>
        <v>#N/A</v>
      </c>
      <c r="AA6" s="121" t="e">
        <f t="shared" ref="AA6:AA69" si="3">(Y6*Z6)/100</f>
        <v>#N/A</v>
      </c>
      <c r="AB6" s="122" t="e">
        <f>VLOOKUP(U6,'BASE '!$A$4:$H$144,6,0)*Y6/100</f>
        <v>#N/A</v>
      </c>
      <c r="AC6" s="122" t="e">
        <f>VLOOKUP(U6,'BASE '!$A$4:$H$144,7,0)*Y6/100</f>
        <v>#N/A</v>
      </c>
      <c r="AD6" s="122" t="e">
        <f>VLOOKUP(U6,'BASE '!$A$4:$H$144,8,0)*Y6/100</f>
        <v>#N/A</v>
      </c>
      <c r="AE6" s="123" t="e">
        <f>AA6+AB6+AC6+AD6</f>
        <v>#N/A</v>
      </c>
      <c r="AF6" s="558"/>
      <c r="AG6" s="144"/>
      <c r="AH6" s="144">
        <v>10</v>
      </c>
      <c r="AI6" s="144">
        <v>25</v>
      </c>
      <c r="AJ6" s="144">
        <v>50</v>
      </c>
      <c r="AK6" s="144">
        <v>75</v>
      </c>
      <c r="AL6" s="144">
        <v>1</v>
      </c>
      <c r="AM6" s="144">
        <v>5</v>
      </c>
      <c r="AN6" s="144"/>
      <c r="AO6" s="144">
        <v>10</v>
      </c>
      <c r="AP6" s="144">
        <v>25</v>
      </c>
      <c r="AQ6" s="144">
        <v>50</v>
      </c>
      <c r="AR6" s="144">
        <v>75</v>
      </c>
      <c r="AS6" s="144">
        <v>1</v>
      </c>
      <c r="AT6" s="144">
        <v>5</v>
      </c>
      <c r="AU6" s="554"/>
      <c r="AV6" s="554"/>
      <c r="AW6" s="12"/>
      <c r="AX6" s="12"/>
      <c r="AY6" s="12"/>
      <c r="AZ6" s="201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147">
        <f>(BD6*0.1)+(BE6*0.25)+(BF6*0.5)+(BG6*0.75)+(BH6*1)+(BI6*5)</f>
        <v>0</v>
      </c>
      <c r="BN6" s="147">
        <f>(BJ6*0.25)+(BK6*0.5)+(BL6*1)</f>
        <v>0</v>
      </c>
      <c r="BO6" s="149"/>
      <c r="BP6" s="166"/>
      <c r="BQ6" s="12"/>
      <c r="BR6" s="12"/>
      <c r="BS6" s="476"/>
      <c r="BT6" s="481"/>
      <c r="BU6" s="475"/>
      <c r="BV6" s="545"/>
      <c r="BW6" s="580"/>
      <c r="BX6" s="576"/>
      <c r="BY6" s="497"/>
      <c r="BZ6" s="584"/>
      <c r="CA6" s="543"/>
      <c r="CB6" s="475"/>
      <c r="CC6" s="544"/>
      <c r="CV6" s="64"/>
      <c r="CW6" s="148"/>
      <c r="CX6" s="115"/>
      <c r="CY6" s="131"/>
      <c r="CZ6" s="143"/>
      <c r="DA6" s="127"/>
      <c r="DB6" s="50"/>
      <c r="DC6" s="10"/>
      <c r="DD6" s="10"/>
      <c r="DE6" s="10"/>
      <c r="DF6" s="10"/>
      <c r="DG6" s="10"/>
      <c r="DH6" s="39"/>
      <c r="DI6" s="33">
        <f t="shared" ref="DI6:DI29" si="4">((($H$5*DC6)/100)+($I$5*DD6)/100)+((DE6*$J$5)/100)+(($K$5*DF6)/100)+($L$5*DG6)+($M$5*DH6)</f>
        <v>0</v>
      </c>
      <c r="DJ6" s="52" t="b">
        <f>IF(AND(CZ6="CLIENT S+L",DA6="HUILE"),(DN6*3333.33+(VLOOKUP(DC6,'BASE '!$I$112:$J$142,2,0)))-((DN6*3333.33)*DB6),IF(AND(CZ6="CLIENT S+L",DA6="LAIT"),((DN6*952.4)-(DN6*952.4)*DB6),IF(CZ6="CLIENT O","OFFERT",IF(AND(DA6="HUILE",CZ6="CLIENT L"),(((VLOOKUP(DC6,'BASE '!$I$112:$J$142,2,0))+(VLOOKUP(DN6,'BASE '!#REF!,2,0)))),IF(AND(DA6="LAIT",CZ6="CLIENT L"),(DN6*952.4),IF(AND(DA6="HUILE",CZ6="CLIENT D"),(DN6*3809.53+(VLOOKUP(DC6,'BASE '!$I$112:$J$142,2,0))),IF(AND(DA6="LAIT",CZ6="CLIENT D"),(DN6*952.4),IF(AND(DA6="HUILE",CZ6="CLIENT S+D"),((DN6*3809.53+(VLOOKUP(DC6,'BASE '!$I$112:$J$142,2,0)))-((DN6*3809.53)*DB6)),IF(AND(DA6="LAIT",CZ6="CLIENT S+D"),((DN6*952.4)-((DN6*952.4)*DB6)),IF(AND(CZ6="CLIENT S",DA6="LAIT"),((DN6*952.4)-((DN6*952.4)*DB6)),IF(AND(DA6="HUILE",CZ6="CLIENT S"),(VLOOKUP(DC6,'BASE '!$I$112:$J$142,2,0)+(VLOOKUP(DN6,'BASE '!#REF!,2,0)))-(DB6*((VLOOKUP(DN6,'BASE '!#REF!,2,0)+(VLOOKUP(DC6,'BASE '!$I$112:$J$142,2,0))))))))))))))))</f>
        <v>0</v>
      </c>
      <c r="DK6" s="52" t="b">
        <f t="shared" ref="DK6:DK29" si="5">IF(CZ6="CLIENT S+L",(DJ6*0.05),IF(CZ6="CLIENT S",(DJ6*0.05),IF(CZ6="CLIENT D",(DJ6*5/100),IF(CZ6="CLIENT L",(DJ6*5)/100,IF(CZ6="CLIENT S+D",(DJ6*0.05),IF(CZ6="CLIENT O",DJ6))))))</f>
        <v>0</v>
      </c>
      <c r="DL6" s="53" t="b">
        <f>IF(CZ6="CLIENT S+L",(DJ6+DK6+CY6),IF(CZ6="CLIENT D",(DJ6+DK6+CY6),IF(CZ6="CLIENT S",(DJ6+DK6+CY6),IF(CZ6="CLIENT L",(DJ6+DK6+CY6),IF(CZ6="CLIENT S+D",(DJ6+DK6+CY6),IF(CZ6="CLIENT O",DK6))))))</f>
        <v>0</v>
      </c>
      <c r="DM6" s="149" t="s">
        <v>175</v>
      </c>
      <c r="DN6" s="116">
        <f>(($I$5*DD6)/100)+((DE6*$J$5)/100)+(($K$5*DF6)/100)+($L$5*DG6)+($M$5*DH6)</f>
        <v>0</v>
      </c>
      <c r="DO6" s="117"/>
      <c r="DP6" s="118" t="s">
        <v>175</v>
      </c>
      <c r="DQ6" s="119"/>
      <c r="DR6" s="161"/>
      <c r="DS6" s="161"/>
      <c r="DT6" s="161"/>
      <c r="DU6" s="162"/>
      <c r="DV6" s="122"/>
      <c r="DW6" s="122"/>
      <c r="DX6" s="122"/>
      <c r="DY6" s="123"/>
    </row>
    <row r="7" spans="2:129" ht="15" customHeight="1" x14ac:dyDescent="0.3">
      <c r="B7" s="64"/>
      <c r="C7" s="148"/>
      <c r="D7" s="109"/>
      <c r="E7" s="63"/>
      <c r="F7" s="127"/>
      <c r="G7" s="50"/>
      <c r="H7" s="10"/>
      <c r="I7" s="10"/>
      <c r="J7" s="10"/>
      <c r="K7" s="10"/>
      <c r="L7" s="10"/>
      <c r="M7" s="39"/>
      <c r="N7" s="33">
        <f t="shared" si="0"/>
        <v>0</v>
      </c>
      <c r="O7" s="52" t="b">
        <f>IF(AND(E7="CLIENT S+L",F7="HUILE"),(S7*3333.33+(VLOOKUP(H7,'BASE '!$I$112:$J$142,2,0)))-((S7*3333.33)*G7),IF(AND(E7="CLIENT S+L",F7="LAIT"),((S7*952.4)-(S7*952.4)*G7),IF(E7="CLIENT O","OFFERT",IF(AND(F7="HUILE",E7="CLIENT L"),(((VLOOKUP(H7,'BASE '!$I$112:$J$142,2,0))+(VLOOKUP(S7,'BASE '!#REF!,2,0)))),IF(AND(F7="LAIT",E7="CLIENT L"),(S7*952.4),IF(AND(F7="HUILE",E7="CLIENT D"),(S7*3809.53+(VLOOKUP(H7,'BASE '!$I$112:$J$142,2,0))),IF(AND(F7="LAIT",E7="CLIENT D"),(S7*952.4),IF(AND(F7="HUILE",E7="CLIENT S+D"),((S7*3809.53+(VLOOKUP(H7,'BASE '!$I$112:$J$142,2,0)))-((S7*3809.53)*G7)),IF(AND(F7="LAIT",E7="CLIENT S+D"),((S7*952.4)-((S7*952.4)*G7)),IF(AND(E7="CLIENT S",F7="LAIT"),((S7*952.4)-((S7*952.4)*G7)),IF(AND(F7="HUILE",E7="CLIENT S"),(VLOOKUP(H7,'BASE '!$I$112:$J$142,2,0)+(VLOOKUP(S7,'BASE '!#REF!,2,0)))-(G7*((VLOOKUP(S7,'BASE '!#REF!,2,0)+(VLOOKUP(H7,'BASE '!$I$112:$J$142,2,0))))))))))))))))</f>
        <v>0</v>
      </c>
      <c r="P7" s="52" t="b">
        <f t="shared" si="1"/>
        <v>0</v>
      </c>
      <c r="Q7" s="53" t="b">
        <f t="shared" si="2"/>
        <v>0</v>
      </c>
      <c r="R7" s="152" t="s">
        <v>175</v>
      </c>
      <c r="S7" s="184">
        <f t="shared" ref="S7:S70" si="6">(($I$5*I7)/100)+((J7*$J$5)/100)+(($K$5*K7)/100)+($L$5*L7)+($M$5*M7)</f>
        <v>0</v>
      </c>
      <c r="T7" s="124"/>
      <c r="U7" s="41" t="s">
        <v>175</v>
      </c>
      <c r="V7" s="70" t="e">
        <f>VLOOKUP(U7,'BASE '!$A$4:$H$144,2,0)</f>
        <v>#N/A</v>
      </c>
      <c r="W7" s="159"/>
      <c r="X7" s="159"/>
      <c r="Y7" s="160"/>
      <c r="Z7" s="158" t="e">
        <f>VLOOKUP(U7,'BASE '!$A$4:$H$144,3,0)</f>
        <v>#N/A</v>
      </c>
      <c r="AA7" s="94" t="e">
        <f t="shared" si="3"/>
        <v>#N/A</v>
      </c>
      <c r="AB7" s="95" t="e">
        <f>VLOOKUP(U7,'BASE '!$A$4:$H$144,6,0)*Y7/100</f>
        <v>#N/A</v>
      </c>
      <c r="AC7" s="95" t="e">
        <f>VLOOKUP(U7,'BASE '!$A$4:$H$144,7,0)*Y7/100</f>
        <v>#N/A</v>
      </c>
      <c r="AD7" s="95" t="e">
        <f>VLOOKUP(U7,'BASE '!$A$4:$H$144,8,0)*Y7/100</f>
        <v>#N/A</v>
      </c>
      <c r="AE7" s="96" t="e">
        <f t="shared" ref="AE7:AE70" si="7">AA7+AB7+AC7+AD7</f>
        <v>#N/A</v>
      </c>
      <c r="AF7" s="433" t="s">
        <v>5</v>
      </c>
      <c r="AG7" s="129" t="s">
        <v>157</v>
      </c>
      <c r="AH7" s="35" t="e">
        <f>SUMIFS($H$6:$H$165,$D$6:$D$165,AF7,CHOIX,AG7)</f>
        <v>#NAME?</v>
      </c>
      <c r="AI7" s="35" t="e">
        <f>SUMIFS($I$6:$I$165,$D$6:$D$165,AF7,CHOIX,AG7)</f>
        <v>#NAME?</v>
      </c>
      <c r="AJ7" s="35" t="e">
        <f>SUMIFS($J$6:$J$165,$D$6:$D$165,AF7,CHOIX,AG7)</f>
        <v>#NAME?</v>
      </c>
      <c r="AK7" s="35" t="e">
        <f>SUMIFS($K$6:$K$165,$D$6:$D$165,AF7,CHOIX,AG7)</f>
        <v>#NAME?</v>
      </c>
      <c r="AL7" s="35" t="e">
        <f>SUMIFS($L$6:$L$165,$D$6:$D$165,AF7,CHOIX,AG7)</f>
        <v>#NAME?</v>
      </c>
      <c r="AM7" s="35" t="e">
        <f>SUMIFS($M$6:$M$165,$D$6:$D$165,AF7,CHOIX,AG7)</f>
        <v>#NAME?</v>
      </c>
      <c r="AN7" s="90" t="s">
        <v>157</v>
      </c>
      <c r="AO7" s="81"/>
      <c r="AP7" s="62"/>
      <c r="AQ7" s="62"/>
      <c r="AR7" s="62"/>
      <c r="AS7" s="78"/>
      <c r="AT7" s="78"/>
      <c r="AU7" s="54" t="e">
        <f>SUMIFS($O$6:$O$165,$D$6:$D$165,AF7,CHOIX,AG7)</f>
        <v>#NAME?</v>
      </c>
      <c r="AV7" s="82" t="e">
        <f>SUMIFS($Q$6:$Q$165,$D$6:$D$165,AF7,CHOIX,AG7)</f>
        <v>#NAME?</v>
      </c>
      <c r="AW7" s="12"/>
      <c r="AX7" s="12"/>
      <c r="AY7" s="12"/>
      <c r="AZ7" s="201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147">
        <f t="shared" ref="BM7:BM61" si="8">(BD7*0.1)+(BE7*0.25)+(BF7*0.5)+(BG7*0.75)+(BH7*1)+(BI7*5)</f>
        <v>0</v>
      </c>
      <c r="BN7" s="147">
        <f t="shared" ref="BN7:BN61" si="9">(BJ7*0.25)+(BK7*0.5)+(BL7*1)</f>
        <v>0</v>
      </c>
      <c r="BO7" s="149"/>
      <c r="BP7" s="166"/>
      <c r="BQ7" s="12"/>
      <c r="BR7" s="12"/>
      <c r="BS7" s="476" t="s">
        <v>120</v>
      </c>
      <c r="BT7" s="481"/>
      <c r="BU7" s="475">
        <v>184</v>
      </c>
      <c r="BV7" s="545">
        <f t="shared" ref="BV7" si="10">BU7*BT7</f>
        <v>0</v>
      </c>
      <c r="BW7" s="580"/>
      <c r="BX7" s="576">
        <v>25</v>
      </c>
      <c r="BY7" s="497">
        <f>BE66</f>
        <v>0</v>
      </c>
      <c r="BZ7" s="496" t="e">
        <f>I166</f>
        <v>#NAME?</v>
      </c>
      <c r="CA7" s="542"/>
      <c r="CB7" s="475">
        <v>1000</v>
      </c>
      <c r="CC7" s="544">
        <f t="shared" ref="CC7" si="11">BY7*CB7</f>
        <v>0</v>
      </c>
      <c r="CV7" s="64"/>
      <c r="CW7" s="148"/>
      <c r="CX7" s="109"/>
      <c r="CY7" s="132"/>
      <c r="CZ7" s="143"/>
      <c r="DA7" s="127"/>
      <c r="DB7" s="50"/>
      <c r="DC7" s="113"/>
      <c r="DD7" s="113"/>
      <c r="DE7" s="113"/>
      <c r="DF7" s="113"/>
      <c r="DG7" s="113"/>
      <c r="DH7" s="112"/>
      <c r="DI7" s="33">
        <f t="shared" si="4"/>
        <v>0</v>
      </c>
      <c r="DJ7" s="52" t="b">
        <f>IF(AND(CZ7="CLIENT S+L",DA7="HUILE"),(DN7*3333.33+(VLOOKUP(DC7,'BASE '!$I$112:$J$142,2,0)))-((DN7*3333.33)*DB7),IF(AND(CZ7="CLIENT S+L",DA7="LAIT"),((DN7*952.4)-(DN7*952.4)*DB7),IF(CZ7="CLIENT O","OFFERT",IF(AND(DA7="HUILE",CZ7="CLIENT L"),(((VLOOKUP(DC7,'BASE '!$I$112:$J$142,2,0))+(VLOOKUP(DN7,'BASE '!#REF!,2,0)))),IF(AND(DA7="LAIT",CZ7="CLIENT L"),(DN7*952.4),IF(AND(DA7="HUILE",CZ7="CLIENT D"),(DN7*3809.53+(VLOOKUP(DC7,'BASE '!$I$112:$J$142,2,0))),IF(AND(DA7="LAIT",CZ7="CLIENT D"),(DN7*952.4),IF(AND(DA7="HUILE",CZ7="CLIENT S+D"),((DN7*3809.53+(VLOOKUP(DC7,'BASE '!$I$112:$J$142,2,0)))-((DN7*3809.53)*DB7)),IF(AND(DA7="LAIT",CZ7="CLIENT S+D"),((DN7*952.4)-((DN7*952.4)*DB7)),IF(AND(CZ7="CLIENT S",DA7="LAIT"),((DN7*952.4)-((DN7*952.4)*DB7)),IF(AND(DA7="HUILE",CZ7="CLIENT S"),(VLOOKUP(DC7,'BASE '!$I$112:$J$142,2,0)+(VLOOKUP(DN7,'BASE '!#REF!,2,0)))-(DB7*((VLOOKUP(DN7,'BASE '!#REF!,2,0)+(VLOOKUP(DC7,'BASE '!$I$112:$J$142,2,0))))))))))))))))</f>
        <v>0</v>
      </c>
      <c r="DK7" s="52" t="b">
        <f t="shared" si="5"/>
        <v>0</v>
      </c>
      <c r="DL7" s="53" t="b">
        <f t="shared" ref="DL7:DL29" si="12">IF(CZ7="CLIENT S+L",(DJ7+DK7+CY7),IF(CZ7="CLIENT D",(DJ7+DK7+CY7),IF(CZ7="CLIENT S",(DJ7+DK7+CY7),IF(CZ7="CLIENT L",(DJ7+DK7+CY7),IF(CZ7="CLIENT S+D",(DJ7+DK7+CY7),IF(CZ7="CLIENT O",DK7))))))</f>
        <v>0</v>
      </c>
      <c r="DM7" s="149" t="s">
        <v>175</v>
      </c>
      <c r="DN7" s="116">
        <f t="shared" ref="DN7:DN28" si="13">(($I$5*DD7)/100)+((DE7*$J$5)/100)+(($K$5*DF7)/100)+($L$5*DG7)+($M$5*DH7)</f>
        <v>0</v>
      </c>
      <c r="DO7" s="124"/>
      <c r="DP7" s="41" t="s">
        <v>175</v>
      </c>
      <c r="DQ7" s="70"/>
      <c r="DR7" s="159"/>
      <c r="DS7" s="159"/>
      <c r="DT7" s="159"/>
      <c r="DU7" s="160"/>
      <c r="DV7" s="95"/>
      <c r="DW7" s="95"/>
      <c r="DX7" s="95"/>
      <c r="DY7" s="96"/>
    </row>
    <row r="8" spans="2:129" ht="15" customHeight="1" x14ac:dyDescent="0.3">
      <c r="B8" s="64"/>
      <c r="C8" s="148"/>
      <c r="D8" s="109"/>
      <c r="E8" s="63"/>
      <c r="F8" s="127"/>
      <c r="G8" s="50"/>
      <c r="H8" s="10"/>
      <c r="I8" s="10"/>
      <c r="J8" s="10"/>
      <c r="K8" s="10"/>
      <c r="L8" s="10"/>
      <c r="M8" s="39"/>
      <c r="N8" s="33">
        <f t="shared" si="0"/>
        <v>0</v>
      </c>
      <c r="O8" s="52" t="b">
        <f>IF(AND(E8="CLIENT S+L",F8="HUILE"),(S8*3333.33+(VLOOKUP(H8,'BASE '!$I$112:$J$142,2,0)))-((S8*3333.33)*G8),IF(AND(E8="CLIENT S+L",F8="LAIT"),((S8*952.4)-(S8*952.4)*G8),IF(E8="CLIENT O","OFFERT",IF(AND(F8="HUILE",E8="CLIENT L"),(((VLOOKUP(H8,'BASE '!$I$112:$J$142,2,0))+(VLOOKUP(S8,'BASE '!#REF!,2,0)))),IF(AND(F8="LAIT",E8="CLIENT L"),(S8*952.4),IF(AND(F8="HUILE",E8="CLIENT D"),(S8*3809.53+(VLOOKUP(H8,'BASE '!$I$112:$J$142,2,0))),IF(AND(F8="LAIT",E8="CLIENT D"),(S8*952.4),IF(AND(F8="HUILE",E8="CLIENT S+D"),((S8*3809.53+(VLOOKUP(H8,'BASE '!$I$112:$J$142,2,0)))-((S8*3809.53)*G8)),IF(AND(F8="LAIT",E8="CLIENT S+D"),((S8*952.4)-((S8*952.4)*G8)),IF(AND(E8="CLIENT S",F8="LAIT"),((S8*952.4)-((S8*952.4)*G8)),IF(AND(F8="HUILE",E8="CLIENT S"),(VLOOKUP(H8,'BASE '!$I$112:$J$142,2,0)+(VLOOKUP(S8,'BASE '!#REF!,2,0)))-(G8*((VLOOKUP(S8,'BASE '!#REF!,2,0)+(VLOOKUP(H8,'BASE '!$I$112:$J$142,2,0))))))))))))))))</f>
        <v>0</v>
      </c>
      <c r="P8" s="52" t="b">
        <f t="shared" si="1"/>
        <v>0</v>
      </c>
      <c r="Q8" s="53" t="b">
        <f t="shared" si="2"/>
        <v>0</v>
      </c>
      <c r="R8" s="152" t="s">
        <v>175</v>
      </c>
      <c r="S8" s="184">
        <f t="shared" si="6"/>
        <v>0</v>
      </c>
      <c r="T8" s="124"/>
      <c r="U8" s="41" t="s">
        <v>175</v>
      </c>
      <c r="V8" s="70" t="e">
        <f>VLOOKUP(U8,'BASE '!$A$4:$H$144,2,0)</f>
        <v>#N/A</v>
      </c>
      <c r="W8" s="159"/>
      <c r="X8" s="159"/>
      <c r="Y8" s="160"/>
      <c r="Z8" s="158" t="e">
        <f>VLOOKUP(U8,'BASE '!$A$4:$H$144,3,0)</f>
        <v>#N/A</v>
      </c>
      <c r="AA8" s="94" t="e">
        <f t="shared" si="3"/>
        <v>#N/A</v>
      </c>
      <c r="AB8" s="95" t="e">
        <f>VLOOKUP(U8,'BASE '!$A$4:$H$144,6,0)*Y8/100</f>
        <v>#N/A</v>
      </c>
      <c r="AC8" s="95" t="e">
        <f>VLOOKUP(U8,'BASE '!$A$4:$H$144,7,0)*Y8/100</f>
        <v>#N/A</v>
      </c>
      <c r="AD8" s="95" t="e">
        <f>VLOOKUP(U8,'BASE '!$A$4:$H$144,8,0)*Y8/100</f>
        <v>#N/A</v>
      </c>
      <c r="AE8" s="96" t="e">
        <f t="shared" si="7"/>
        <v>#N/A</v>
      </c>
      <c r="AF8" s="434"/>
      <c r="AG8" s="1" t="s">
        <v>155</v>
      </c>
      <c r="AH8" s="36" t="e">
        <f>SUMIFS($H$6:$H$165,$D$6:$D$165,AF7,CHOIX,AG8)</f>
        <v>#NAME?</v>
      </c>
      <c r="AI8" s="36" t="e">
        <f>SUMIFS($I$6:$I$165,$D$6:$D$165,AF7,CHOIX,AG8)</f>
        <v>#NAME?</v>
      </c>
      <c r="AJ8" s="36" t="e">
        <f>SUMIFS($J$6:$J$165,$D$6:$D$165,AF7,CHOIX,AG8)</f>
        <v>#NAME?</v>
      </c>
      <c r="AK8" s="36" t="e">
        <f>SUMIFS($K$6:$K$165,$D$6:$D$165,AF7,CHOIX,AG8)</f>
        <v>#NAME?</v>
      </c>
      <c r="AL8" s="36" t="e">
        <f>SUMIFS($L$6:$L$165,$D$6:$D$165,AF7,CHOIX,AG8)</f>
        <v>#NAME?</v>
      </c>
      <c r="AM8" s="36" t="e">
        <f>SUMIFS($M$6:$M$165,$D$6:$D$165,AF7,CHOIX,AG8)</f>
        <v>#NAME?</v>
      </c>
      <c r="AN8" s="1" t="s">
        <v>155</v>
      </c>
      <c r="AO8" s="83"/>
      <c r="AP8" s="63"/>
      <c r="AQ8" s="63"/>
      <c r="AR8" s="63"/>
      <c r="AS8" s="79"/>
      <c r="AT8" s="79"/>
      <c r="AU8" s="55" t="e">
        <f>SUMIFS($O$6:$O$165,$D$6:$D$165,AF7,CHOIX,AG8)</f>
        <v>#NAME?</v>
      </c>
      <c r="AV8" s="80" t="e">
        <f>SUMIFS($Q$6:$Q$165,$D$6:$D$165,AF7,CHOIX,AG8)</f>
        <v>#NAME?</v>
      </c>
      <c r="AW8" s="12"/>
      <c r="AX8" s="12"/>
      <c r="AY8" s="12"/>
      <c r="AZ8" s="201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147">
        <f t="shared" si="8"/>
        <v>0</v>
      </c>
      <c r="BN8" s="147">
        <f t="shared" si="9"/>
        <v>0</v>
      </c>
      <c r="BO8" s="149"/>
      <c r="BP8" s="166"/>
      <c r="BQ8" s="12"/>
      <c r="BR8" s="12"/>
      <c r="BS8" s="476"/>
      <c r="BT8" s="481"/>
      <c r="BU8" s="475"/>
      <c r="BV8" s="545"/>
      <c r="BW8" s="580"/>
      <c r="BX8" s="576"/>
      <c r="BY8" s="497"/>
      <c r="BZ8" s="497"/>
      <c r="CA8" s="543"/>
      <c r="CB8" s="475"/>
      <c r="CC8" s="544"/>
      <c r="CV8" s="64"/>
      <c r="CW8" s="148"/>
      <c r="CX8" s="109"/>
      <c r="CY8" s="132"/>
      <c r="CZ8" s="143"/>
      <c r="DA8" s="127"/>
      <c r="DB8" s="50"/>
      <c r="DC8" s="128"/>
      <c r="DD8" s="114"/>
      <c r="DE8" s="114"/>
      <c r="DF8" s="114"/>
      <c r="DG8" s="114"/>
      <c r="DH8" s="112"/>
      <c r="DI8" s="33">
        <f t="shared" si="4"/>
        <v>0</v>
      </c>
      <c r="DJ8" s="52" t="b">
        <f>IF(AND(CZ8="CLIENT S+L",DA8="HUILE"),(DN8*3333.33+(VLOOKUP(DC8,'BASE '!$I$112:$J$142,2,0)))-((DN8*3333.33)*DB8),IF(AND(CZ8="CLIENT S+L",DA8="LAIT"),((DN8*952.4)-(DN8*952.4)*DB8),IF(CZ8="CLIENT O","OFFERT",IF(AND(DA8="HUILE",CZ8="CLIENT L"),(((VLOOKUP(DC8,'BASE '!$I$112:$J$142,2,0))+(VLOOKUP(DN8,'BASE '!#REF!,2,0)))),IF(AND(DA8="LAIT",CZ8="CLIENT L"),(DN8*952.4),IF(AND(DA8="HUILE",CZ8="CLIENT D"),(DN8*3809.53+(VLOOKUP(DC8,'BASE '!$I$112:$J$142,2,0))),IF(AND(DA8="LAIT",CZ8="CLIENT D"),(DN8*952.4),IF(AND(DA8="HUILE",CZ8="CLIENT S+D"),((DN8*3809.53+(VLOOKUP(DC8,'BASE '!$I$112:$J$142,2,0)))-((DN8*3809.53)*DB8)),IF(AND(DA8="LAIT",CZ8="CLIENT S+D"),((DN8*952.4)-((DN8*952.4)*DB8)),IF(AND(CZ8="CLIENT S",DA8="LAIT"),((DN8*952.4)-((DN8*952.4)*DB8)),IF(AND(DA8="HUILE",CZ8="CLIENT S"),(VLOOKUP(DC8,'BASE '!$I$112:$J$142,2,0)+(VLOOKUP(DN8,'BASE '!#REF!,2,0)))-(DB8*((VLOOKUP(DN8,'BASE '!#REF!,2,0)+(VLOOKUP(DC8,'BASE '!$I$112:$J$142,2,0))))))))))))))))</f>
        <v>0</v>
      </c>
      <c r="DK8" s="52" t="b">
        <f t="shared" si="5"/>
        <v>0</v>
      </c>
      <c r="DL8" s="53" t="b">
        <f t="shared" si="12"/>
        <v>0</v>
      </c>
      <c r="DM8" s="149" t="s">
        <v>175</v>
      </c>
      <c r="DN8" s="116">
        <f t="shared" si="13"/>
        <v>0</v>
      </c>
      <c r="DO8" s="124"/>
      <c r="DP8" s="42" t="s">
        <v>175</v>
      </c>
      <c r="DQ8" s="70"/>
      <c r="DR8" s="159"/>
      <c r="DS8" s="159"/>
      <c r="DT8" s="159"/>
      <c r="DU8" s="160"/>
      <c r="DV8" s="95"/>
      <c r="DW8" s="95"/>
      <c r="DX8" s="95"/>
      <c r="DY8" s="96"/>
    </row>
    <row r="9" spans="2:129" ht="15" customHeight="1" x14ac:dyDescent="0.3">
      <c r="B9" s="64"/>
      <c r="C9" s="148"/>
      <c r="D9" s="109"/>
      <c r="E9" s="63"/>
      <c r="F9" s="127"/>
      <c r="G9" s="50"/>
      <c r="H9" s="10"/>
      <c r="I9" s="10"/>
      <c r="J9" s="10"/>
      <c r="K9" s="10"/>
      <c r="L9" s="10"/>
      <c r="M9" s="39"/>
      <c r="N9" s="33">
        <f t="shared" si="0"/>
        <v>0</v>
      </c>
      <c r="O9" s="52" t="b">
        <f>IF(AND(E9="CLIENT S+L",F9="HUILE"),(S9*3333.33+(VLOOKUP(H9,'BASE '!$I$112:$J$142,2,0)))-((S9*3333.33)*G9),IF(AND(E9="CLIENT S+L",F9="LAIT"),((S9*952.4)-(S9*952.4)*G9),IF(E9="CLIENT O","OFFERT",IF(AND(F9="HUILE",E9="CLIENT L"),(((VLOOKUP(H9,'BASE '!$I$112:$J$142,2,0))+(VLOOKUP(S9,'BASE '!#REF!,2,0)))),IF(AND(F9="LAIT",E9="CLIENT L"),(S9*952.4),IF(AND(F9="HUILE",E9="CLIENT D"),(S9*3809.53+(VLOOKUP(H9,'BASE '!$I$112:$J$142,2,0))),IF(AND(F9="LAIT",E9="CLIENT D"),(S9*952.4),IF(AND(F9="HUILE",E9="CLIENT S+D"),((S9*3809.53+(VLOOKUP(H9,'BASE '!$I$112:$J$142,2,0)))-((S9*3809.53)*G9)),IF(AND(F9="LAIT",E9="CLIENT S+D"),((S9*952.4)-((S9*952.4)*G9)),IF(AND(E9="CLIENT S",F9="LAIT"),((S9*952.4)-((S9*952.4)*G9)),IF(AND(F9="HUILE",E9="CLIENT S"),(VLOOKUP(H9,'BASE '!$I$112:$J$142,2,0)+(VLOOKUP(S9,'BASE '!#REF!,2,0)))-(G9*((VLOOKUP(S9,'BASE '!#REF!,2,0)+(VLOOKUP(H9,'BASE '!$I$112:$J$142,2,0))))))))))))))))</f>
        <v>0</v>
      </c>
      <c r="P9" s="52" t="b">
        <f t="shared" si="1"/>
        <v>0</v>
      </c>
      <c r="Q9" s="53" t="b">
        <f t="shared" si="2"/>
        <v>0</v>
      </c>
      <c r="R9" s="152" t="s">
        <v>175</v>
      </c>
      <c r="S9" s="184">
        <f t="shared" si="6"/>
        <v>0</v>
      </c>
      <c r="T9" s="124"/>
      <c r="U9" s="41" t="s">
        <v>175</v>
      </c>
      <c r="V9" s="70" t="e">
        <f>VLOOKUP(U9,'BASE '!$A$4:$H$144,2,0)</f>
        <v>#N/A</v>
      </c>
      <c r="W9" s="159"/>
      <c r="X9" s="159"/>
      <c r="Y9" s="160"/>
      <c r="Z9" s="158" t="e">
        <f>VLOOKUP(U9,'BASE '!$A$4:$H$144,3,0)</f>
        <v>#N/A</v>
      </c>
      <c r="AA9" s="94" t="e">
        <f t="shared" si="3"/>
        <v>#N/A</v>
      </c>
      <c r="AB9" s="95" t="e">
        <f>VLOOKUP(U9,'BASE '!$A$4:$H$144,6,0)*Y9/100</f>
        <v>#N/A</v>
      </c>
      <c r="AC9" s="95" t="e">
        <f>VLOOKUP(U9,'BASE '!$A$4:$H$144,7,0)*Y9/100</f>
        <v>#N/A</v>
      </c>
      <c r="AD9" s="95" t="e">
        <f>VLOOKUP(U9,'BASE '!$A$4:$H$144,8,0)*Y9/100</f>
        <v>#N/A</v>
      </c>
      <c r="AE9" s="96" t="e">
        <f t="shared" si="7"/>
        <v>#N/A</v>
      </c>
      <c r="AF9" s="435" t="s">
        <v>130</v>
      </c>
      <c r="AG9" s="91" t="s">
        <v>157</v>
      </c>
      <c r="AH9" s="36" t="e">
        <f>SUMIFS($H$6:$H$165,$D$6:$D$165,AF9,CHOIX,AG9)</f>
        <v>#NAME?</v>
      </c>
      <c r="AI9" s="36" t="e">
        <f>SUMIFS($I$6:$I$165,$D$6:$D$165,AF9,CHOIX,AG9)</f>
        <v>#NAME?</v>
      </c>
      <c r="AJ9" s="36" t="e">
        <f>SUMIFS($J$6:$J$165,$D$6:$D$165,AF9,CHOIX,AG9)</f>
        <v>#NAME?</v>
      </c>
      <c r="AK9" s="36" t="e">
        <f>SUMIFS($K$6:$K$165,$D$6:$D$165,AF9,CHOIX,AG9)</f>
        <v>#NAME?</v>
      </c>
      <c r="AL9" s="36" t="e">
        <f>SUMIFS($L$6:$L$165,$D$6:$D$165,AF9,CHOIX,AG9)</f>
        <v>#NAME?</v>
      </c>
      <c r="AM9" s="36" t="e">
        <f>SUMIFS($M$6:$M$165,$D$6:$D$165,AF9,CHOIX,AG9)</f>
        <v>#NAME?</v>
      </c>
      <c r="AN9" s="91" t="s">
        <v>157</v>
      </c>
      <c r="AO9" s="83"/>
      <c r="AP9" s="63"/>
      <c r="AQ9" s="63"/>
      <c r="AR9" s="63"/>
      <c r="AS9" s="79"/>
      <c r="AT9" s="79"/>
      <c r="AU9" s="55" t="e">
        <f>SUMIFS($O$6:$O$165,$D$6:$D$165,AF9,CHOIX,AG9)</f>
        <v>#NAME?</v>
      </c>
      <c r="AV9" s="80" t="e">
        <f>SUMIFS($Q$6:$Q$165,$D$6:$D$165,AF9,CHOIX,AG9)</f>
        <v>#NAME?</v>
      </c>
      <c r="AW9" s="12"/>
      <c r="AX9" s="12"/>
      <c r="AY9" s="12"/>
      <c r="AZ9" s="201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147">
        <f t="shared" si="8"/>
        <v>0</v>
      </c>
      <c r="BN9" s="147">
        <f t="shared" si="9"/>
        <v>0</v>
      </c>
      <c r="BO9" s="149"/>
      <c r="BP9" s="166"/>
      <c r="BQ9" s="12"/>
      <c r="BR9" s="12"/>
      <c r="BS9" s="476" t="s">
        <v>13</v>
      </c>
      <c r="BT9" s="481"/>
      <c r="BU9" s="475">
        <v>34</v>
      </c>
      <c r="BV9" s="545">
        <f t="shared" ref="BV9" si="14">BU9*BT9</f>
        <v>0</v>
      </c>
      <c r="BW9" s="580"/>
      <c r="BX9" s="576">
        <v>50</v>
      </c>
      <c r="BY9" s="497">
        <f>BF67</f>
        <v>0</v>
      </c>
      <c r="BZ9" s="496" t="e">
        <f>J166</f>
        <v>#NAME?</v>
      </c>
      <c r="CA9" s="542"/>
      <c r="CB9" s="475"/>
      <c r="CC9" s="544">
        <f t="shared" ref="CC9" si="15">BY9*CB9</f>
        <v>0</v>
      </c>
      <c r="CV9" s="64"/>
      <c r="CW9" s="148"/>
      <c r="CX9" s="109"/>
      <c r="CY9" s="132"/>
      <c r="CZ9" s="143"/>
      <c r="DA9" s="127"/>
      <c r="DB9" s="50"/>
      <c r="DC9" s="114"/>
      <c r="DD9" s="114"/>
      <c r="DE9" s="114"/>
      <c r="DF9" s="114"/>
      <c r="DG9" s="114"/>
      <c r="DH9" s="112"/>
      <c r="DI9" s="33">
        <f t="shared" si="4"/>
        <v>0</v>
      </c>
      <c r="DJ9" s="52" t="b">
        <f>IF(AND(CZ9="CLIENT S+L",DA9="HUILE"),(DN9*3333.33+(VLOOKUP(DC9,'BASE '!$I$112:$J$142,2,0)))-((DN9*3333.33)*DB9),IF(AND(CZ9="CLIENT S+L",DA9="LAIT"),((DN9*952.4)-(DN9*952.4)*DB9),IF(CZ9="CLIENT O","OFFERT",IF(AND(DA9="HUILE",CZ9="CLIENT L"),(((VLOOKUP(DC9,'BASE '!$I$112:$J$142,2,0))+(VLOOKUP(DN9,'BASE '!#REF!,2,0)))),IF(AND(DA9="LAIT",CZ9="CLIENT L"),(DN9*952.4),IF(AND(DA9="HUILE",CZ9="CLIENT D"),(DN9*3809.53+(VLOOKUP(DC9,'BASE '!$I$112:$J$142,2,0))),IF(AND(DA9="LAIT",CZ9="CLIENT D"),(DN9*952.4),IF(AND(DA9="HUILE",CZ9="CLIENT S+D"),((DN9*3809.53+(VLOOKUP(DC9,'BASE '!$I$112:$J$142,2,0)))-((DN9*3809.53)*DB9)),IF(AND(DA9="LAIT",CZ9="CLIENT S+D"),((DN9*952.4)-((DN9*952.4)*DB9)),IF(AND(CZ9="CLIENT S",DA9="LAIT"),((DN9*952.4)-((DN9*952.4)*DB9)),IF(AND(DA9="HUILE",CZ9="CLIENT S"),(VLOOKUP(DC9,'BASE '!$I$112:$J$142,2,0)+(VLOOKUP(DN9,'BASE '!#REF!,2,0)))-(DB9*((VLOOKUP(DN9,'BASE '!#REF!,2,0)+(VLOOKUP(DC9,'BASE '!$I$112:$J$142,2,0))))))))))))))))</f>
        <v>0</v>
      </c>
      <c r="DK9" s="52" t="b">
        <f t="shared" si="5"/>
        <v>0</v>
      </c>
      <c r="DL9" s="53" t="b">
        <f t="shared" si="12"/>
        <v>0</v>
      </c>
      <c r="DM9" s="149"/>
      <c r="DN9" s="116">
        <f t="shared" si="13"/>
        <v>0</v>
      </c>
      <c r="DO9" s="124"/>
      <c r="DP9" s="42" t="s">
        <v>175</v>
      </c>
      <c r="DQ9" s="70"/>
      <c r="DR9" s="159"/>
      <c r="DS9" s="159"/>
      <c r="DT9" s="159"/>
      <c r="DU9" s="160"/>
      <c r="DV9" s="95"/>
      <c r="DW9" s="95"/>
      <c r="DX9" s="95"/>
      <c r="DY9" s="96"/>
    </row>
    <row r="10" spans="2:129" ht="15" customHeight="1" x14ac:dyDescent="0.3">
      <c r="B10" s="64"/>
      <c r="C10" s="148"/>
      <c r="D10" s="109"/>
      <c r="E10" s="63"/>
      <c r="F10" s="127"/>
      <c r="G10" s="50"/>
      <c r="H10" s="10"/>
      <c r="I10" s="10"/>
      <c r="J10" s="10"/>
      <c r="K10" s="10"/>
      <c r="L10" s="10"/>
      <c r="M10" s="39"/>
      <c r="N10" s="33">
        <f t="shared" si="0"/>
        <v>0</v>
      </c>
      <c r="O10" s="52" t="b">
        <f>IF(AND(E10="CLIENT S+L",F10="HUILE"),(S10*3333.33+(VLOOKUP(H10,'BASE '!$I$112:$J$142,2,0)))-((S10*3333.33)*G10),IF(AND(E10="CLIENT S+L",F10="LAIT"),((S10*952.4)-(S10*952.4)*G10),IF(E10="CLIENT O","OFFERT",IF(AND(F10="HUILE",E10="CLIENT L"),(((VLOOKUP(H10,'BASE '!$I$112:$J$142,2,0))+(VLOOKUP(S10,'BASE '!#REF!,2,0)))),IF(AND(F10="LAIT",E10="CLIENT L"),(S10*952.4),IF(AND(F10="HUILE",E10="CLIENT D"),(S10*3809.53+(VLOOKUP(H10,'BASE '!$I$112:$J$142,2,0))),IF(AND(F10="LAIT",E10="CLIENT D"),(S10*952.4),IF(AND(F10="HUILE",E10="CLIENT S+D"),((S10*3809.53+(VLOOKUP(H10,'BASE '!$I$112:$J$142,2,0)))-((S10*3809.53)*G10)),IF(AND(F10="LAIT",E10="CLIENT S+D"),((S10*952.4)-((S10*952.4)*G10)),IF(AND(E10="CLIENT S",F10="LAIT"),((S10*952.4)-((S10*952.4)*G10)),IF(AND(F10="HUILE",E10="CLIENT S"),(VLOOKUP(H10,'BASE '!$I$112:$J$142,2,0)+(VLOOKUP(S10,'BASE '!#REF!,2,0)))-(G10*((VLOOKUP(S10,'BASE '!#REF!,2,0)+(VLOOKUP(H10,'BASE '!$I$112:$J$142,2,0))))))))))))))))</f>
        <v>0</v>
      </c>
      <c r="P10" s="52" t="b">
        <f t="shared" si="1"/>
        <v>0</v>
      </c>
      <c r="Q10" s="53" t="b">
        <f t="shared" si="2"/>
        <v>0</v>
      </c>
      <c r="R10" s="152" t="s">
        <v>175</v>
      </c>
      <c r="S10" s="184">
        <f t="shared" si="6"/>
        <v>0</v>
      </c>
      <c r="T10" s="124"/>
      <c r="U10" s="41" t="s">
        <v>175</v>
      </c>
      <c r="V10" s="70" t="e">
        <f>VLOOKUP(U10,'BASE '!$A$4:$H$144,2,0)</f>
        <v>#N/A</v>
      </c>
      <c r="W10" s="159"/>
      <c r="X10" s="159"/>
      <c r="Y10" s="160"/>
      <c r="Z10" s="158" t="e">
        <f>VLOOKUP(U10,'BASE '!$A$4:$H$144,3,0)</f>
        <v>#N/A</v>
      </c>
      <c r="AA10" s="94" t="e">
        <f t="shared" si="3"/>
        <v>#N/A</v>
      </c>
      <c r="AB10" s="95" t="e">
        <f>VLOOKUP(U10,'BASE '!$A$4:$H$144,6,0)*Y10/100</f>
        <v>#N/A</v>
      </c>
      <c r="AC10" s="95" t="e">
        <f>VLOOKUP(U10,'BASE '!$A$4:$H$144,7,0)*Y10/100</f>
        <v>#N/A</v>
      </c>
      <c r="AD10" s="95" t="e">
        <f>VLOOKUP(U10,'BASE '!$A$4:$H$144,8,0)*Y10/100</f>
        <v>#N/A</v>
      </c>
      <c r="AE10" s="96" t="e">
        <f t="shared" si="7"/>
        <v>#N/A</v>
      </c>
      <c r="AF10" s="435"/>
      <c r="AG10" s="1" t="s">
        <v>155</v>
      </c>
      <c r="AH10" s="36" t="e">
        <f>SUMIFS($H$6:$H$165,$D$6:$D$165,AF9,CHOIX,AG10)</f>
        <v>#NAME?</v>
      </c>
      <c r="AI10" s="36" t="e">
        <f>SUMIFS($I$6:$I$165,$D$6:$D$165,AF9,CHOIX,AG10)</f>
        <v>#NAME?</v>
      </c>
      <c r="AJ10" s="36" t="e">
        <f>SUMIFS($J$6:$J$165,$D$6:$D$165,AF9,CHOIX,AG10)</f>
        <v>#NAME?</v>
      </c>
      <c r="AK10" s="36" t="e">
        <f>SUMIFS($K$6:$K$165,$D$6:$D$165,AF9,CHOIX,AG10)</f>
        <v>#NAME?</v>
      </c>
      <c r="AL10" s="36" t="e">
        <f>SUMIFS($L$6:$L$165,$D$6:$D$165,AF9,CHOIX,AG10)</f>
        <v>#NAME?</v>
      </c>
      <c r="AM10" s="36" t="e">
        <f>SUMIFS($M$6:$M$165,$D$6:$D$165,AF9,CHOIX,AG10)</f>
        <v>#NAME?</v>
      </c>
      <c r="AN10" s="1" t="s">
        <v>155</v>
      </c>
      <c r="AO10" s="83"/>
      <c r="AP10" s="63"/>
      <c r="AQ10" s="63"/>
      <c r="AR10" s="63"/>
      <c r="AS10" s="79"/>
      <c r="AT10" s="79"/>
      <c r="AU10" s="55" t="e">
        <f>SUMIFS($O$6:$O$165,$D$6:$D$165,AF9,CHOIX,AG10)</f>
        <v>#NAME?</v>
      </c>
      <c r="AV10" s="80" t="e">
        <f>SUMIFS($Q$6:$Q$165,$D$6:$D$165,AF9,CHOIX,AG10)</f>
        <v>#NAME?</v>
      </c>
      <c r="AW10" s="12"/>
      <c r="AX10" s="12"/>
      <c r="AY10" s="12"/>
      <c r="AZ10" s="201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147">
        <f t="shared" si="8"/>
        <v>0</v>
      </c>
      <c r="BN10" s="147">
        <f t="shared" si="9"/>
        <v>0</v>
      </c>
      <c r="BO10" s="149"/>
      <c r="BP10" s="166"/>
      <c r="BQ10" s="12"/>
      <c r="BR10" s="12"/>
      <c r="BS10" s="476"/>
      <c r="BT10" s="481"/>
      <c r="BU10" s="475"/>
      <c r="BV10" s="545"/>
      <c r="BW10" s="580"/>
      <c r="BX10" s="576"/>
      <c r="BY10" s="497"/>
      <c r="BZ10" s="497"/>
      <c r="CA10" s="543"/>
      <c r="CB10" s="475"/>
      <c r="CC10" s="544"/>
      <c r="CV10" s="64"/>
      <c r="CW10" s="148"/>
      <c r="CX10" s="109"/>
      <c r="CY10" s="132"/>
      <c r="CZ10" s="143"/>
      <c r="DA10" s="127"/>
      <c r="DB10" s="50"/>
      <c r="DC10" s="111"/>
      <c r="DD10" s="114"/>
      <c r="DE10" s="114"/>
      <c r="DF10" s="114"/>
      <c r="DG10" s="114"/>
      <c r="DH10" s="112"/>
      <c r="DI10" s="33">
        <f t="shared" si="4"/>
        <v>0</v>
      </c>
      <c r="DJ10" s="52" t="b">
        <f>IF(AND(CZ10="CLIENT S+L",DA10="HUILE"),(DN10*3333.33+(VLOOKUP(DC10,'BASE '!$I$112:$J$142,2,0)))-((DN10*3333.33)*DB10),IF(AND(CZ10="CLIENT S+L",DA10="LAIT"),((DN10*952.4)-(DN10*952.4)*DB10),IF(CZ10="CLIENT O","OFFERT",IF(AND(DA10="HUILE",CZ10="CLIENT L"),(((VLOOKUP(DC10,'BASE '!$I$112:$J$142,2,0))+(VLOOKUP(DN10,'BASE '!#REF!,2,0)))),IF(AND(DA10="LAIT",CZ10="CLIENT L"),(DN10*952.4),IF(AND(DA10="HUILE",CZ10="CLIENT D"),(DN10*3809.53+(VLOOKUP(DC10,'BASE '!$I$112:$J$142,2,0))),IF(AND(DA10="LAIT",CZ10="CLIENT D"),(DN10*952.4),IF(AND(DA10="HUILE",CZ10="CLIENT S+D"),((DN10*3809.53+(VLOOKUP(DC10,'BASE '!$I$112:$J$142,2,0)))-((DN10*3809.53)*DB10)),IF(AND(DA10="LAIT",CZ10="CLIENT S+D"),((DN10*952.4)-((DN10*952.4)*DB10)),IF(AND(CZ10="CLIENT S",DA10="LAIT"),((DN10*952.4)-((DN10*952.4)*DB10)),IF(AND(DA10="HUILE",CZ10="CLIENT S"),(VLOOKUP(DC10,'BASE '!$I$112:$J$142,2,0)+(VLOOKUP(DN10,'BASE '!#REF!,2,0)))-(DB10*((VLOOKUP(DN10,'BASE '!#REF!,2,0)+(VLOOKUP(DC10,'BASE '!$I$112:$J$142,2,0))))))))))))))))</f>
        <v>0</v>
      </c>
      <c r="DK10" s="52" t="b">
        <f t="shared" si="5"/>
        <v>0</v>
      </c>
      <c r="DL10" s="53" t="b">
        <f t="shared" si="12"/>
        <v>0</v>
      </c>
      <c r="DM10" s="149" t="s">
        <v>175</v>
      </c>
      <c r="DN10" s="116">
        <f t="shared" si="13"/>
        <v>0</v>
      </c>
      <c r="DO10" s="124"/>
      <c r="DP10" s="42"/>
      <c r="DQ10" s="70"/>
      <c r="DR10" s="159"/>
      <c r="DS10" s="159"/>
      <c r="DT10" s="159"/>
      <c r="DU10" s="160"/>
      <c r="DV10" s="95"/>
      <c r="DW10" s="95"/>
      <c r="DX10" s="95"/>
      <c r="DY10" s="96"/>
    </row>
    <row r="11" spans="2:129" ht="15" customHeight="1" x14ac:dyDescent="0.3">
      <c r="B11" s="64"/>
      <c r="C11" s="148"/>
      <c r="D11" s="109"/>
      <c r="E11" s="63"/>
      <c r="F11" s="127"/>
      <c r="G11" s="50"/>
      <c r="H11" s="10"/>
      <c r="I11" s="10"/>
      <c r="J11" s="10"/>
      <c r="K11" s="10"/>
      <c r="L11" s="10"/>
      <c r="M11" s="39"/>
      <c r="N11" s="33">
        <f t="shared" si="0"/>
        <v>0</v>
      </c>
      <c r="O11" s="52" t="b">
        <f>IF(AND(E11="CLIENT S+L",F11="HUILE"),(S11*3333.33+(VLOOKUP(H11,'BASE '!$I$112:$J$142,2,0)))-((S11*3333.33)*G11),IF(AND(E11="CLIENT S+L",F11="LAIT"),((S11*952.4)-(S11*952.4)*G11),IF(E11="CLIENT O","OFFERT",IF(AND(F11="HUILE",E11="CLIENT L"),(((VLOOKUP(H11,'BASE '!$I$112:$J$142,2,0))+(VLOOKUP(S11,'BASE '!#REF!,2,0)))),IF(AND(F11="LAIT",E11="CLIENT L"),(S11*952.4),IF(AND(F11="HUILE",E11="CLIENT D"),(S11*3809.53+(VLOOKUP(H11,'BASE '!$I$112:$J$142,2,0))),IF(AND(F11="LAIT",E11="CLIENT D"),(S11*952.4),IF(AND(F11="HUILE",E11="CLIENT S+D"),((S11*3809.53+(VLOOKUP(H11,'BASE '!$I$112:$J$142,2,0)))-((S11*3809.53)*G11)),IF(AND(F11="LAIT",E11="CLIENT S+D"),((S11*952.4)-((S11*952.4)*G11)),IF(AND(E11="CLIENT S",F11="LAIT"),((S11*952.4)-((S11*952.4)*G11)),IF(AND(F11="HUILE",E11="CLIENT S"),(VLOOKUP(H11,'BASE '!$I$112:$J$142,2,0)+(VLOOKUP(S11,'BASE '!#REF!,2,0)))-(G11*((VLOOKUP(S11,'BASE '!#REF!,2,0)+(VLOOKUP(H11,'BASE '!$I$112:$J$142,2,0))))))))))))))))</f>
        <v>0</v>
      </c>
      <c r="P11" s="52" t="b">
        <f t="shared" si="1"/>
        <v>0</v>
      </c>
      <c r="Q11" s="53" t="b">
        <f t="shared" si="2"/>
        <v>0</v>
      </c>
      <c r="R11" s="152" t="s">
        <v>175</v>
      </c>
      <c r="S11" s="184">
        <f t="shared" si="6"/>
        <v>0</v>
      </c>
      <c r="T11" s="124"/>
      <c r="U11" s="41" t="s">
        <v>175</v>
      </c>
      <c r="V11" s="70" t="e">
        <f>VLOOKUP(U11,'BASE '!$A$4:$H$144,2,0)</f>
        <v>#N/A</v>
      </c>
      <c r="W11" s="159"/>
      <c r="X11" s="159"/>
      <c r="Y11" s="160"/>
      <c r="Z11" s="158" t="e">
        <f>VLOOKUP(U11,'BASE '!$A$4:$H$144,3,0)</f>
        <v>#N/A</v>
      </c>
      <c r="AA11" s="94" t="e">
        <f t="shared" si="3"/>
        <v>#N/A</v>
      </c>
      <c r="AB11" s="95" t="e">
        <f>VLOOKUP(U11,'BASE '!$A$4:$H$144,6,0)*Y11/100</f>
        <v>#N/A</v>
      </c>
      <c r="AC11" s="95" t="e">
        <f>VLOOKUP(U11,'BASE '!$A$4:$H$144,7,0)*Y11/100</f>
        <v>#N/A</v>
      </c>
      <c r="AD11" s="95" t="e">
        <f>VLOOKUP(U11,'BASE '!$A$4:$H$144,8,0)*Y11/100</f>
        <v>#N/A</v>
      </c>
      <c r="AE11" s="96" t="e">
        <f t="shared" si="7"/>
        <v>#N/A</v>
      </c>
      <c r="AF11" s="435" t="s">
        <v>6</v>
      </c>
      <c r="AG11" s="91" t="s">
        <v>157</v>
      </c>
      <c r="AH11" s="36" t="e">
        <f>SUMIFS($H$6:$H$165,$D$6:$D$165,AF11,CHOIX,AG11)</f>
        <v>#NAME?</v>
      </c>
      <c r="AI11" s="36" t="e">
        <f>SUMIFS($I$6:$I$165,$D$6:$D$165,AF11,CHOIX,AG11)</f>
        <v>#NAME?</v>
      </c>
      <c r="AJ11" s="36" t="e">
        <f>SUMIFS($J$6:$J$165,$D$6:$D$165,AF11,CHOIX,AG11)</f>
        <v>#NAME?</v>
      </c>
      <c r="AK11" s="36" t="e">
        <f>SUMIFS($K$6:$K$165,$D$6:$D$165,AF11,CHOIX,AG11)</f>
        <v>#NAME?</v>
      </c>
      <c r="AL11" s="36" t="e">
        <f>SUMIFS($L$6:$L$165,$D$6:$D$165,AF11,CHOIX,AG11)</f>
        <v>#NAME?</v>
      </c>
      <c r="AM11" s="36" t="e">
        <f>SUMIFS($M$6:$M$165,$D$6:$D$165,AF11,CHOIX,AG11)</f>
        <v>#NAME?</v>
      </c>
      <c r="AN11" s="91" t="s">
        <v>157</v>
      </c>
      <c r="AO11" s="83"/>
      <c r="AP11" s="63"/>
      <c r="AQ11" s="63"/>
      <c r="AR11" s="63"/>
      <c r="AS11" s="79"/>
      <c r="AT11" s="79"/>
      <c r="AU11" s="55" t="e">
        <f>SUMIFS($O$6:$O$165,$D$6:$D$165,AF11,CHOIX,AG11)</f>
        <v>#NAME?</v>
      </c>
      <c r="AV11" s="80" t="e">
        <f>SUMIFS($Q$6:$Q$165,$D$6:$D$165,AF11,CHOIX,AG11)</f>
        <v>#NAME?</v>
      </c>
      <c r="AW11" s="12"/>
      <c r="AX11" s="12"/>
      <c r="AY11" s="12"/>
      <c r="AZ11" s="201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147">
        <f t="shared" si="8"/>
        <v>0</v>
      </c>
      <c r="BN11" s="147">
        <f t="shared" si="9"/>
        <v>0</v>
      </c>
      <c r="BO11" s="149"/>
      <c r="BP11" s="166"/>
      <c r="BQ11" s="12"/>
      <c r="BR11" s="12"/>
      <c r="BS11" s="476" t="s">
        <v>14</v>
      </c>
      <c r="BT11" s="481"/>
      <c r="BU11" s="475">
        <v>39</v>
      </c>
      <c r="BV11" s="545">
        <f t="shared" ref="BV11" si="16">BU11*BT11</f>
        <v>0</v>
      </c>
      <c r="BW11" s="580"/>
      <c r="BX11" s="576">
        <v>75</v>
      </c>
      <c r="BY11" s="497">
        <f>BG68</f>
        <v>0</v>
      </c>
      <c r="BZ11" s="496" t="e">
        <f>K166</f>
        <v>#NAME?</v>
      </c>
      <c r="CA11" s="542"/>
      <c r="CB11" s="475"/>
      <c r="CC11" s="544">
        <f t="shared" ref="CC11" si="17">BY11*CB11</f>
        <v>0</v>
      </c>
      <c r="CV11" s="64"/>
      <c r="CW11" s="148"/>
      <c r="CX11" s="109"/>
      <c r="CY11" s="132"/>
      <c r="CZ11" s="143"/>
      <c r="DA11" s="127"/>
      <c r="DB11" s="50"/>
      <c r="DC11" s="114"/>
      <c r="DD11" s="114"/>
      <c r="DE11" s="114"/>
      <c r="DF11" s="114"/>
      <c r="DG11" s="114"/>
      <c r="DH11" s="112"/>
      <c r="DI11" s="33">
        <f t="shared" si="4"/>
        <v>0</v>
      </c>
      <c r="DJ11" s="52" t="b">
        <f>IF(AND(CZ11="CLIENT S+L",DA11="HUILE"),(DN11*3333.33+(VLOOKUP(DC11,'BASE '!$I$112:$J$142,2,0)))-((DN11*3333.33)*DB11),IF(AND(CZ11="CLIENT S+L",DA11="LAIT"),((DN11*952.4)-(DN11*952.4)*DB11),IF(CZ11="CLIENT O","OFFERT",IF(AND(DA11="HUILE",CZ11="CLIENT L"),(((VLOOKUP(DC11,'BASE '!$I$112:$J$142,2,0))+(VLOOKUP(DN11,'BASE '!#REF!,2,0)))),IF(AND(DA11="LAIT",CZ11="CLIENT L"),(DN11*952.4),IF(AND(DA11="HUILE",CZ11="CLIENT D"),(DN11*3809.53+(VLOOKUP(DC11,'BASE '!$I$112:$J$142,2,0))),IF(AND(DA11="LAIT",CZ11="CLIENT D"),(DN11*952.4),IF(AND(DA11="HUILE",CZ11="CLIENT S+D"),((DN11*3809.53+(VLOOKUP(DC11,'BASE '!$I$112:$J$142,2,0)))-((DN11*3809.53)*DB11)),IF(AND(DA11="LAIT",CZ11="CLIENT S+D"),((DN11*952.4)-((DN11*952.4)*DB11)),IF(AND(CZ11="CLIENT S",DA11="LAIT"),((DN11*952.4)-((DN11*952.4)*DB11)),IF(AND(DA11="HUILE",CZ11="CLIENT S"),(VLOOKUP(DC11,'BASE '!$I$112:$J$142,2,0)+(VLOOKUP(DN11,'BASE '!#REF!,2,0)))-(DB11*((VLOOKUP(DN11,'BASE '!#REF!,2,0)+(VLOOKUP(DC11,'BASE '!$I$112:$J$142,2,0))))))))))))))))</f>
        <v>0</v>
      </c>
      <c r="DK11" s="52" t="b">
        <f t="shared" si="5"/>
        <v>0</v>
      </c>
      <c r="DL11" s="53" t="b">
        <f t="shared" si="12"/>
        <v>0</v>
      </c>
      <c r="DM11" s="149" t="s">
        <v>175</v>
      </c>
      <c r="DN11" s="116">
        <f t="shared" si="13"/>
        <v>0</v>
      </c>
      <c r="DO11" s="124"/>
      <c r="DP11" s="42"/>
      <c r="DQ11" s="70"/>
      <c r="DR11" s="159"/>
      <c r="DS11" s="159"/>
      <c r="DT11" s="159"/>
      <c r="DU11" s="160"/>
      <c r="DV11" s="95"/>
      <c r="DW11" s="95"/>
      <c r="DX11" s="95"/>
      <c r="DY11" s="96"/>
    </row>
    <row r="12" spans="2:129" ht="15" customHeight="1" x14ac:dyDescent="0.3">
      <c r="B12" s="64"/>
      <c r="C12" s="148"/>
      <c r="D12" s="109"/>
      <c r="E12" s="63"/>
      <c r="F12" s="127"/>
      <c r="G12" s="50"/>
      <c r="H12" s="10"/>
      <c r="I12" s="10"/>
      <c r="J12" s="10"/>
      <c r="K12" s="10"/>
      <c r="L12" s="10"/>
      <c r="M12" s="39"/>
      <c r="N12" s="33">
        <f t="shared" si="0"/>
        <v>0</v>
      </c>
      <c r="O12" s="52" t="b">
        <f>IF(AND(E12="CLIENT S+L",F12="HUILE"),(S12*3333.33+(VLOOKUP(H12,'BASE '!$I$112:$J$142,2,0)))-((S12*3333.33)*G12),IF(AND(E12="CLIENT S+L",F12="LAIT"),((S12*952.4)-(S12*952.4)*G12),IF(E12="CLIENT O","OFFERT",IF(AND(F12="HUILE",E12="CLIENT L"),(((VLOOKUP(H12,'BASE '!$I$112:$J$142,2,0))+(VLOOKUP(S12,'BASE '!#REF!,2,0)))),IF(AND(F12="LAIT",E12="CLIENT L"),(S12*952.4),IF(AND(F12="HUILE",E12="CLIENT D"),(S12*3809.53+(VLOOKUP(H12,'BASE '!$I$112:$J$142,2,0))),IF(AND(F12="LAIT",E12="CLIENT D"),(S12*952.4),IF(AND(F12="HUILE",E12="CLIENT S+D"),((S12*3809.53+(VLOOKUP(H12,'BASE '!$I$112:$J$142,2,0)))-((S12*3809.53)*G12)),IF(AND(F12="LAIT",E12="CLIENT S+D"),((S12*952.4)-((S12*952.4)*G12)),IF(AND(E12="CLIENT S",F12="LAIT"),((S12*952.4)-((S12*952.4)*G12)),IF(AND(F12="HUILE",E12="CLIENT S"),(VLOOKUP(H12,'BASE '!$I$112:$J$142,2,0)+(VLOOKUP(S12,'BASE '!#REF!,2,0)))-(G12*((VLOOKUP(S12,'BASE '!#REF!,2,0)+(VLOOKUP(H12,'BASE '!$I$112:$J$142,2,0))))))))))))))))</f>
        <v>0</v>
      </c>
      <c r="P12" s="52" t="b">
        <f t="shared" si="1"/>
        <v>0</v>
      </c>
      <c r="Q12" s="53" t="b">
        <f t="shared" si="2"/>
        <v>0</v>
      </c>
      <c r="R12" s="152" t="s">
        <v>175</v>
      </c>
      <c r="S12" s="184">
        <f t="shared" si="6"/>
        <v>0</v>
      </c>
      <c r="T12" s="124"/>
      <c r="U12" s="41" t="s">
        <v>175</v>
      </c>
      <c r="V12" s="70" t="e">
        <f>VLOOKUP(U12,'BASE '!$A$4:$H$144,2,0)</f>
        <v>#N/A</v>
      </c>
      <c r="W12" s="159"/>
      <c r="X12" s="159"/>
      <c r="Y12" s="160"/>
      <c r="Z12" s="158" t="e">
        <f>VLOOKUP(U12,'BASE '!$A$4:$H$144,3,0)</f>
        <v>#N/A</v>
      </c>
      <c r="AA12" s="94" t="e">
        <f t="shared" si="3"/>
        <v>#N/A</v>
      </c>
      <c r="AB12" s="95" t="e">
        <f>VLOOKUP(U12,'BASE '!$A$4:$H$144,6,0)*Y12/100</f>
        <v>#N/A</v>
      </c>
      <c r="AC12" s="95" t="e">
        <f>VLOOKUP(U12,'BASE '!$A$4:$H$144,7,0)*Y12/100</f>
        <v>#N/A</v>
      </c>
      <c r="AD12" s="95" t="e">
        <f>VLOOKUP(U12,'BASE '!$A$4:$H$144,8,0)*Y12/100</f>
        <v>#N/A</v>
      </c>
      <c r="AE12" s="96" t="e">
        <f t="shared" si="7"/>
        <v>#N/A</v>
      </c>
      <c r="AF12" s="435"/>
      <c r="AG12" s="1" t="s">
        <v>155</v>
      </c>
      <c r="AH12" s="36" t="e">
        <f>SUMIFS($H$6:$H$165,$D$6:$D$165,AF11,CHOIX,AG12)</f>
        <v>#NAME?</v>
      </c>
      <c r="AI12" s="36" t="e">
        <f>SUMIFS($I$6:$I$165,$D$6:$D$165,AF11,CHOIX,AG12)</f>
        <v>#NAME?</v>
      </c>
      <c r="AJ12" s="36" t="e">
        <f>SUMIFS($J$6:$J$165,$D$6:$D$165,AF11,CHOIX,AG12)</f>
        <v>#NAME?</v>
      </c>
      <c r="AK12" s="36" t="e">
        <f>SUMIFS($K$6:$K$165,$D$6:$D$165,AF11,CHOIX,AG12)</f>
        <v>#NAME?</v>
      </c>
      <c r="AL12" s="36" t="e">
        <f>SUMIFS($L$6:$L$165,$D$6:$D$165,AF11,CHOIX,AG12)</f>
        <v>#NAME?</v>
      </c>
      <c r="AM12" s="36" t="e">
        <f>SUMIFS($M$6:$M$165,$D$6:$D$165,AF11,CHOIX,AG12)</f>
        <v>#NAME?</v>
      </c>
      <c r="AN12" s="1" t="s">
        <v>155</v>
      </c>
      <c r="AO12" s="83"/>
      <c r="AP12" s="63"/>
      <c r="AQ12" s="63"/>
      <c r="AR12" s="63"/>
      <c r="AS12" s="79"/>
      <c r="AT12" s="79"/>
      <c r="AU12" s="55" t="e">
        <f>SUMIFS($O$6:$O$165,$D$6:$D$165,AF11,CHOIX,AG12)</f>
        <v>#NAME?</v>
      </c>
      <c r="AV12" s="80" t="e">
        <f>SUMIFS($Q$6:$Q$165,$D$6:$D$165,AF11,CHOIX,AG12)</f>
        <v>#NAME?</v>
      </c>
      <c r="AW12" s="12"/>
      <c r="AX12" s="12"/>
      <c r="AY12" s="12"/>
      <c r="AZ12" s="201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147">
        <f>(BD12*0.1)+(BE12*0.25)+(BF12*0.5)+(BG12*0.75)+(BH12*1)+(BI12*5)</f>
        <v>0</v>
      </c>
      <c r="BN12" s="147">
        <f t="shared" si="9"/>
        <v>0</v>
      </c>
      <c r="BO12" s="149"/>
      <c r="BP12" s="166"/>
      <c r="BQ12" s="12"/>
      <c r="BR12" s="12"/>
      <c r="BS12" s="476"/>
      <c r="BT12" s="481"/>
      <c r="BU12" s="475"/>
      <c r="BV12" s="545"/>
      <c r="BW12" s="580"/>
      <c r="BX12" s="576"/>
      <c r="BY12" s="497"/>
      <c r="BZ12" s="497"/>
      <c r="CA12" s="543"/>
      <c r="CB12" s="475"/>
      <c r="CC12" s="544"/>
      <c r="CV12" s="64"/>
      <c r="CW12" s="148"/>
      <c r="CX12" s="109"/>
      <c r="CY12" s="132"/>
      <c r="CZ12" s="143"/>
      <c r="DA12" s="127"/>
      <c r="DB12" s="50"/>
      <c r="DC12" s="114"/>
      <c r="DD12" s="114"/>
      <c r="DE12" s="114"/>
      <c r="DF12" s="114"/>
      <c r="DG12" s="114"/>
      <c r="DH12" s="112"/>
      <c r="DI12" s="33">
        <f t="shared" si="4"/>
        <v>0</v>
      </c>
      <c r="DJ12" s="52" t="b">
        <f>IF(AND(CZ12="CLIENT S+L",DA12="HUILE"),(DN12*3333.33+(VLOOKUP(DC12,'BASE '!$I$112:$J$142,2,0)))-((DN12*3333.33)*DB12),IF(AND(CZ12="CLIENT S+L",DA12="LAIT"),((DN12*952.4)-(DN12*952.4)*DB12),IF(CZ12="CLIENT O","OFFERT",IF(AND(DA12="HUILE",CZ12="CLIENT L"),(((VLOOKUP(DC12,'BASE '!$I$112:$J$142,2,0))+(VLOOKUP(DN12,'BASE '!#REF!,2,0)))),IF(AND(DA12="LAIT",CZ12="CLIENT L"),(DN12*952.4),IF(AND(DA12="HUILE",CZ12="CLIENT D"),(DN12*3809.53+(VLOOKUP(DC12,'BASE '!$I$112:$J$142,2,0))),IF(AND(DA12="LAIT",CZ12="CLIENT D"),(DN12*952.4),IF(AND(DA12="HUILE",CZ12="CLIENT S+D"),((DN12*3809.53+(VLOOKUP(DC12,'BASE '!$I$112:$J$142,2,0)))-((DN12*3809.53)*DB12)),IF(AND(DA12="LAIT",CZ12="CLIENT S+D"),((DN12*952.4)-((DN12*952.4)*DB12)),IF(AND(CZ12="CLIENT S",DA12="LAIT"),((DN12*952.4)-((DN12*952.4)*DB12)),IF(AND(DA12="HUILE",CZ12="CLIENT S"),(VLOOKUP(DC12,'BASE '!$I$112:$J$142,2,0)+(VLOOKUP(DN12,'BASE '!#REF!,2,0)))-(DB12*((VLOOKUP(DN12,'BASE '!#REF!,2,0)+(VLOOKUP(DC12,'BASE '!$I$112:$J$142,2,0))))))))))))))))</f>
        <v>0</v>
      </c>
      <c r="DK12" s="52" t="b">
        <f t="shared" si="5"/>
        <v>0</v>
      </c>
      <c r="DL12" s="53" t="b">
        <f t="shared" si="12"/>
        <v>0</v>
      </c>
      <c r="DM12" s="149" t="s">
        <v>175</v>
      </c>
      <c r="DN12" s="116">
        <f t="shared" si="13"/>
        <v>0</v>
      </c>
      <c r="DO12" s="124"/>
      <c r="DP12" s="42"/>
      <c r="DQ12" s="70"/>
      <c r="DR12" s="159"/>
      <c r="DS12" s="159"/>
      <c r="DT12" s="159"/>
      <c r="DU12" s="160"/>
      <c r="DV12" s="95"/>
      <c r="DW12" s="95"/>
      <c r="DX12" s="95"/>
      <c r="DY12" s="96"/>
    </row>
    <row r="13" spans="2:129" ht="15" customHeight="1" x14ac:dyDescent="0.3">
      <c r="B13" s="64"/>
      <c r="C13" s="148"/>
      <c r="D13" s="109"/>
      <c r="E13" s="63"/>
      <c r="F13" s="127"/>
      <c r="G13" s="50"/>
      <c r="H13" s="10"/>
      <c r="I13" s="10"/>
      <c r="J13" s="10"/>
      <c r="K13" s="10"/>
      <c r="L13" s="10"/>
      <c r="M13" s="39"/>
      <c r="N13" s="33">
        <f t="shared" si="0"/>
        <v>0</v>
      </c>
      <c r="O13" s="52" t="b">
        <f>IF(AND(E13="CLIENT S+L",F13="HUILE"),(S13*3333.33+(VLOOKUP(H13,'BASE '!$I$112:$J$142,2,0)))-((S13*3333.33)*G13),IF(AND(E13="CLIENT S+L",F13="LAIT"),((S13*952.4)-(S13*952.4)*G13),IF(E13="CLIENT O","OFFERT",IF(AND(F13="HUILE",E13="CLIENT L"),(((VLOOKUP(H13,'BASE '!$I$112:$J$142,2,0))+(VLOOKUP(S13,'BASE '!#REF!,2,0)))),IF(AND(F13="LAIT",E13="CLIENT L"),(S13*952.4),IF(AND(F13="HUILE",E13="CLIENT D"),(S13*3809.53+(VLOOKUP(H13,'BASE '!$I$112:$J$142,2,0))),IF(AND(F13="LAIT",E13="CLIENT D"),(S13*952.4),IF(AND(F13="HUILE",E13="CLIENT S+D"),((S13*3809.53+(VLOOKUP(H13,'BASE '!$I$112:$J$142,2,0)))-((S13*3809.53)*G13)),IF(AND(F13="LAIT",E13="CLIENT S+D"),((S13*952.4)-((S13*952.4)*G13)),IF(AND(E13="CLIENT S",F13="LAIT"),((S13*952.4)-((S13*952.4)*G13)),IF(AND(F13="HUILE",E13="CLIENT S"),(VLOOKUP(H13,'BASE '!$I$112:$J$142,2,0)+(VLOOKUP(S13,'BASE '!#REF!,2,0)))-(G13*((VLOOKUP(S13,'BASE '!#REF!,2,0)+(VLOOKUP(H13,'BASE '!$I$112:$J$142,2,0))))))))))))))))</f>
        <v>0</v>
      </c>
      <c r="P13" s="52" t="b">
        <f t="shared" si="1"/>
        <v>0</v>
      </c>
      <c r="Q13" s="53" t="b">
        <f t="shared" si="2"/>
        <v>0</v>
      </c>
      <c r="R13" s="152" t="s">
        <v>175</v>
      </c>
      <c r="S13" s="184">
        <f t="shared" si="6"/>
        <v>0</v>
      </c>
      <c r="T13" s="124"/>
      <c r="U13" s="41" t="s">
        <v>175</v>
      </c>
      <c r="V13" s="70" t="e">
        <f>VLOOKUP(U13,'BASE '!$A$4:$H$144,2,0)</f>
        <v>#N/A</v>
      </c>
      <c r="W13" s="159"/>
      <c r="X13" s="159"/>
      <c r="Y13" s="160"/>
      <c r="Z13" s="158" t="e">
        <f>VLOOKUP(U13,'BASE '!$A$4:$H$144,3,0)</f>
        <v>#N/A</v>
      </c>
      <c r="AA13" s="94" t="e">
        <f t="shared" si="3"/>
        <v>#N/A</v>
      </c>
      <c r="AB13" s="95" t="e">
        <f>VLOOKUP(U13,'BASE '!$A$4:$H$144,6,0)*Y13/100</f>
        <v>#N/A</v>
      </c>
      <c r="AC13" s="95" t="e">
        <f>VLOOKUP(U13,'BASE '!$A$4:$H$144,7,0)*Y13/100</f>
        <v>#N/A</v>
      </c>
      <c r="AD13" s="95" t="e">
        <f>VLOOKUP(U13,'BASE '!$A$4:$H$144,8,0)*Y13/100</f>
        <v>#N/A</v>
      </c>
      <c r="AE13" s="96" t="e">
        <f t="shared" si="7"/>
        <v>#N/A</v>
      </c>
      <c r="AF13" s="435" t="s">
        <v>7</v>
      </c>
      <c r="AG13" s="91" t="s">
        <v>157</v>
      </c>
      <c r="AH13" s="36" t="e">
        <f>SUMIFS($H$6:$H$165,$D$6:$D$165,AF13,CHOIX,AG13)</f>
        <v>#NAME?</v>
      </c>
      <c r="AI13" s="36" t="e">
        <f>SUMIFS($I$6:$I$165,$D$6:$D$165,AF13,CHOIX,AG13)</f>
        <v>#NAME?</v>
      </c>
      <c r="AJ13" s="36" t="e">
        <f>SUMIFS($J$6:$J$165,$D$6:$D$165,AF13,CHOIX,AG13)</f>
        <v>#NAME?</v>
      </c>
      <c r="AK13" s="36" t="e">
        <f>SUMIFS($K$6:$K$165,$D$6:$D$165,AF13,CHOIX,AG13)</f>
        <v>#NAME?</v>
      </c>
      <c r="AL13" s="36" t="e">
        <f>SUMIFS($L$6:$L$165,$D$6:$D$165,AF13,CHOIX,AG13)</f>
        <v>#NAME?</v>
      </c>
      <c r="AM13" s="36" t="e">
        <f>SUMIFS($M$6:$M$165,$D$6:$D$165,AF13,CHOIX,AG13)</f>
        <v>#NAME?</v>
      </c>
      <c r="AN13" s="91" t="s">
        <v>157</v>
      </c>
      <c r="AO13" s="83"/>
      <c r="AP13" s="63"/>
      <c r="AQ13" s="63"/>
      <c r="AR13" s="63"/>
      <c r="AS13" s="79"/>
      <c r="AT13" s="79"/>
      <c r="AU13" s="55" t="e">
        <f>SUMIFS($O$6:$O$165,$D$6:$D$165,AF13,CHOIX,AG13)</f>
        <v>#NAME?</v>
      </c>
      <c r="AV13" s="80" t="e">
        <f>SUMIFS($Q$6:$Q$165,$D$6:$D$165,AF13,CHOIX,AG13)</f>
        <v>#NAME?</v>
      </c>
      <c r="AW13" s="12"/>
      <c r="AX13" s="12"/>
      <c r="AY13" s="12"/>
      <c r="AZ13" s="201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147">
        <f t="shared" si="8"/>
        <v>0</v>
      </c>
      <c r="BN13" s="147">
        <f t="shared" si="9"/>
        <v>0</v>
      </c>
      <c r="BO13" s="149"/>
      <c r="BP13" s="166"/>
      <c r="BQ13" s="12"/>
      <c r="BR13" s="12"/>
      <c r="BS13" s="476" t="s">
        <v>121</v>
      </c>
      <c r="BT13" s="481"/>
      <c r="BU13" s="477"/>
      <c r="BV13" s="545">
        <f t="shared" ref="BV13" si="18">BU13*BT13</f>
        <v>0</v>
      </c>
      <c r="BW13" s="580"/>
      <c r="BX13" s="576">
        <v>1</v>
      </c>
      <c r="BY13" s="497">
        <f>BH69</f>
        <v>0</v>
      </c>
      <c r="BZ13" s="496" t="e">
        <f>L166</f>
        <v>#NAME?</v>
      </c>
      <c r="CA13" s="542"/>
      <c r="CB13" s="477"/>
      <c r="CC13" s="544">
        <f t="shared" ref="CC13" si="19">BY13*CB13</f>
        <v>0</v>
      </c>
      <c r="CV13" s="64"/>
      <c r="CW13" s="148"/>
      <c r="CX13" s="109"/>
      <c r="CY13" s="132"/>
      <c r="CZ13" s="143"/>
      <c r="DA13" s="127"/>
      <c r="DB13" s="50"/>
      <c r="DC13" s="111"/>
      <c r="DD13" s="111"/>
      <c r="DE13" s="111"/>
      <c r="DF13" s="111"/>
      <c r="DG13" s="111"/>
      <c r="DH13" s="112"/>
      <c r="DI13" s="33">
        <f t="shared" si="4"/>
        <v>0</v>
      </c>
      <c r="DJ13" s="52" t="b">
        <f>IF(AND(CZ13="CLIENT S+L",DA13="HUILE"),(DN13*3333.33+(VLOOKUP(DC13,'BASE '!$I$112:$J$142,2,0)))-((DN13*3333.33)*DB13),IF(AND(CZ13="CLIENT S+L",DA13="LAIT"),((DN13*952.4)-(DN13*952.4)*DB13),IF(CZ13="CLIENT O","OFFERT",IF(AND(DA13="HUILE",CZ13="CLIENT L"),(((VLOOKUP(DC13,'BASE '!$I$112:$J$142,2,0))+(VLOOKUP(DN13,'BASE '!#REF!,2,0)))),IF(AND(DA13="LAIT",CZ13="CLIENT L"),(DN13*952.4),IF(AND(DA13="HUILE",CZ13="CLIENT D"),(DN13*3809.53+(VLOOKUP(DC13,'BASE '!$I$112:$J$142,2,0))),IF(AND(DA13="LAIT",CZ13="CLIENT D"),(DN13*952.4),IF(AND(DA13="HUILE",CZ13="CLIENT S+D"),((DN13*3809.53+(VLOOKUP(DC13,'BASE '!$I$112:$J$142,2,0)))-((DN13*3809.53)*DB13)),IF(AND(DA13="LAIT",CZ13="CLIENT S+D"),((DN13*952.4)-((DN13*952.4)*DB13)),IF(AND(CZ13="CLIENT S",DA13="LAIT"),((DN13*952.4)-((DN13*952.4)*DB13)),IF(AND(DA13="HUILE",CZ13="CLIENT S"),(VLOOKUP(DC13,'BASE '!$I$112:$J$142,2,0)+(VLOOKUP(DN13,'BASE '!#REF!,2,0)))-(DB13*((VLOOKUP(DN13,'BASE '!#REF!,2,0)+(VLOOKUP(DC13,'BASE '!$I$112:$J$142,2,0))))))))))))))))</f>
        <v>0</v>
      </c>
      <c r="DK13" s="52" t="b">
        <f t="shared" si="5"/>
        <v>0</v>
      </c>
      <c r="DL13" s="53" t="b">
        <f t="shared" si="12"/>
        <v>0</v>
      </c>
      <c r="DM13" s="149" t="s">
        <v>175</v>
      </c>
      <c r="DN13" s="116">
        <f t="shared" si="13"/>
        <v>0</v>
      </c>
      <c r="DO13" s="124"/>
      <c r="DP13" s="42"/>
      <c r="DQ13" s="70"/>
      <c r="DR13" s="159"/>
      <c r="DS13" s="159"/>
      <c r="DT13" s="159"/>
      <c r="DU13" s="160"/>
      <c r="DV13" s="95"/>
      <c r="DW13" s="95"/>
      <c r="DX13" s="95"/>
      <c r="DY13" s="96"/>
    </row>
    <row r="14" spans="2:129" ht="15" customHeight="1" x14ac:dyDescent="0.3">
      <c r="B14" s="64"/>
      <c r="C14" s="148"/>
      <c r="D14" s="109"/>
      <c r="E14" s="63"/>
      <c r="F14" s="127"/>
      <c r="G14" s="50"/>
      <c r="H14" s="10"/>
      <c r="I14" s="10"/>
      <c r="J14" s="10"/>
      <c r="K14" s="10"/>
      <c r="L14" s="10"/>
      <c r="M14" s="39"/>
      <c r="N14" s="33">
        <f t="shared" si="0"/>
        <v>0</v>
      </c>
      <c r="O14" s="52" t="b">
        <f>IF(AND(E14="CLIENT S+L",F14="HUILE"),(S14*3333.33+(VLOOKUP(H14,'BASE '!$I$112:$J$142,2,0)))-((S14*3333.33)*G14),IF(AND(E14="CLIENT S+L",F14="LAIT"),((S14*952.4)-(S14*952.4)*G14),IF(E14="CLIENT O","OFFERT",IF(AND(F14="HUILE",E14="CLIENT L"),(((VLOOKUP(H14,'BASE '!$I$112:$J$142,2,0))+(VLOOKUP(S14,'BASE '!#REF!,2,0)))),IF(AND(F14="LAIT",E14="CLIENT L"),(S14*952.4),IF(AND(F14="HUILE",E14="CLIENT D"),(S14*3809.53+(VLOOKUP(H14,'BASE '!$I$112:$J$142,2,0))),IF(AND(F14="LAIT",E14="CLIENT D"),(S14*952.4),IF(AND(F14="HUILE",E14="CLIENT S+D"),((S14*3809.53+(VLOOKUP(H14,'BASE '!$I$112:$J$142,2,0)))-((S14*3809.53)*G14)),IF(AND(F14="LAIT",E14="CLIENT S+D"),((S14*952.4)-((S14*952.4)*G14)),IF(AND(E14="CLIENT S",F14="LAIT"),((S14*952.4)-((S14*952.4)*G14)),IF(AND(F14="HUILE",E14="CLIENT S"),(VLOOKUP(H14,'BASE '!$I$112:$J$142,2,0)+(VLOOKUP(S14,'BASE '!#REF!,2,0)))-(G14*((VLOOKUP(S14,'BASE '!#REF!,2,0)+(VLOOKUP(H14,'BASE '!$I$112:$J$142,2,0))))))))))))))))</f>
        <v>0</v>
      </c>
      <c r="P14" s="52" t="b">
        <f t="shared" si="1"/>
        <v>0</v>
      </c>
      <c r="Q14" s="53" t="b">
        <f t="shared" si="2"/>
        <v>0</v>
      </c>
      <c r="R14" s="152" t="s">
        <v>175</v>
      </c>
      <c r="S14" s="184">
        <f t="shared" si="6"/>
        <v>0</v>
      </c>
      <c r="T14" s="124"/>
      <c r="U14" s="41" t="s">
        <v>175</v>
      </c>
      <c r="V14" s="70" t="e">
        <f>VLOOKUP(U14,'BASE '!$A$4:$H$144,2,0)</f>
        <v>#N/A</v>
      </c>
      <c r="W14" s="159"/>
      <c r="X14" s="159"/>
      <c r="Y14" s="160"/>
      <c r="Z14" s="158" t="e">
        <f>VLOOKUP(U14,'BASE '!$A$4:$H$144,3,0)</f>
        <v>#N/A</v>
      </c>
      <c r="AA14" s="94" t="e">
        <f t="shared" si="3"/>
        <v>#N/A</v>
      </c>
      <c r="AB14" s="95" t="e">
        <f>VLOOKUP(U14,'BASE '!$A$4:$H$144,6,0)*Y14/100</f>
        <v>#N/A</v>
      </c>
      <c r="AC14" s="95" t="e">
        <f>VLOOKUP(U14,'BASE '!$A$4:$H$144,7,0)*Y14/100</f>
        <v>#N/A</v>
      </c>
      <c r="AD14" s="95" t="e">
        <f>VLOOKUP(U14,'BASE '!$A$4:$H$144,8,0)*Y14/100</f>
        <v>#N/A</v>
      </c>
      <c r="AE14" s="96" t="e">
        <f t="shared" si="7"/>
        <v>#N/A</v>
      </c>
      <c r="AF14" s="435"/>
      <c r="AG14" s="1" t="s">
        <v>155</v>
      </c>
      <c r="AH14" s="36" t="e">
        <f>SUMIFS($H$6:$H$165,$D$6:$D$165,AF13,CHOIX,AG14)</f>
        <v>#NAME?</v>
      </c>
      <c r="AI14" s="36" t="e">
        <f>SUMIFS($I$6:$I$165,$D$6:$D$165,AF13,CHOIX,AG14)</f>
        <v>#NAME?</v>
      </c>
      <c r="AJ14" s="36" t="e">
        <f>SUMIFS($J$6:$J$165,$D$6:$D$165,AF13,CHOIX,AG14)</f>
        <v>#NAME?</v>
      </c>
      <c r="AK14" s="36" t="e">
        <f>SUMIFS($K$6:$K$165,$D$6:$D$165,AF13,CHOIX,AG14)</f>
        <v>#NAME?</v>
      </c>
      <c r="AL14" s="36" t="e">
        <f>SUMIFS($L$6:$L$165,$D$6:$D$165,AF13,CHOIX,AG14)</f>
        <v>#NAME?</v>
      </c>
      <c r="AM14" s="36" t="e">
        <f>SUMIFS($M$6:$M$165,$D$6:$D$165,AF13,CHOIX,AG14)</f>
        <v>#NAME?</v>
      </c>
      <c r="AN14" s="1" t="s">
        <v>155</v>
      </c>
      <c r="AO14" s="83"/>
      <c r="AP14" s="63"/>
      <c r="AQ14" s="63"/>
      <c r="AR14" s="63"/>
      <c r="AS14" s="79"/>
      <c r="AT14" s="79"/>
      <c r="AU14" s="55" t="e">
        <f>SUMIFS($O$6:$O$165,$D$6:$D$165,AF13,CHOIX,AG14)</f>
        <v>#NAME?</v>
      </c>
      <c r="AV14" s="80" t="e">
        <f>SUMIFS($Q$6:$Q$165,$D$6:$D$165,AF13,CHOIX,AG14)</f>
        <v>#NAME?</v>
      </c>
      <c r="AW14" s="12"/>
      <c r="AX14" s="12"/>
      <c r="AY14" s="12"/>
      <c r="AZ14" s="201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147">
        <f t="shared" si="8"/>
        <v>0</v>
      </c>
      <c r="BN14" s="147">
        <f t="shared" si="9"/>
        <v>0</v>
      </c>
      <c r="BO14" s="149"/>
      <c r="BP14" s="166"/>
      <c r="BQ14" s="12"/>
      <c r="BR14" s="12"/>
      <c r="BS14" s="476"/>
      <c r="BT14" s="481"/>
      <c r="BU14" s="477"/>
      <c r="BV14" s="545"/>
      <c r="BW14" s="580"/>
      <c r="BX14" s="576"/>
      <c r="BY14" s="497"/>
      <c r="BZ14" s="497"/>
      <c r="CA14" s="543"/>
      <c r="CB14" s="477"/>
      <c r="CC14" s="544"/>
      <c r="CV14" s="64"/>
      <c r="CW14" s="148"/>
      <c r="CX14" s="109"/>
      <c r="CY14" s="132"/>
      <c r="CZ14" s="143"/>
      <c r="DA14" s="127"/>
      <c r="DB14" s="50"/>
      <c r="DC14" s="111"/>
      <c r="DD14" s="111"/>
      <c r="DE14" s="111"/>
      <c r="DF14" s="111"/>
      <c r="DG14" s="111"/>
      <c r="DH14" s="112"/>
      <c r="DI14" s="33">
        <f t="shared" si="4"/>
        <v>0</v>
      </c>
      <c r="DJ14" s="52" t="b">
        <f>IF(AND(CZ14="CLIENT S+L",DA14="HUILE"),(DN14*3333.33+(VLOOKUP(DC14,'BASE '!$I$112:$J$142,2,0)))-((DN14*3333.33)*DB14),IF(AND(CZ14="CLIENT S+L",DA14="LAIT"),((DN14*952.4)-(DN14*952.4)*DB14),IF(CZ14="CLIENT O","OFFERT",IF(AND(DA14="HUILE",CZ14="CLIENT L"),(((VLOOKUP(DC14,'BASE '!$I$112:$J$142,2,0))+(VLOOKUP(DN14,'BASE '!#REF!,2,0)))),IF(AND(DA14="LAIT",CZ14="CLIENT L"),(DN14*952.4),IF(AND(DA14="HUILE",CZ14="CLIENT D"),(DN14*3809.53+(VLOOKUP(DC14,'BASE '!$I$112:$J$142,2,0))),IF(AND(DA14="LAIT",CZ14="CLIENT D"),(DN14*952.4),IF(AND(DA14="HUILE",CZ14="CLIENT S+D"),((DN14*3809.53+(VLOOKUP(DC14,'BASE '!$I$112:$J$142,2,0)))-((DN14*3809.53)*DB14)),IF(AND(DA14="LAIT",CZ14="CLIENT S+D"),((DN14*952.4)-((DN14*952.4)*DB14)),IF(AND(CZ14="CLIENT S",DA14="LAIT"),((DN14*952.4)-((DN14*952.4)*DB14)),IF(AND(DA14="HUILE",CZ14="CLIENT S"),(VLOOKUP(DC14,'BASE '!$I$112:$J$142,2,0)+(VLOOKUP(DN14,'BASE '!#REF!,2,0)))-(DB14*((VLOOKUP(DN14,'BASE '!#REF!,2,0)+(VLOOKUP(DC14,'BASE '!$I$112:$J$142,2,0))))))))))))))))</f>
        <v>0</v>
      </c>
      <c r="DK14" s="52" t="b">
        <f t="shared" si="5"/>
        <v>0</v>
      </c>
      <c r="DL14" s="53" t="b">
        <f t="shared" si="12"/>
        <v>0</v>
      </c>
      <c r="DM14" s="149" t="s">
        <v>175</v>
      </c>
      <c r="DN14" s="116">
        <f t="shared" si="13"/>
        <v>0</v>
      </c>
      <c r="DO14" s="124"/>
      <c r="DP14" s="42"/>
      <c r="DQ14" s="70"/>
      <c r="DR14" s="159"/>
      <c r="DS14" s="159"/>
      <c r="DT14" s="159"/>
      <c r="DU14" s="160"/>
      <c r="DV14" s="95"/>
      <c r="DW14" s="95"/>
      <c r="DX14" s="95"/>
      <c r="DY14" s="96"/>
    </row>
    <row r="15" spans="2:129" ht="15" customHeight="1" x14ac:dyDescent="0.3">
      <c r="B15" s="64"/>
      <c r="C15" s="148"/>
      <c r="D15" s="109"/>
      <c r="E15" s="63"/>
      <c r="F15" s="127"/>
      <c r="G15" s="50"/>
      <c r="H15" s="10"/>
      <c r="I15" s="10"/>
      <c r="J15" s="10"/>
      <c r="K15" s="10"/>
      <c r="L15" s="10"/>
      <c r="M15" s="39"/>
      <c r="N15" s="33">
        <f t="shared" si="0"/>
        <v>0</v>
      </c>
      <c r="O15" s="52" t="b">
        <f>IF(AND(E15="CLIENT S+L",F15="HUILE"),(S15*3333.33+(VLOOKUP(H15,'BASE '!$I$112:$J$142,2,0)))-((S15*3333.33)*G15),IF(AND(E15="CLIENT S+L",F15="LAIT"),((S15*952.4)-(S15*952.4)*G15),IF(E15="CLIENT O","OFFERT",IF(AND(F15="HUILE",E15="CLIENT L"),(((VLOOKUP(H15,'BASE '!$I$112:$J$142,2,0))+(VLOOKUP(S15,'BASE '!#REF!,2,0)))),IF(AND(F15="LAIT",E15="CLIENT L"),(S15*952.4),IF(AND(F15="HUILE",E15="CLIENT D"),(S15*3809.53+(VLOOKUP(H15,'BASE '!$I$112:$J$142,2,0))),IF(AND(F15="LAIT",E15="CLIENT D"),(S15*952.4),IF(AND(F15="HUILE",E15="CLIENT S+D"),((S15*3809.53+(VLOOKUP(H15,'BASE '!$I$112:$J$142,2,0)))-((S15*3809.53)*G15)),IF(AND(F15="LAIT",E15="CLIENT S+D"),((S15*952.4)-((S15*952.4)*G15)),IF(AND(E15="CLIENT S",F15="LAIT"),((S15*952.4)-((S15*952.4)*G15)),IF(AND(F15="HUILE",E15="CLIENT S"),(VLOOKUP(H15,'BASE '!$I$112:$J$142,2,0)+(VLOOKUP(S15,'BASE '!#REF!,2,0)))-(G15*((VLOOKUP(S15,'BASE '!#REF!,2,0)+(VLOOKUP(H15,'BASE '!$I$112:$J$142,2,0))))))))))))))))</f>
        <v>0</v>
      </c>
      <c r="P15" s="52" t="b">
        <f t="shared" si="1"/>
        <v>0</v>
      </c>
      <c r="Q15" s="53" t="b">
        <f t="shared" si="2"/>
        <v>0</v>
      </c>
      <c r="R15" s="152" t="s">
        <v>175</v>
      </c>
      <c r="S15" s="184">
        <f t="shared" si="6"/>
        <v>0</v>
      </c>
      <c r="T15" s="124"/>
      <c r="U15" s="41" t="s">
        <v>175</v>
      </c>
      <c r="V15" s="70" t="e">
        <f>VLOOKUP(U15,'BASE '!$A$4:$H$144,2,0)</f>
        <v>#N/A</v>
      </c>
      <c r="W15" s="159"/>
      <c r="X15" s="159"/>
      <c r="Y15" s="160"/>
      <c r="Z15" s="158" t="e">
        <f>VLOOKUP(U15,'BASE '!$A$4:$H$144,3,0)</f>
        <v>#N/A</v>
      </c>
      <c r="AA15" s="94" t="e">
        <f t="shared" si="3"/>
        <v>#N/A</v>
      </c>
      <c r="AB15" s="95" t="e">
        <f>VLOOKUP(U15,'BASE '!$A$4:$H$144,6,0)*Y15/100</f>
        <v>#N/A</v>
      </c>
      <c r="AC15" s="95" t="e">
        <f>VLOOKUP(U15,'BASE '!$A$4:$H$144,7,0)*Y15/100</f>
        <v>#N/A</v>
      </c>
      <c r="AD15" s="95" t="e">
        <f>VLOOKUP(U15,'BASE '!$A$4:$H$144,8,0)*Y15/100</f>
        <v>#N/A</v>
      </c>
      <c r="AE15" s="96" t="e">
        <f t="shared" si="7"/>
        <v>#N/A</v>
      </c>
      <c r="AF15" s="435" t="s">
        <v>8</v>
      </c>
      <c r="AG15" s="91" t="s">
        <v>157</v>
      </c>
      <c r="AH15" s="36" t="e">
        <f>SUMIFS($H$6:$H$165,$D$6:$D$165,AF15,CHOIX,AG15)</f>
        <v>#NAME?</v>
      </c>
      <c r="AI15" s="36" t="e">
        <f>SUMIFS($I$6:$I$165,$D$6:$D$165,AF15,CHOIX,AG15)</f>
        <v>#NAME?</v>
      </c>
      <c r="AJ15" s="36" t="e">
        <f>SUMIFS($J$6:$J$165,$D$6:$D$165,AF15,CHOIX,AG15)</f>
        <v>#NAME?</v>
      </c>
      <c r="AK15" s="36" t="e">
        <f>SUMIFS($K$6:$K$165,$D$6:$D$165,AF15,CHOIX,AG15)</f>
        <v>#NAME?</v>
      </c>
      <c r="AL15" s="36" t="e">
        <f>SUMIFS($L$6:$L$165,$D$6:$D$165,AF15,CHOIX,AG15)</f>
        <v>#NAME?</v>
      </c>
      <c r="AM15" s="36" t="e">
        <f>SUMIFS($M$6:$M$165,$D$6:$D$165,AF15,CHOIX,AG15)</f>
        <v>#NAME?</v>
      </c>
      <c r="AN15" s="91" t="s">
        <v>157</v>
      </c>
      <c r="AO15" s="83"/>
      <c r="AP15" s="63"/>
      <c r="AQ15" s="63"/>
      <c r="AR15" s="63"/>
      <c r="AS15" s="79"/>
      <c r="AT15" s="79"/>
      <c r="AU15" s="55" t="e">
        <f>SUMIFS($O$6:$O$165,$D$6:$D$165,AF15,CHOIX,AG15)</f>
        <v>#NAME?</v>
      </c>
      <c r="AV15" s="80" t="e">
        <f>SUMIFS($Q$6:$Q$165,$D$6:$D$165,AF15,CHOIX,AG15)</f>
        <v>#NAME?</v>
      </c>
      <c r="AW15" s="12"/>
      <c r="AX15" s="12"/>
      <c r="AY15" s="12"/>
      <c r="AZ15" s="201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147">
        <f t="shared" si="8"/>
        <v>0</v>
      </c>
      <c r="BN15" s="147">
        <f t="shared" si="9"/>
        <v>0</v>
      </c>
      <c r="BO15" s="149"/>
      <c r="BP15" s="166"/>
      <c r="BQ15" s="12"/>
      <c r="BR15" s="12"/>
      <c r="BS15" s="431" t="s">
        <v>176</v>
      </c>
      <c r="BT15" s="481"/>
      <c r="BU15" s="477"/>
      <c r="BV15" s="545">
        <f t="shared" ref="BV15" si="20">BU15*BT15</f>
        <v>0</v>
      </c>
      <c r="BW15" s="580"/>
      <c r="BX15" s="585">
        <v>5</v>
      </c>
      <c r="BY15" s="497">
        <f>BI70</f>
        <v>0</v>
      </c>
      <c r="BZ15" s="496" t="e">
        <f>M166</f>
        <v>#NAME?</v>
      </c>
      <c r="CA15" s="542"/>
      <c r="CB15" s="477"/>
      <c r="CC15" s="544">
        <f t="shared" ref="CC15" si="21">BY15*CB15</f>
        <v>0</v>
      </c>
      <c r="CV15" s="64"/>
      <c r="CW15" s="148"/>
      <c r="CX15" s="109"/>
      <c r="CY15" s="132"/>
      <c r="CZ15" s="143"/>
      <c r="DA15" s="63"/>
      <c r="DB15" s="50"/>
      <c r="DC15" s="111"/>
      <c r="DD15" s="111"/>
      <c r="DE15" s="111"/>
      <c r="DF15" s="111"/>
      <c r="DG15" s="111"/>
      <c r="DH15" s="112"/>
      <c r="DI15" s="33">
        <f t="shared" si="4"/>
        <v>0</v>
      </c>
      <c r="DJ15" s="52" t="b">
        <f>IF(AND(CZ15="CLIENT S+L",DA15="HUILE"),(DN15*3333.33+(VLOOKUP(DC15,'BASE '!$I$112:$J$142,2,0)))-((DN15*3333.33)*DB15),IF(AND(CZ15="CLIENT S+L",DA15="LAIT"),((DN15*952.4)-(DN15*952.4)*DB15),IF(CZ15="CLIENT O","OFFERT",IF(AND(DA15="HUILE",CZ15="CLIENT L"),(((VLOOKUP(DC15,'BASE '!$I$112:$J$142,2,0))+(VLOOKUP(DN15,'BASE '!#REF!,2,0)))),IF(AND(DA15="LAIT",CZ15="CLIENT L"),(DN15*952.4),IF(AND(DA15="HUILE",CZ15="CLIENT D"),(DN15*3809.53+(VLOOKUP(DC15,'BASE '!$I$112:$J$142,2,0))),IF(AND(DA15="LAIT",CZ15="CLIENT D"),(DN15*952.4),IF(AND(DA15="HUILE",CZ15="CLIENT S+D"),((DN15*3809.53+(VLOOKUP(DC15,'BASE '!$I$112:$J$142,2,0)))-((DN15*3809.53)*DB15)),IF(AND(DA15="LAIT",CZ15="CLIENT S+D"),((DN15*952.4)-((DN15*952.4)*DB15)),IF(AND(CZ15="CLIENT S",DA15="LAIT"),((DN15*952.4)-((DN15*952.4)*DB15)),IF(AND(DA15="HUILE",CZ15="CLIENT S"),(VLOOKUP(DC15,'BASE '!$I$112:$J$142,2,0)+(VLOOKUP(DN15,'BASE '!#REF!,2,0)))-(DB15*((VLOOKUP(DN15,'BASE '!#REF!,2,0)+(VLOOKUP(DC15,'BASE '!$I$112:$J$142,2,0))))))))))))))))</f>
        <v>0</v>
      </c>
      <c r="DK15" s="52" t="b">
        <f t="shared" si="5"/>
        <v>0</v>
      </c>
      <c r="DL15" s="53" t="b">
        <f t="shared" si="12"/>
        <v>0</v>
      </c>
      <c r="DM15" s="149" t="s">
        <v>175</v>
      </c>
      <c r="DN15" s="116">
        <f t="shared" si="13"/>
        <v>0</v>
      </c>
      <c r="DO15" s="124"/>
      <c r="DP15" s="42"/>
      <c r="DQ15" s="70"/>
      <c r="DR15" s="159"/>
      <c r="DS15" s="159"/>
      <c r="DT15" s="159"/>
      <c r="DU15" s="160"/>
      <c r="DV15" s="95"/>
      <c r="DW15" s="95"/>
      <c r="DX15" s="95"/>
      <c r="DY15" s="96"/>
    </row>
    <row r="16" spans="2:129" ht="15" customHeight="1" x14ac:dyDescent="0.3">
      <c r="B16" s="64"/>
      <c r="C16" s="148"/>
      <c r="D16" s="109"/>
      <c r="E16" s="63"/>
      <c r="F16" s="127"/>
      <c r="G16" s="50"/>
      <c r="H16" s="10"/>
      <c r="I16" s="10"/>
      <c r="J16" s="10"/>
      <c r="K16" s="10"/>
      <c r="L16" s="10"/>
      <c r="M16" s="39"/>
      <c r="N16" s="33">
        <f t="shared" si="0"/>
        <v>0</v>
      </c>
      <c r="O16" s="52" t="b">
        <f>IF(AND(E16="CLIENT S+L",F16="HUILE"),(S16*3333.33+(VLOOKUP(H16,'BASE '!$I$112:$J$142,2,0)))-((S16*3333.33)*G16),IF(AND(E16="CLIENT S+L",F16="LAIT"),((S16*952.4)-(S16*952.4)*G16),IF(E16="CLIENT O","OFFERT",IF(AND(F16="HUILE",E16="CLIENT L"),(((VLOOKUP(H16,'BASE '!$I$112:$J$142,2,0))+(VLOOKUP(S16,'BASE '!#REF!,2,0)))),IF(AND(F16="LAIT",E16="CLIENT L"),(S16*952.4),IF(AND(F16="HUILE",E16="CLIENT D"),(S16*3809.53+(VLOOKUP(H16,'BASE '!$I$112:$J$142,2,0))),IF(AND(F16="LAIT",E16="CLIENT D"),(S16*952.4),IF(AND(F16="HUILE",E16="CLIENT S+D"),((S16*3809.53+(VLOOKUP(H16,'BASE '!$I$112:$J$142,2,0)))-((S16*3809.53)*G16)),IF(AND(F16="LAIT",E16="CLIENT S+D"),((S16*952.4)-((S16*952.4)*G16)),IF(AND(E16="CLIENT S",F16="LAIT"),((S16*952.4)-((S16*952.4)*G16)),IF(AND(F16="HUILE",E16="CLIENT S"),(VLOOKUP(H16,'BASE '!$I$112:$J$142,2,0)+(VLOOKUP(S16,'BASE '!#REF!,2,0)))-(G16*((VLOOKUP(S16,'BASE '!#REF!,2,0)+(VLOOKUP(H16,'BASE '!$I$112:$J$142,2,0))))))))))))))))</f>
        <v>0</v>
      </c>
      <c r="P16" s="52" t="b">
        <f t="shared" si="1"/>
        <v>0</v>
      </c>
      <c r="Q16" s="53" t="b">
        <f t="shared" si="2"/>
        <v>0</v>
      </c>
      <c r="R16" s="152" t="s">
        <v>175</v>
      </c>
      <c r="S16" s="184">
        <f t="shared" si="6"/>
        <v>0</v>
      </c>
      <c r="T16" s="124"/>
      <c r="U16" s="41" t="s">
        <v>175</v>
      </c>
      <c r="V16" s="70" t="e">
        <f>VLOOKUP(U16,'BASE '!$A$4:$H$144,2,0)</f>
        <v>#N/A</v>
      </c>
      <c r="W16" s="159"/>
      <c r="X16" s="159"/>
      <c r="Y16" s="160"/>
      <c r="Z16" s="158" t="e">
        <f>VLOOKUP(U16,'BASE '!$A$4:$H$144,3,0)</f>
        <v>#N/A</v>
      </c>
      <c r="AA16" s="94" t="e">
        <f t="shared" si="3"/>
        <v>#N/A</v>
      </c>
      <c r="AB16" s="95" t="e">
        <f>VLOOKUP(U16,'BASE '!$A$4:$H$144,6,0)*Y16/100</f>
        <v>#N/A</v>
      </c>
      <c r="AC16" s="95" t="e">
        <f>VLOOKUP(U16,'BASE '!$A$4:$H$144,7,0)*Y16/100</f>
        <v>#N/A</v>
      </c>
      <c r="AD16" s="95" t="e">
        <f>VLOOKUP(U16,'BASE '!$A$4:$H$144,8,0)*Y16/100</f>
        <v>#N/A</v>
      </c>
      <c r="AE16" s="96" t="e">
        <f t="shared" si="7"/>
        <v>#N/A</v>
      </c>
      <c r="AF16" s="435"/>
      <c r="AG16" s="1" t="s">
        <v>155</v>
      </c>
      <c r="AH16" s="36" t="e">
        <f>SUMIFS($H$6:$H$165,$D$6:$D$165,AF15,CHOIX,AG16)</f>
        <v>#NAME?</v>
      </c>
      <c r="AI16" s="36" t="e">
        <f>SUMIFS($I$6:$I$165,$D$6:$D$165,AF15,CHOIX,AG16)</f>
        <v>#NAME?</v>
      </c>
      <c r="AJ16" s="36" t="e">
        <f>SUMIFS($J$6:$J$165,$D$6:$D$165,AF15,CHOIX,AG16)</f>
        <v>#NAME?</v>
      </c>
      <c r="AK16" s="36" t="e">
        <f>SUMIFS($K$6:$K$165,$D$6:$D$165,AF15,CHOIX,AG16)</f>
        <v>#NAME?</v>
      </c>
      <c r="AL16" s="36" t="e">
        <f>SUMIFS($L$6:$L$165,$D$6:$D$165,AF15,CHOIX,AG16)</f>
        <v>#NAME?</v>
      </c>
      <c r="AM16" s="36" t="e">
        <f>SUMIFS($M$6:$M$165,$D$6:$D$165,AF15,CHOIX,AG16)</f>
        <v>#NAME?</v>
      </c>
      <c r="AN16" s="1" t="s">
        <v>155</v>
      </c>
      <c r="AO16" s="83"/>
      <c r="AP16" s="63"/>
      <c r="AQ16" s="63"/>
      <c r="AR16" s="63"/>
      <c r="AS16" s="79"/>
      <c r="AT16" s="79"/>
      <c r="AU16" s="55" t="e">
        <f>SUMIFS($O$6:$O$165,$D$6:$D$165,AF15,CHOIX,AG16)</f>
        <v>#NAME?</v>
      </c>
      <c r="AV16" s="80" t="e">
        <f>SUMIFS($Q$6:$Q$165,$D$6:$D$165,AF15,CHOIX,AG16)</f>
        <v>#NAME?</v>
      </c>
      <c r="AW16" s="12"/>
      <c r="AX16" s="12"/>
      <c r="AY16" s="12"/>
      <c r="AZ16" s="201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147">
        <f t="shared" si="8"/>
        <v>0</v>
      </c>
      <c r="BN16" s="147">
        <f t="shared" si="9"/>
        <v>0</v>
      </c>
      <c r="BO16" s="149"/>
      <c r="BP16" s="166"/>
      <c r="BQ16" s="12"/>
      <c r="BR16" s="12"/>
      <c r="BS16" s="431"/>
      <c r="BT16" s="481"/>
      <c r="BU16" s="477"/>
      <c r="BV16" s="545"/>
      <c r="BW16" s="581"/>
      <c r="BX16" s="585"/>
      <c r="BY16" s="497"/>
      <c r="BZ16" s="497"/>
      <c r="CA16" s="543"/>
      <c r="CB16" s="477"/>
      <c r="CC16" s="544"/>
      <c r="CV16" s="64"/>
      <c r="CW16" s="148"/>
      <c r="CX16" s="109"/>
      <c r="CY16" s="132"/>
      <c r="CZ16" s="143"/>
      <c r="DA16" s="63"/>
      <c r="DB16" s="50"/>
      <c r="DC16" s="10"/>
      <c r="DD16" s="10"/>
      <c r="DE16" s="10"/>
      <c r="DF16" s="10"/>
      <c r="DG16" s="10"/>
      <c r="DH16" s="39"/>
      <c r="DI16" s="33">
        <f t="shared" si="4"/>
        <v>0</v>
      </c>
      <c r="DJ16" s="52" t="b">
        <f>IF(AND(CZ16="CLIENT S+L",DA16="HUILE"),(DN16*3333.33+(VLOOKUP(DC16,'BASE '!$I$112:$J$142,2,0)))-((DN16*3333.33)*DB16),IF(AND(CZ16="CLIENT S+L",DA16="LAIT"),((DN16*952.4)-(DN16*952.4)*DB16),IF(CZ16="CLIENT O","OFFERT",IF(AND(DA16="HUILE",CZ16="CLIENT L"),(((VLOOKUP(DC16,'BASE '!$I$112:$J$142,2,0))+(VLOOKUP(DN16,'BASE '!#REF!,2,0)))),IF(AND(DA16="LAIT",CZ16="CLIENT L"),(DN16*952.4),IF(AND(DA16="HUILE",CZ16="CLIENT D"),(DN16*3809.53+(VLOOKUP(DC16,'BASE '!$I$112:$J$142,2,0))),IF(AND(DA16="LAIT",CZ16="CLIENT D"),(DN16*952.4),IF(AND(DA16="HUILE",CZ16="CLIENT S+D"),((DN16*3809.53+(VLOOKUP(DC16,'BASE '!$I$112:$J$142,2,0)))-((DN16*3809.53)*DB16)),IF(AND(DA16="LAIT",CZ16="CLIENT S+D"),((DN16*952.4)-((DN16*952.4)*DB16)),IF(AND(CZ16="CLIENT S",DA16="LAIT"),((DN16*952.4)-((DN16*952.4)*DB16)),IF(AND(DA16="HUILE",CZ16="CLIENT S"),(VLOOKUP(DC16,'BASE '!$I$112:$J$142,2,0)+(VLOOKUP(DN16,'BASE '!#REF!,2,0)))-(DB16*((VLOOKUP(DN16,'BASE '!#REF!,2,0)+(VLOOKUP(DC16,'BASE '!$I$112:$J$142,2,0))))))))))))))))</f>
        <v>0</v>
      </c>
      <c r="DK16" s="52" t="b">
        <f t="shared" si="5"/>
        <v>0</v>
      </c>
      <c r="DL16" s="53" t="b">
        <f t="shared" si="12"/>
        <v>0</v>
      </c>
      <c r="DM16" s="149" t="s">
        <v>175</v>
      </c>
      <c r="DN16" s="116">
        <f t="shared" si="13"/>
        <v>0</v>
      </c>
      <c r="DO16" s="124"/>
      <c r="DP16" s="42"/>
      <c r="DQ16" s="70"/>
      <c r="DR16" s="159"/>
      <c r="DS16" s="159"/>
      <c r="DT16" s="159"/>
      <c r="DU16" s="160"/>
      <c r="DV16" s="95"/>
      <c r="DW16" s="95"/>
      <c r="DX16" s="95"/>
      <c r="DY16" s="96"/>
    </row>
    <row r="17" spans="2:129" ht="15" customHeight="1" x14ac:dyDescent="0.3">
      <c r="B17" s="64"/>
      <c r="C17" s="148"/>
      <c r="D17" s="109"/>
      <c r="E17" s="63"/>
      <c r="F17" s="127"/>
      <c r="G17" s="50"/>
      <c r="H17" s="10"/>
      <c r="I17" s="10"/>
      <c r="J17" s="10"/>
      <c r="K17" s="10"/>
      <c r="L17" s="10"/>
      <c r="M17" s="39"/>
      <c r="N17" s="33">
        <f t="shared" si="0"/>
        <v>0</v>
      </c>
      <c r="O17" s="52" t="b">
        <f>IF(AND(E17="CLIENT S+L",F17="HUILE"),(S17*3333.33+(VLOOKUP(H17,'BASE '!$I$112:$J$142,2,0)))-((S17*3333.33)*G17),IF(AND(E17="CLIENT S+L",F17="LAIT"),((S17*952.4)-(S17*952.4)*G17),IF(E17="CLIENT O","OFFERT",IF(AND(F17="HUILE",E17="CLIENT L"),(((VLOOKUP(H17,'BASE '!$I$112:$J$142,2,0))+(VLOOKUP(S17,'BASE '!#REF!,2,0)))),IF(AND(F17="LAIT",E17="CLIENT L"),(S17*952.4),IF(AND(F17="HUILE",E17="CLIENT D"),(S17*3809.53+(VLOOKUP(H17,'BASE '!$I$112:$J$142,2,0))),IF(AND(F17="LAIT",E17="CLIENT D"),(S17*952.4),IF(AND(F17="HUILE",E17="CLIENT S+D"),((S17*3809.53+(VLOOKUP(H17,'BASE '!$I$112:$J$142,2,0)))-((S17*3809.53)*G17)),IF(AND(F17="LAIT",E17="CLIENT S+D"),((S17*952.4)-((S17*952.4)*G17)),IF(AND(E17="CLIENT S",F17="LAIT"),((S17*952.4)-((S17*952.4)*G17)),IF(AND(F17="HUILE",E17="CLIENT S"),(VLOOKUP(H17,'BASE '!$I$112:$J$142,2,0)+(VLOOKUP(S17,'BASE '!#REF!,2,0)))-(G17*((VLOOKUP(S17,'BASE '!#REF!,2,0)+(VLOOKUP(H17,'BASE '!$I$112:$J$142,2,0))))))))))))))))</f>
        <v>0</v>
      </c>
      <c r="P17" s="52" t="b">
        <f t="shared" si="1"/>
        <v>0</v>
      </c>
      <c r="Q17" s="53" t="b">
        <f t="shared" si="2"/>
        <v>0</v>
      </c>
      <c r="R17" s="152" t="s">
        <v>175</v>
      </c>
      <c r="S17" s="184">
        <f t="shared" si="6"/>
        <v>0</v>
      </c>
      <c r="T17" s="124"/>
      <c r="U17" s="41" t="s">
        <v>175</v>
      </c>
      <c r="V17" s="70" t="e">
        <f>VLOOKUP(U17,'BASE '!$A$4:$H$144,2,0)</f>
        <v>#N/A</v>
      </c>
      <c r="W17" s="159"/>
      <c r="X17" s="159"/>
      <c r="Y17" s="160"/>
      <c r="Z17" s="158" t="e">
        <f>VLOOKUP(U17,'BASE '!$A$4:$H$144,3,0)</f>
        <v>#N/A</v>
      </c>
      <c r="AA17" s="94" t="e">
        <f t="shared" si="3"/>
        <v>#N/A</v>
      </c>
      <c r="AB17" s="95" t="e">
        <f>VLOOKUP(U17,'BASE '!$A$4:$H$144,6,0)*Y17/100</f>
        <v>#N/A</v>
      </c>
      <c r="AC17" s="95" t="e">
        <f>VLOOKUP(U17,'BASE '!$A$4:$H$144,7,0)*Y17/100</f>
        <v>#N/A</v>
      </c>
      <c r="AD17" s="95" t="e">
        <f>VLOOKUP(U17,'BASE '!$A$4:$H$144,8,0)*Y17/100</f>
        <v>#N/A</v>
      </c>
      <c r="AE17" s="96" t="e">
        <f t="shared" si="7"/>
        <v>#N/A</v>
      </c>
      <c r="AF17" s="435" t="s">
        <v>131</v>
      </c>
      <c r="AG17" s="91" t="s">
        <v>157</v>
      </c>
      <c r="AH17" s="36" t="e">
        <f>SUMIFS($H$6:$H$165,$D$6:$D$165,AF17,CHOIX,AG17)</f>
        <v>#NAME?</v>
      </c>
      <c r="AI17" s="36" t="e">
        <f>SUMIFS($I$6:$I$165,$D$6:$D$165,AF17,CHOIX,AG17)</f>
        <v>#NAME?</v>
      </c>
      <c r="AJ17" s="36" t="e">
        <f>SUMIFS($J$6:$J$165,$D$6:$D$165,AF17,CHOIX,AG17)</f>
        <v>#NAME?</v>
      </c>
      <c r="AK17" s="36" t="e">
        <f>SUMIFS($K$6:$K$165,$D$6:$D$165,AF17,CHOIX,AG17)</f>
        <v>#NAME?</v>
      </c>
      <c r="AL17" s="36" t="e">
        <f>SUMIFS($L$6:$L$165,$D$6:$D$165,AF17,CHOIX,AG17)</f>
        <v>#NAME?</v>
      </c>
      <c r="AM17" s="36" t="e">
        <f>SUMIFS($M$6:$M$165,$D$6:$D$165,AF17,CHOIX,AG17)</f>
        <v>#NAME?</v>
      </c>
      <c r="AN17" s="91" t="s">
        <v>157</v>
      </c>
      <c r="AO17" s="83"/>
      <c r="AP17" s="63"/>
      <c r="AQ17" s="63"/>
      <c r="AR17" s="63"/>
      <c r="AS17" s="79"/>
      <c r="AT17" s="79"/>
      <c r="AU17" s="55" t="e">
        <f>SUMIFS($O$6:$O$165,$D$6:$D$165,AF17,CHOIX,AG17)</f>
        <v>#NAME?</v>
      </c>
      <c r="AV17" s="80" t="e">
        <f>SUMIFS($Q$6:$Q$165,$D$6:$D$165,AF17,CHOIX,AG17)</f>
        <v>#NAME?</v>
      </c>
      <c r="AW17" s="12"/>
      <c r="AX17" s="12"/>
      <c r="AY17" s="12"/>
      <c r="AZ17" s="201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147">
        <f t="shared" si="8"/>
        <v>0</v>
      </c>
      <c r="BN17" s="147">
        <f t="shared" si="9"/>
        <v>0</v>
      </c>
      <c r="BO17" s="149"/>
      <c r="BP17" s="166"/>
      <c r="BQ17" s="12"/>
      <c r="BR17" s="12"/>
      <c r="BS17" s="476" t="s">
        <v>122</v>
      </c>
      <c r="BT17" s="481"/>
      <c r="BU17" s="477"/>
      <c r="BV17" s="545">
        <f t="shared" ref="BV17" si="22">BU17*BT17</f>
        <v>0</v>
      </c>
      <c r="BW17" s="591" t="s">
        <v>155</v>
      </c>
      <c r="BX17" s="576">
        <v>25</v>
      </c>
      <c r="BY17" s="497">
        <f>BJ71</f>
        <v>0</v>
      </c>
      <c r="BZ17" s="496" t="e">
        <f>I168</f>
        <v>#NAME?</v>
      </c>
      <c r="CA17" s="542"/>
      <c r="CB17" s="477">
        <v>250</v>
      </c>
      <c r="CC17" s="544">
        <f t="shared" ref="CC17" si="23">BY17*CB17</f>
        <v>0</v>
      </c>
      <c r="CV17" s="64"/>
      <c r="CW17" s="148"/>
      <c r="CX17" s="109"/>
      <c r="CY17" s="132"/>
      <c r="CZ17" s="143"/>
      <c r="DA17" s="63"/>
      <c r="DB17" s="50"/>
      <c r="DC17" s="10"/>
      <c r="DD17" s="10"/>
      <c r="DE17" s="10"/>
      <c r="DF17" s="10"/>
      <c r="DG17" s="10"/>
      <c r="DH17" s="39"/>
      <c r="DI17" s="33">
        <f t="shared" si="4"/>
        <v>0</v>
      </c>
      <c r="DJ17" s="52" t="b">
        <f>IF(AND(CZ17="CLIENT S+L",DA17="HUILE"),(DN17*3333.33+(VLOOKUP(DC17,'BASE '!$I$112:$J$142,2,0)))-((DN17*3333.33)*DB17),IF(AND(CZ17="CLIENT S+L",DA17="LAIT"),((DN17*952.4)-(DN17*952.4)*DB17),IF(CZ17="CLIENT O","OFFERT",IF(AND(DA17="HUILE",CZ17="CLIENT L"),(((VLOOKUP(DC17,'BASE '!$I$112:$J$142,2,0))+(VLOOKUP(DN17,'BASE '!#REF!,2,0)))),IF(AND(DA17="LAIT",CZ17="CLIENT L"),(DN17*952.4),IF(AND(DA17="HUILE",CZ17="CLIENT D"),(DN17*3809.53+(VLOOKUP(DC17,'BASE '!$I$112:$J$142,2,0))),IF(AND(DA17="LAIT",CZ17="CLIENT D"),(DN17*952.4),IF(AND(DA17="HUILE",CZ17="CLIENT S+D"),((DN17*3809.53+(VLOOKUP(DC17,'BASE '!$I$112:$J$142,2,0)))-((DN17*3809.53)*DB17)),IF(AND(DA17="LAIT",CZ17="CLIENT S+D"),((DN17*952.4)-((DN17*952.4)*DB17)),IF(AND(CZ17="CLIENT S",DA17="LAIT"),((DN17*952.4)-((DN17*952.4)*DB17)),IF(AND(DA17="HUILE",CZ17="CLIENT S"),(VLOOKUP(DC17,'BASE '!$I$112:$J$142,2,0)+(VLOOKUP(DN17,'BASE '!#REF!,2,0)))-(DB17*((VLOOKUP(DN17,'BASE '!#REF!,2,0)+(VLOOKUP(DC17,'BASE '!$I$112:$J$142,2,0))))))))))))))))</f>
        <v>0</v>
      </c>
      <c r="DK17" s="52" t="b">
        <f t="shared" si="5"/>
        <v>0</v>
      </c>
      <c r="DL17" s="53" t="b">
        <f t="shared" si="12"/>
        <v>0</v>
      </c>
      <c r="DM17" s="149"/>
      <c r="DN17" s="116">
        <f t="shared" si="13"/>
        <v>0</v>
      </c>
      <c r="DO17" s="124"/>
      <c r="DP17" s="42"/>
      <c r="DQ17" s="70"/>
      <c r="DR17" s="159"/>
      <c r="DS17" s="159"/>
      <c r="DT17" s="159"/>
      <c r="DU17" s="160"/>
      <c r="DV17" s="95"/>
      <c r="DW17" s="95"/>
      <c r="DX17" s="95"/>
      <c r="DY17" s="96"/>
    </row>
    <row r="18" spans="2:129" ht="15" customHeight="1" x14ac:dyDescent="0.3">
      <c r="B18" s="64"/>
      <c r="C18" s="148"/>
      <c r="D18" s="109"/>
      <c r="E18" s="63"/>
      <c r="F18" s="127"/>
      <c r="G18" s="50"/>
      <c r="H18" s="10"/>
      <c r="I18" s="10"/>
      <c r="J18" s="10"/>
      <c r="K18" s="10"/>
      <c r="L18" s="10"/>
      <c r="M18" s="39"/>
      <c r="N18" s="33">
        <f t="shared" si="0"/>
        <v>0</v>
      </c>
      <c r="O18" s="52" t="b">
        <f>IF(AND(E18="CLIENT S+L",F18="HUILE"),(S18*3333.33+(VLOOKUP(H18,'BASE '!$I$112:$J$142,2,0)))-((S18*3333.33)*G18),IF(AND(E18="CLIENT S+L",F18="LAIT"),((S18*952.4)-(S18*952.4)*G18),IF(E18="CLIENT O","OFFERT",IF(AND(F18="HUILE",E18="CLIENT L"),(((VLOOKUP(H18,'BASE '!$I$112:$J$142,2,0))+(VLOOKUP(S18,'BASE '!#REF!,2,0)))),IF(AND(F18="LAIT",E18="CLIENT L"),(S18*952.4),IF(AND(F18="HUILE",E18="CLIENT D"),(S18*3809.53+(VLOOKUP(H18,'BASE '!$I$112:$J$142,2,0))),IF(AND(F18="LAIT",E18="CLIENT D"),(S18*952.4),IF(AND(F18="HUILE",E18="CLIENT S+D"),((S18*3809.53+(VLOOKUP(H18,'BASE '!$I$112:$J$142,2,0)))-((S18*3809.53)*G18)),IF(AND(F18="LAIT",E18="CLIENT S+D"),((S18*952.4)-((S18*952.4)*G18)),IF(AND(E18="CLIENT S",F18="LAIT"),((S18*952.4)-((S18*952.4)*G18)),IF(AND(F18="HUILE",E18="CLIENT S"),(VLOOKUP(H18,'BASE '!$I$112:$J$142,2,0)+(VLOOKUP(S18,'BASE '!#REF!,2,0)))-(G18*((VLOOKUP(S18,'BASE '!#REF!,2,0)+(VLOOKUP(H18,'BASE '!$I$112:$J$142,2,0))))))))))))))))</f>
        <v>0</v>
      </c>
      <c r="P18" s="52" t="b">
        <f t="shared" si="1"/>
        <v>0</v>
      </c>
      <c r="Q18" s="53" t="b">
        <f t="shared" si="2"/>
        <v>0</v>
      </c>
      <c r="R18" s="152" t="s">
        <v>175</v>
      </c>
      <c r="S18" s="184">
        <f t="shared" si="6"/>
        <v>0</v>
      </c>
      <c r="T18" s="124"/>
      <c r="U18" s="41" t="s">
        <v>175</v>
      </c>
      <c r="V18" s="70" t="e">
        <f>VLOOKUP(U18,'BASE '!$A$4:$H$144,2,0)</f>
        <v>#N/A</v>
      </c>
      <c r="W18" s="159"/>
      <c r="X18" s="159"/>
      <c r="Y18" s="160"/>
      <c r="Z18" s="158" t="e">
        <f>VLOOKUP(U18,'BASE '!$A$4:$H$144,3,0)</f>
        <v>#N/A</v>
      </c>
      <c r="AA18" s="94" t="e">
        <f t="shared" si="3"/>
        <v>#N/A</v>
      </c>
      <c r="AB18" s="95" t="e">
        <f>VLOOKUP(U18,'BASE '!$A$4:$H$144,6,0)*Y18/100</f>
        <v>#N/A</v>
      </c>
      <c r="AC18" s="95" t="e">
        <f>VLOOKUP(U18,'BASE '!$A$4:$H$144,7,0)*Y18/100</f>
        <v>#N/A</v>
      </c>
      <c r="AD18" s="95" t="e">
        <f>VLOOKUP(U18,'BASE '!$A$4:$H$144,8,0)*Y18/100</f>
        <v>#N/A</v>
      </c>
      <c r="AE18" s="96" t="e">
        <f t="shared" si="7"/>
        <v>#N/A</v>
      </c>
      <c r="AF18" s="435"/>
      <c r="AG18" s="1" t="s">
        <v>155</v>
      </c>
      <c r="AH18" s="36" t="e">
        <f>SUMIFS($H$6:$H$165,$D$6:$D$165,AF17,CHOIX,AG18)</f>
        <v>#NAME?</v>
      </c>
      <c r="AI18" s="36" t="e">
        <f>SUMIFS($I$6:$I$165,$D$6:$D$165,AF17,CHOIX,AG18)</f>
        <v>#NAME?</v>
      </c>
      <c r="AJ18" s="36" t="e">
        <f>SUMIFS($J$6:$J$165,$D$6:$D$165,AF17,CHOIX,AG18)</f>
        <v>#NAME?</v>
      </c>
      <c r="AK18" s="36" t="e">
        <f>SUMIFS($K$6:$K$165,$D$6:$D$165,AF17,CHOIX,AG18)</f>
        <v>#NAME?</v>
      </c>
      <c r="AL18" s="36" t="e">
        <f>SUMIFS($L$6:$L$165,$D$6:$D$165,AF17,CHOIX,AG18)</f>
        <v>#NAME?</v>
      </c>
      <c r="AM18" s="36" t="e">
        <f>SUMIFS($M$6:$M$165,$D$6:$D$165,AF17,CHOIX,AG18)</f>
        <v>#NAME?</v>
      </c>
      <c r="AN18" s="1" t="s">
        <v>155</v>
      </c>
      <c r="AO18" s="83"/>
      <c r="AP18" s="63"/>
      <c r="AQ18" s="63"/>
      <c r="AR18" s="63"/>
      <c r="AS18" s="79"/>
      <c r="AT18" s="79"/>
      <c r="AU18" s="55" t="e">
        <f>SUMIFS($O$6:$O$165,$D$6:$D$165,AF17,CHOIX,AG18)</f>
        <v>#NAME?</v>
      </c>
      <c r="AV18" s="80" t="e">
        <f>SUMIFS($Q$6:$Q$165,$D$6:$D$165,AF17,CHOIX,AG18)</f>
        <v>#NAME?</v>
      </c>
      <c r="AW18" s="12"/>
      <c r="AX18" s="12"/>
      <c r="AY18" s="12"/>
      <c r="AZ18" s="201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147">
        <f t="shared" si="8"/>
        <v>0</v>
      </c>
      <c r="BN18" s="147">
        <f t="shared" si="9"/>
        <v>0</v>
      </c>
      <c r="BO18" s="149"/>
      <c r="BP18" s="166"/>
      <c r="BQ18" s="12"/>
      <c r="BR18" s="12"/>
      <c r="BS18" s="476"/>
      <c r="BT18" s="481"/>
      <c r="BU18" s="477"/>
      <c r="BV18" s="545"/>
      <c r="BW18" s="580"/>
      <c r="BX18" s="576"/>
      <c r="BY18" s="497"/>
      <c r="BZ18" s="497"/>
      <c r="CA18" s="543"/>
      <c r="CB18" s="477"/>
      <c r="CC18" s="544"/>
      <c r="CV18" s="64"/>
      <c r="CW18" s="148"/>
      <c r="CX18" s="109"/>
      <c r="CY18" s="132"/>
      <c r="CZ18" s="143"/>
      <c r="DA18" s="63"/>
      <c r="DB18" s="50"/>
      <c r="DC18" s="10"/>
      <c r="DD18" s="10"/>
      <c r="DE18" s="10"/>
      <c r="DF18" s="10"/>
      <c r="DG18" s="10"/>
      <c r="DH18" s="39"/>
      <c r="DI18" s="33">
        <f t="shared" si="4"/>
        <v>0</v>
      </c>
      <c r="DJ18" s="52" t="b">
        <f>IF(AND(CZ18="CLIENT S+L",DA18="HUILE"),(DN18*3333.33+(VLOOKUP(DC18,'BASE '!$I$112:$J$142,2,0)))-((DN18*3333.33)*DB18),IF(AND(CZ18="CLIENT S+L",DA18="LAIT"),((DN18*952.4)-(DN18*952.4)*DB18),IF(CZ18="CLIENT O","OFFERT",IF(AND(DA18="HUILE",CZ18="CLIENT L"),(((VLOOKUP(DC18,'BASE '!$I$112:$J$142,2,0))+(VLOOKUP(DN18,'BASE '!#REF!,2,0)))),IF(AND(DA18="LAIT",CZ18="CLIENT L"),(DN18*952.4),IF(AND(DA18="HUILE",CZ18="CLIENT D"),(DN18*3809.53+(VLOOKUP(DC18,'BASE '!$I$112:$J$142,2,0))),IF(AND(DA18="LAIT",CZ18="CLIENT D"),(DN18*952.4),IF(AND(DA18="HUILE",CZ18="CLIENT S+D"),((DN18*3809.53+(VLOOKUP(DC18,'BASE '!$I$112:$J$142,2,0)))-((DN18*3809.53)*DB18)),IF(AND(DA18="LAIT",CZ18="CLIENT S+D"),((DN18*952.4)-((DN18*952.4)*DB18)),IF(AND(CZ18="CLIENT S",DA18="LAIT"),((DN18*952.4)-((DN18*952.4)*DB18)),IF(AND(DA18="HUILE",CZ18="CLIENT S"),(VLOOKUP(DC18,'BASE '!$I$112:$J$142,2,0)+(VLOOKUP(DN18,'BASE '!#REF!,2,0)))-(DB18*((VLOOKUP(DN18,'BASE '!#REF!,2,0)+(VLOOKUP(DC18,'BASE '!$I$112:$J$142,2,0))))))))))))))))</f>
        <v>0</v>
      </c>
      <c r="DK18" s="52" t="b">
        <f t="shared" si="5"/>
        <v>0</v>
      </c>
      <c r="DL18" s="53" t="b">
        <f t="shared" si="12"/>
        <v>0</v>
      </c>
      <c r="DM18" s="149"/>
      <c r="DN18" s="116">
        <f t="shared" si="13"/>
        <v>0</v>
      </c>
      <c r="DO18" s="124"/>
      <c r="DP18" s="42"/>
      <c r="DQ18" s="70"/>
      <c r="DR18" s="159"/>
      <c r="DS18" s="159"/>
      <c r="DT18" s="159"/>
      <c r="DU18" s="160"/>
      <c r="DV18" s="95"/>
      <c r="DW18" s="95"/>
      <c r="DX18" s="95"/>
      <c r="DY18" s="96"/>
    </row>
    <row r="19" spans="2:129" ht="15" customHeight="1" x14ac:dyDescent="0.3">
      <c r="B19" s="64"/>
      <c r="C19" s="148"/>
      <c r="D19" s="109"/>
      <c r="E19" s="63"/>
      <c r="F19" s="127"/>
      <c r="G19" s="50"/>
      <c r="H19" s="10"/>
      <c r="I19" s="10"/>
      <c r="J19" s="10"/>
      <c r="K19" s="10"/>
      <c r="L19" s="10"/>
      <c r="M19" s="39"/>
      <c r="N19" s="33">
        <f t="shared" si="0"/>
        <v>0</v>
      </c>
      <c r="O19" s="52" t="b">
        <f>IF(AND(E19="CLIENT S+L",F19="HUILE"),(S19*3333.33+(VLOOKUP(H19,'BASE '!$I$112:$J$142,2,0)))-((S19*3333.33)*G19),IF(AND(E19="CLIENT S+L",F19="LAIT"),((S19*952.4)-(S19*952.4)*G19),IF(E19="CLIENT O","OFFERT",IF(AND(F19="HUILE",E19="CLIENT L"),(((VLOOKUP(H19,'BASE '!$I$112:$J$142,2,0))+(VLOOKUP(S19,'BASE '!#REF!,2,0)))),IF(AND(F19="LAIT",E19="CLIENT L"),(S19*952.4),IF(AND(F19="HUILE",E19="CLIENT D"),(S19*3809.53+(VLOOKUP(H19,'BASE '!$I$112:$J$142,2,0))),IF(AND(F19="LAIT",E19="CLIENT D"),(S19*952.4),IF(AND(F19="HUILE",E19="CLIENT S+D"),((S19*3809.53+(VLOOKUP(H19,'BASE '!$I$112:$J$142,2,0)))-((S19*3809.53)*G19)),IF(AND(F19="LAIT",E19="CLIENT S+D"),((S19*952.4)-((S19*952.4)*G19)),IF(AND(E19="CLIENT S",F19="LAIT"),((S19*952.4)-((S19*952.4)*G19)),IF(AND(F19="HUILE",E19="CLIENT S"),(VLOOKUP(H19,'BASE '!$I$112:$J$142,2,0)+(VLOOKUP(S19,'BASE '!#REF!,2,0)))-(G19*((VLOOKUP(S19,'BASE '!#REF!,2,0)+(VLOOKUP(H19,'BASE '!$I$112:$J$142,2,0))))))))))))))))</f>
        <v>0</v>
      </c>
      <c r="P19" s="52" t="b">
        <f t="shared" si="1"/>
        <v>0</v>
      </c>
      <c r="Q19" s="53" t="b">
        <f t="shared" si="2"/>
        <v>0</v>
      </c>
      <c r="R19" s="152" t="s">
        <v>175</v>
      </c>
      <c r="S19" s="184">
        <f t="shared" si="6"/>
        <v>0</v>
      </c>
      <c r="T19" s="124"/>
      <c r="U19" s="41" t="s">
        <v>175</v>
      </c>
      <c r="V19" s="70" t="e">
        <f>VLOOKUP(U19,'BASE '!$A$4:$H$144,2,0)</f>
        <v>#N/A</v>
      </c>
      <c r="W19" s="159"/>
      <c r="X19" s="159"/>
      <c r="Y19" s="160"/>
      <c r="Z19" s="158" t="e">
        <f>VLOOKUP(U19,'BASE '!$A$4:$H$144,3,0)</f>
        <v>#N/A</v>
      </c>
      <c r="AA19" s="94" t="e">
        <f t="shared" si="3"/>
        <v>#N/A</v>
      </c>
      <c r="AB19" s="95" t="e">
        <f>VLOOKUP(U19,'BASE '!$A$4:$H$144,6,0)*Y19/100</f>
        <v>#N/A</v>
      </c>
      <c r="AC19" s="95" t="e">
        <f>VLOOKUP(U19,'BASE '!$A$4:$H$144,7,0)*Y19/100</f>
        <v>#N/A</v>
      </c>
      <c r="AD19" s="95" t="e">
        <f>VLOOKUP(U19,'BASE '!$A$4:$H$144,8,0)*Y19/100</f>
        <v>#N/A</v>
      </c>
      <c r="AE19" s="96" t="e">
        <f t="shared" si="7"/>
        <v>#N/A</v>
      </c>
      <c r="AF19" s="435" t="s">
        <v>20</v>
      </c>
      <c r="AG19" s="91" t="s">
        <v>157</v>
      </c>
      <c r="AH19" s="36" t="e">
        <f>SUMIFS($H$6:$H$165,$D$6:$D$165,AF19,CHOIX,AG19)</f>
        <v>#NAME?</v>
      </c>
      <c r="AI19" s="36" t="e">
        <f>SUMIFS($I$6:$I$165,$D$6:$D$165,AF19,CHOIX,AG19)</f>
        <v>#NAME?</v>
      </c>
      <c r="AJ19" s="36" t="e">
        <f>SUMIFS($J$6:$J$165,$D$6:$D$165,AF19,CHOIX,AG19)</f>
        <v>#NAME?</v>
      </c>
      <c r="AK19" s="36" t="e">
        <f>SUMIFS($K$6:$K$165,$D$6:$D$165,AF19,CHOIX,AG19)</f>
        <v>#NAME?</v>
      </c>
      <c r="AL19" s="36" t="e">
        <f>SUMIFS($L$6:$L$165,$D$6:$D$165,AF19,CHOIX,AG19)</f>
        <v>#NAME?</v>
      </c>
      <c r="AM19" s="36" t="e">
        <f>SUMIFS($M$6:$M$165,$D$6:$D$165,AF19,CHOIX,AG19)</f>
        <v>#NAME?</v>
      </c>
      <c r="AN19" s="91" t="s">
        <v>157</v>
      </c>
      <c r="AO19" s="83"/>
      <c r="AP19" s="63"/>
      <c r="AQ19" s="63"/>
      <c r="AR19" s="63"/>
      <c r="AS19" s="79"/>
      <c r="AT19" s="79"/>
      <c r="AU19" s="55" t="e">
        <f>SUMIFS($O$6:$O$165,$D$6:$D$165,AF19,CHOIX,AG19)</f>
        <v>#NAME?</v>
      </c>
      <c r="AV19" s="80" t="e">
        <f>SUMIFS($Q$6:$Q$165,$D$6:$D$165,AF19,CHOIX,AG19)</f>
        <v>#NAME?</v>
      </c>
      <c r="AW19" s="12"/>
      <c r="AX19" s="12"/>
      <c r="AY19" s="12"/>
      <c r="AZ19" s="201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147">
        <f t="shared" si="8"/>
        <v>0</v>
      </c>
      <c r="BN19" s="147">
        <f t="shared" si="9"/>
        <v>0</v>
      </c>
      <c r="BO19" s="149"/>
      <c r="BP19" s="166"/>
      <c r="BQ19" s="12"/>
      <c r="BR19" s="12"/>
      <c r="BS19" s="476" t="s">
        <v>15</v>
      </c>
      <c r="BT19" s="481"/>
      <c r="BU19" s="475">
        <v>4.016</v>
      </c>
      <c r="BV19" s="545">
        <f t="shared" ref="BV19" si="24">BU19*BT19</f>
        <v>0</v>
      </c>
      <c r="BW19" s="580"/>
      <c r="BX19" s="576">
        <v>50</v>
      </c>
      <c r="BY19" s="497">
        <f>BK72</f>
        <v>0</v>
      </c>
      <c r="BZ19" s="496" t="e">
        <f>J168</f>
        <v>#NAME?</v>
      </c>
      <c r="CA19" s="542"/>
      <c r="CB19" s="475">
        <v>500</v>
      </c>
      <c r="CC19" s="544">
        <f t="shared" ref="CC19" si="25">BY19*CB19</f>
        <v>0</v>
      </c>
      <c r="CV19" s="64"/>
      <c r="CW19" s="148"/>
      <c r="CX19" s="109"/>
      <c r="CY19" s="132"/>
      <c r="CZ19" s="143"/>
      <c r="DA19" s="63"/>
      <c r="DB19" s="50"/>
      <c r="DC19" s="10"/>
      <c r="DD19" s="10"/>
      <c r="DE19" s="10"/>
      <c r="DF19" s="10"/>
      <c r="DG19" s="10"/>
      <c r="DH19" s="39"/>
      <c r="DI19" s="33">
        <f t="shared" si="4"/>
        <v>0</v>
      </c>
      <c r="DJ19" s="52" t="b">
        <f>IF(AND(CZ19="CLIENT S+L",DA19="HUILE"),(DN19*3333.33+(VLOOKUP(DC19,'BASE '!$I$112:$J$142,2,0)))-((DN19*3333.33)*DB19),IF(AND(CZ19="CLIENT S+L",DA19="LAIT"),((DN19*952.4)-(DN19*952.4)*DB19),IF(CZ19="CLIENT O","OFFERT",IF(AND(DA19="HUILE",CZ19="CLIENT L"),(((VLOOKUP(DC19,'BASE '!$I$112:$J$142,2,0))+(VLOOKUP(DN19,'BASE '!#REF!,2,0)))),IF(AND(DA19="LAIT",CZ19="CLIENT L"),(DN19*952.4),IF(AND(DA19="HUILE",CZ19="CLIENT D"),(DN19*3809.53+(VLOOKUP(DC19,'BASE '!$I$112:$J$142,2,0))),IF(AND(DA19="LAIT",CZ19="CLIENT D"),(DN19*952.4),IF(AND(DA19="HUILE",CZ19="CLIENT S+D"),((DN19*3809.53+(VLOOKUP(DC19,'BASE '!$I$112:$J$142,2,0)))-((DN19*3809.53)*DB19)),IF(AND(DA19="LAIT",CZ19="CLIENT S+D"),((DN19*952.4)-((DN19*952.4)*DB19)),IF(AND(CZ19="CLIENT S",DA19="LAIT"),((DN19*952.4)-((DN19*952.4)*DB19)),IF(AND(DA19="HUILE",CZ19="CLIENT S"),(VLOOKUP(DC19,'BASE '!$I$112:$J$142,2,0)+(VLOOKUP(DN19,'BASE '!#REF!,2,0)))-(DB19*((VLOOKUP(DN19,'BASE '!#REF!,2,0)+(VLOOKUP(DC19,'BASE '!$I$112:$J$142,2,0))))))))))))))))</f>
        <v>0</v>
      </c>
      <c r="DK19" s="52" t="b">
        <f t="shared" si="5"/>
        <v>0</v>
      </c>
      <c r="DL19" s="53" t="b">
        <f t="shared" si="12"/>
        <v>0</v>
      </c>
      <c r="DM19" s="149"/>
      <c r="DN19" s="116">
        <f t="shared" si="13"/>
        <v>0</v>
      </c>
      <c r="DO19" s="124"/>
      <c r="DP19" s="42"/>
      <c r="DQ19" s="70"/>
      <c r="DR19" s="159"/>
      <c r="DS19" s="159"/>
      <c r="DT19" s="159"/>
      <c r="DU19" s="160"/>
      <c r="DV19" s="95"/>
      <c r="DW19" s="95"/>
      <c r="DX19" s="95"/>
      <c r="DY19" s="96"/>
    </row>
    <row r="20" spans="2:129" ht="15" customHeight="1" x14ac:dyDescent="0.3">
      <c r="B20" s="64"/>
      <c r="C20" s="148"/>
      <c r="D20" s="109"/>
      <c r="E20" s="63"/>
      <c r="F20" s="127"/>
      <c r="G20" s="50"/>
      <c r="H20" s="10"/>
      <c r="I20" s="10"/>
      <c r="J20" s="10"/>
      <c r="K20" s="10"/>
      <c r="L20" s="10"/>
      <c r="M20" s="39"/>
      <c r="N20" s="33">
        <f t="shared" si="0"/>
        <v>0</v>
      </c>
      <c r="O20" s="52" t="b">
        <f>IF(AND(E20="CLIENT S+L",F20="HUILE"),(S20*3333.33+(VLOOKUP(H20,'BASE '!$I$112:$J$142,2,0)))-((S20*3333.33)*G20),IF(AND(E20="CLIENT S+L",F20="LAIT"),((S20*952.4)-(S20*952.4)*G20),IF(E20="CLIENT O","OFFERT",IF(AND(F20="HUILE",E20="CLIENT L"),(((VLOOKUP(H20,'BASE '!$I$112:$J$142,2,0))+(VLOOKUP(S20,'BASE '!#REF!,2,0)))),IF(AND(F20="LAIT",E20="CLIENT L"),(S20*952.4),IF(AND(F20="HUILE",E20="CLIENT D"),(S20*3809.53+(VLOOKUP(H20,'BASE '!$I$112:$J$142,2,0))),IF(AND(F20="LAIT",E20="CLIENT D"),(S20*952.4),IF(AND(F20="HUILE",E20="CLIENT S+D"),((S20*3809.53+(VLOOKUP(H20,'BASE '!$I$112:$J$142,2,0)))-((S20*3809.53)*G20)),IF(AND(F20="LAIT",E20="CLIENT S+D"),((S20*952.4)-((S20*952.4)*G20)),IF(AND(E20="CLIENT S",F20="LAIT"),((S20*952.4)-((S20*952.4)*G20)),IF(AND(F20="HUILE",E20="CLIENT S"),(VLOOKUP(H20,'BASE '!$I$112:$J$142,2,0)+(VLOOKUP(S20,'BASE '!#REF!,2,0)))-(G20*((VLOOKUP(S20,'BASE '!#REF!,2,0)+(VLOOKUP(H20,'BASE '!$I$112:$J$142,2,0))))))))))))))))</f>
        <v>0</v>
      </c>
      <c r="P20" s="52" t="b">
        <f t="shared" si="1"/>
        <v>0</v>
      </c>
      <c r="Q20" s="53" t="b">
        <f t="shared" si="2"/>
        <v>0</v>
      </c>
      <c r="R20" s="152" t="s">
        <v>175</v>
      </c>
      <c r="S20" s="184">
        <f t="shared" si="6"/>
        <v>0</v>
      </c>
      <c r="T20" s="124"/>
      <c r="U20" s="41" t="s">
        <v>175</v>
      </c>
      <c r="V20" s="70" t="e">
        <f>VLOOKUP(U20,'BASE '!$A$4:$H$144,2,0)</f>
        <v>#N/A</v>
      </c>
      <c r="W20" s="159"/>
      <c r="X20" s="159"/>
      <c r="Y20" s="160"/>
      <c r="Z20" s="158" t="e">
        <f>VLOOKUP(U20,'BASE '!$A$4:$H$144,3,0)</f>
        <v>#N/A</v>
      </c>
      <c r="AA20" s="94" t="e">
        <f t="shared" si="3"/>
        <v>#N/A</v>
      </c>
      <c r="AB20" s="95" t="e">
        <f>VLOOKUP(U20,'BASE '!$A$4:$H$144,6,0)*Y20/100</f>
        <v>#N/A</v>
      </c>
      <c r="AC20" s="95" t="e">
        <f>VLOOKUP(U20,'BASE '!$A$4:$H$144,7,0)*Y20/100</f>
        <v>#N/A</v>
      </c>
      <c r="AD20" s="95" t="e">
        <f>VLOOKUP(U20,'BASE '!$A$4:$H$144,8,0)*Y20/100</f>
        <v>#N/A</v>
      </c>
      <c r="AE20" s="96" t="e">
        <f t="shared" si="7"/>
        <v>#N/A</v>
      </c>
      <c r="AF20" s="435"/>
      <c r="AG20" s="1" t="s">
        <v>155</v>
      </c>
      <c r="AH20" s="36" t="e">
        <f>SUMIFS($H$6:$H$165,$D$6:$D$165,AF19,CHOIX,AG20)</f>
        <v>#NAME?</v>
      </c>
      <c r="AI20" s="36" t="e">
        <f>SUMIFS($I$6:$I$165,$D$6:$D$165,AF19,CHOIX,AG20)</f>
        <v>#NAME?</v>
      </c>
      <c r="AJ20" s="36" t="e">
        <f>SUMIFS($J$6:$J$165,$D$6:$D$165,AF19,CHOIX,AG20)</f>
        <v>#NAME?</v>
      </c>
      <c r="AK20" s="36" t="e">
        <f>SUMIFS($K$6:$K$165,$D$6:$D$165,AF19,CHOIX,AG20)</f>
        <v>#NAME?</v>
      </c>
      <c r="AL20" s="36" t="e">
        <f>SUMIFS($L$6:$L$165,$D$6:$D$165,AF19,CHOIX,AG20)</f>
        <v>#NAME?</v>
      </c>
      <c r="AM20" s="36" t="e">
        <f>SUMIFS($M$6:$M$165,$D$6:$D$165,AF19,CHOIX,AG20)</f>
        <v>#NAME?</v>
      </c>
      <c r="AN20" s="1" t="s">
        <v>155</v>
      </c>
      <c r="AO20" s="83"/>
      <c r="AP20" s="63"/>
      <c r="AQ20" s="63"/>
      <c r="AR20" s="63"/>
      <c r="AS20" s="79"/>
      <c r="AT20" s="79"/>
      <c r="AU20" s="55" t="e">
        <f>SUMIFS($O$6:$O$165,$D$6:$D$165,AF19,CHOIX,AG20)</f>
        <v>#NAME?</v>
      </c>
      <c r="AV20" s="80" t="e">
        <f>SUMIFS($Q$6:$Q$165,$D$6:$D$165,AF19,CHOIX,AG20)</f>
        <v>#NAME?</v>
      </c>
      <c r="AW20" s="12"/>
      <c r="AX20" s="12"/>
      <c r="AY20" s="12"/>
      <c r="AZ20" s="201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147">
        <f t="shared" si="8"/>
        <v>0</v>
      </c>
      <c r="BN20" s="147">
        <f t="shared" si="9"/>
        <v>0</v>
      </c>
      <c r="BO20" s="149"/>
      <c r="BP20" s="166"/>
      <c r="BQ20" s="12"/>
      <c r="BR20" s="12"/>
      <c r="BS20" s="476"/>
      <c r="BT20" s="481"/>
      <c r="BU20" s="475"/>
      <c r="BV20" s="545"/>
      <c r="BW20" s="580"/>
      <c r="BX20" s="576"/>
      <c r="BY20" s="497"/>
      <c r="BZ20" s="497"/>
      <c r="CA20" s="543"/>
      <c r="CB20" s="475"/>
      <c r="CC20" s="544"/>
      <c r="CV20" s="64"/>
      <c r="CW20" s="148"/>
      <c r="CX20" s="109"/>
      <c r="CY20" s="132"/>
      <c r="CZ20" s="143"/>
      <c r="DA20" s="63"/>
      <c r="DB20" s="50"/>
      <c r="DC20" s="10"/>
      <c r="DD20" s="10"/>
      <c r="DE20" s="10"/>
      <c r="DF20" s="10"/>
      <c r="DG20" s="10"/>
      <c r="DH20" s="39"/>
      <c r="DI20" s="33">
        <f t="shared" si="4"/>
        <v>0</v>
      </c>
      <c r="DJ20" s="52" t="b">
        <f>IF(AND(CZ20="CLIENT S+L",DA20="HUILE"),(DN20*3333.33+(VLOOKUP(DC20,'BASE '!$I$112:$J$142,2,0)))-((DN20*3333.33)*DB20),IF(AND(CZ20="CLIENT S+L",DA20="LAIT"),((DN20*952.4)-(DN20*952.4)*DB20),IF(CZ20="CLIENT O","OFFERT",IF(AND(DA20="HUILE",CZ20="CLIENT L"),(((VLOOKUP(DC20,'BASE '!$I$112:$J$142,2,0))+(VLOOKUP(DN20,'BASE '!#REF!,2,0)))),IF(AND(DA20="LAIT",CZ20="CLIENT L"),(DN20*952.4),IF(AND(DA20="HUILE",CZ20="CLIENT D"),(DN20*3809.53+(VLOOKUP(DC20,'BASE '!$I$112:$J$142,2,0))),IF(AND(DA20="LAIT",CZ20="CLIENT D"),(DN20*952.4),IF(AND(DA20="HUILE",CZ20="CLIENT S+D"),((DN20*3809.53+(VLOOKUP(DC20,'BASE '!$I$112:$J$142,2,0)))-((DN20*3809.53)*DB20)),IF(AND(DA20="LAIT",CZ20="CLIENT S+D"),((DN20*952.4)-((DN20*952.4)*DB20)),IF(AND(CZ20="CLIENT S",DA20="LAIT"),((DN20*952.4)-((DN20*952.4)*DB20)),IF(AND(DA20="HUILE",CZ20="CLIENT S"),(VLOOKUP(DC20,'BASE '!$I$112:$J$142,2,0)+(VLOOKUP(DN20,'BASE '!#REF!,2,0)))-(DB20*((VLOOKUP(DN20,'BASE '!#REF!,2,0)+(VLOOKUP(DC20,'BASE '!$I$112:$J$142,2,0))))))))))))))))</f>
        <v>0</v>
      </c>
      <c r="DK20" s="52" t="b">
        <f t="shared" si="5"/>
        <v>0</v>
      </c>
      <c r="DL20" s="53" t="b">
        <f t="shared" si="12"/>
        <v>0</v>
      </c>
      <c r="DM20" s="149"/>
      <c r="DN20" s="116">
        <f t="shared" si="13"/>
        <v>0</v>
      </c>
      <c r="DO20" s="124"/>
      <c r="DP20" s="42"/>
      <c r="DQ20" s="70"/>
      <c r="DR20" s="159"/>
      <c r="DS20" s="159"/>
      <c r="DT20" s="159"/>
      <c r="DU20" s="160"/>
      <c r="DV20" s="95"/>
      <c r="DW20" s="95"/>
      <c r="DX20" s="95"/>
      <c r="DY20" s="96"/>
    </row>
    <row r="21" spans="2:129" ht="15" customHeight="1" x14ac:dyDescent="0.3">
      <c r="B21" s="64"/>
      <c r="C21" s="148"/>
      <c r="D21" s="109"/>
      <c r="E21" s="63"/>
      <c r="F21" s="127"/>
      <c r="G21" s="50"/>
      <c r="H21" s="10"/>
      <c r="I21" s="10"/>
      <c r="J21" s="10"/>
      <c r="K21" s="10"/>
      <c r="L21" s="10"/>
      <c r="M21" s="39"/>
      <c r="N21" s="33">
        <f t="shared" si="0"/>
        <v>0</v>
      </c>
      <c r="O21" s="52" t="b">
        <f>IF(AND(E21="CLIENT S+L",F21="HUILE"),(S21*3333.33+(VLOOKUP(H21,'BASE '!$I$112:$J$142,2,0)))-((S21*3333.33)*G21),IF(AND(E21="CLIENT S+L",F21="LAIT"),((S21*952.4)-(S21*952.4)*G21),IF(E21="CLIENT O","OFFERT",IF(AND(F21="HUILE",E21="CLIENT L"),(((VLOOKUP(H21,'BASE '!$I$112:$J$142,2,0))+(VLOOKUP(S21,'BASE '!#REF!,2,0)))),IF(AND(F21="LAIT",E21="CLIENT L"),(S21*952.4),IF(AND(F21="HUILE",E21="CLIENT D"),(S21*3809.53+(VLOOKUP(H21,'BASE '!$I$112:$J$142,2,0))),IF(AND(F21="LAIT",E21="CLIENT D"),(S21*952.4),IF(AND(F21="HUILE",E21="CLIENT S+D"),((S21*3809.53+(VLOOKUP(H21,'BASE '!$I$112:$J$142,2,0)))-((S21*3809.53)*G21)),IF(AND(F21="LAIT",E21="CLIENT S+D"),((S21*952.4)-((S21*952.4)*G21)),IF(AND(E21="CLIENT S",F21="LAIT"),((S21*952.4)-((S21*952.4)*G21)),IF(AND(F21="HUILE",E21="CLIENT S"),(VLOOKUP(H21,'BASE '!$I$112:$J$142,2,0)+(VLOOKUP(S21,'BASE '!#REF!,2,0)))-(G21*((VLOOKUP(S21,'BASE '!#REF!,2,0)+(VLOOKUP(H21,'BASE '!$I$112:$J$142,2,0))))))))))))))))</f>
        <v>0</v>
      </c>
      <c r="P21" s="52" t="b">
        <f t="shared" si="1"/>
        <v>0</v>
      </c>
      <c r="Q21" s="53" t="b">
        <f t="shared" si="2"/>
        <v>0</v>
      </c>
      <c r="R21" s="152" t="s">
        <v>175</v>
      </c>
      <c r="S21" s="184">
        <f t="shared" si="6"/>
        <v>0</v>
      </c>
      <c r="T21" s="124"/>
      <c r="U21" s="41" t="s">
        <v>175</v>
      </c>
      <c r="V21" s="70" t="e">
        <f>VLOOKUP(U21,'BASE '!$A$4:$H$144,2,0)</f>
        <v>#N/A</v>
      </c>
      <c r="W21" s="159"/>
      <c r="X21" s="159"/>
      <c r="Y21" s="160"/>
      <c r="Z21" s="158" t="e">
        <f>VLOOKUP(U21,'BASE '!$A$4:$H$144,3,0)</f>
        <v>#N/A</v>
      </c>
      <c r="AA21" s="94" t="e">
        <f t="shared" si="3"/>
        <v>#N/A</v>
      </c>
      <c r="AB21" s="95" t="e">
        <f>VLOOKUP(U21,'BASE '!$A$4:$H$144,6,0)*Y21/100</f>
        <v>#N/A</v>
      </c>
      <c r="AC21" s="95" t="e">
        <f>VLOOKUP(U21,'BASE '!$A$4:$H$144,7,0)*Y21/100</f>
        <v>#N/A</v>
      </c>
      <c r="AD21" s="95" t="e">
        <f>VLOOKUP(U21,'BASE '!$A$4:$H$144,8,0)*Y21/100</f>
        <v>#N/A</v>
      </c>
      <c r="AE21" s="96" t="e">
        <f t="shared" si="7"/>
        <v>#N/A</v>
      </c>
      <c r="AF21" s="435" t="s">
        <v>132</v>
      </c>
      <c r="AG21" s="91" t="s">
        <v>157</v>
      </c>
      <c r="AH21" s="36" t="e">
        <f>SUMIFS($H$6:$H$165,$D$6:$D$165,AF21,CHOIX,AG21)</f>
        <v>#NAME?</v>
      </c>
      <c r="AI21" s="36" t="e">
        <f>SUMIFS($I$6:$I$165,$D$6:$D$165,AF21,CHOIX,AG21)</f>
        <v>#NAME?</v>
      </c>
      <c r="AJ21" s="36" t="e">
        <f>SUMIFS($J$6:$J$165,$D$6:$D$165,AF21,CHOIX,AG21)</f>
        <v>#NAME?</v>
      </c>
      <c r="AK21" s="36" t="e">
        <f>SUMIFS($K$6:$K$165,$D$6:$D$165,AF21,CHOIX,AG21)</f>
        <v>#NAME?</v>
      </c>
      <c r="AL21" s="36" t="e">
        <f>SUMIFS($L$6:$L$165,$D$6:$D$165,AF21,CHOIX,AG21)</f>
        <v>#NAME?</v>
      </c>
      <c r="AM21" s="36" t="e">
        <f>SUMIFS($M$6:$M$165,$D$6:$D$165,AF21,CHOIX,AG21)</f>
        <v>#NAME?</v>
      </c>
      <c r="AN21" s="91" t="s">
        <v>157</v>
      </c>
      <c r="AO21" s="83"/>
      <c r="AP21" s="63"/>
      <c r="AQ21" s="63"/>
      <c r="AR21" s="63"/>
      <c r="AS21" s="79"/>
      <c r="AT21" s="79"/>
      <c r="AU21" s="55" t="e">
        <f>SUMIFS($O$6:$O$165,$D$6:$D$165,AF21,CHOIX,AG21)</f>
        <v>#NAME?</v>
      </c>
      <c r="AV21" s="80" t="e">
        <f>SUMIFS($Q$6:$Q$165,$D$6:$D$165,AF21,CHOIX,AG21)</f>
        <v>#NAME?</v>
      </c>
      <c r="AW21" s="12"/>
      <c r="AX21" s="12"/>
      <c r="AY21" s="12"/>
      <c r="AZ21" s="201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147">
        <f t="shared" si="8"/>
        <v>0</v>
      </c>
      <c r="BN21" s="147">
        <f t="shared" si="9"/>
        <v>0</v>
      </c>
      <c r="BO21" s="149"/>
      <c r="BP21" s="166"/>
      <c r="BQ21" s="12"/>
      <c r="BR21" s="12"/>
      <c r="BS21" s="476" t="s">
        <v>16</v>
      </c>
      <c r="BT21" s="481"/>
      <c r="BU21" s="475">
        <v>215</v>
      </c>
      <c r="BV21" s="545">
        <f t="shared" ref="BV21" si="26">BU21*BT21</f>
        <v>0</v>
      </c>
      <c r="BW21" s="580"/>
      <c r="BX21" s="576">
        <v>75</v>
      </c>
      <c r="BY21" s="497">
        <f>BL73</f>
        <v>0</v>
      </c>
      <c r="BZ21" s="588" t="e">
        <f>K168</f>
        <v>#NAME?</v>
      </c>
      <c r="CA21" s="542"/>
      <c r="CB21" s="475">
        <v>1000</v>
      </c>
      <c r="CC21" s="544">
        <f t="shared" ref="CC21" si="27">BY21*CB21</f>
        <v>0</v>
      </c>
      <c r="CV21" s="64"/>
      <c r="CW21" s="148"/>
      <c r="CX21" s="109"/>
      <c r="CY21" s="132"/>
      <c r="CZ21" s="143"/>
      <c r="DA21" s="63"/>
      <c r="DB21" s="50"/>
      <c r="DC21" s="10"/>
      <c r="DD21" s="10"/>
      <c r="DE21" s="10"/>
      <c r="DF21" s="10"/>
      <c r="DG21" s="10"/>
      <c r="DH21" s="39"/>
      <c r="DI21" s="33">
        <f t="shared" si="4"/>
        <v>0</v>
      </c>
      <c r="DJ21" s="52" t="b">
        <f>IF(AND(CZ21="CLIENT S+L",DA21="HUILE"),(DN21*3333.33+(VLOOKUP(DC21,'BASE '!$I$112:$J$142,2,0)))-((DN21*3333.33)*DB21),IF(AND(CZ21="CLIENT S+L",DA21="LAIT"),((DN21*952.4)-(DN21*952.4)*DB21),IF(CZ21="CLIENT O","OFFERT",IF(AND(DA21="HUILE",CZ21="CLIENT L"),(((VLOOKUP(DC21,'BASE '!$I$112:$J$142,2,0))+(VLOOKUP(DN21,'BASE '!#REF!,2,0)))),IF(AND(DA21="LAIT",CZ21="CLIENT L"),(DN21*952.4),IF(AND(DA21="HUILE",CZ21="CLIENT D"),(DN21*3809.53+(VLOOKUP(DC21,'BASE '!$I$112:$J$142,2,0))),IF(AND(DA21="LAIT",CZ21="CLIENT D"),(DN21*952.4),IF(AND(DA21="HUILE",CZ21="CLIENT S+D"),((DN21*3809.53+(VLOOKUP(DC21,'BASE '!$I$112:$J$142,2,0)))-((DN21*3809.53)*DB21)),IF(AND(DA21="LAIT",CZ21="CLIENT S+D"),((DN21*952.4)-((DN21*952.4)*DB21)),IF(AND(CZ21="CLIENT S",DA21="LAIT"),((DN21*952.4)-((DN21*952.4)*DB21)),IF(AND(DA21="HUILE",CZ21="CLIENT S"),(VLOOKUP(DC21,'BASE '!$I$112:$J$142,2,0)+(VLOOKUP(DN21,'BASE '!#REF!,2,0)))-(DB21*((VLOOKUP(DN21,'BASE '!#REF!,2,0)+(VLOOKUP(DC21,'BASE '!$I$112:$J$142,2,0))))))))))))))))</f>
        <v>0</v>
      </c>
      <c r="DK21" s="52" t="b">
        <f t="shared" si="5"/>
        <v>0</v>
      </c>
      <c r="DL21" s="53" t="b">
        <f t="shared" si="12"/>
        <v>0</v>
      </c>
      <c r="DM21" s="149"/>
      <c r="DN21" s="116">
        <f t="shared" si="13"/>
        <v>0</v>
      </c>
      <c r="DO21" s="124"/>
      <c r="DP21" s="42"/>
      <c r="DQ21" s="70"/>
      <c r="DR21" s="159"/>
      <c r="DS21" s="159"/>
      <c r="DT21" s="159"/>
      <c r="DU21" s="160"/>
      <c r="DV21" s="95"/>
      <c r="DW21" s="95"/>
      <c r="DX21" s="95"/>
      <c r="DY21" s="96"/>
    </row>
    <row r="22" spans="2:129" ht="15" customHeight="1" thickBot="1" x14ac:dyDescent="0.35">
      <c r="B22" s="64"/>
      <c r="C22" s="148"/>
      <c r="D22" s="109"/>
      <c r="E22" s="63"/>
      <c r="F22" s="127"/>
      <c r="G22" s="50"/>
      <c r="H22" s="10"/>
      <c r="I22" s="10"/>
      <c r="J22" s="10"/>
      <c r="K22" s="10"/>
      <c r="L22" s="10"/>
      <c r="M22" s="39"/>
      <c r="N22" s="33">
        <f t="shared" si="0"/>
        <v>0</v>
      </c>
      <c r="O22" s="52" t="b">
        <f>IF(AND(E22="CLIENT S+L",F22="HUILE"),(S22*3333.33+(VLOOKUP(H22,'BASE '!$I$112:$J$142,2,0)))-((S22*3333.33)*G22),IF(AND(E22="CLIENT S+L",F22="LAIT"),((S22*952.4)-(S22*952.4)*G22),IF(E22="CLIENT O","OFFERT",IF(AND(F22="HUILE",E22="CLIENT L"),(((VLOOKUP(H22,'BASE '!$I$112:$J$142,2,0))+(VLOOKUP(S22,'BASE '!#REF!,2,0)))),IF(AND(F22="LAIT",E22="CLIENT L"),(S22*952.4),IF(AND(F22="HUILE",E22="CLIENT D"),(S22*3809.53+(VLOOKUP(H22,'BASE '!$I$112:$J$142,2,0))),IF(AND(F22="LAIT",E22="CLIENT D"),(S22*952.4),IF(AND(F22="HUILE",E22="CLIENT S+D"),((S22*3809.53+(VLOOKUP(H22,'BASE '!$I$112:$J$142,2,0)))-((S22*3809.53)*G22)),IF(AND(F22="LAIT",E22="CLIENT S+D"),((S22*952.4)-((S22*952.4)*G22)),IF(AND(E22="CLIENT S",F22="LAIT"),((S22*952.4)-((S22*952.4)*G22)),IF(AND(F22="HUILE",E22="CLIENT S"),(VLOOKUP(H22,'BASE '!$I$112:$J$142,2,0)+(VLOOKUP(S22,'BASE '!#REF!,2,0)))-(G22*((VLOOKUP(S22,'BASE '!#REF!,2,0)+(VLOOKUP(H22,'BASE '!$I$112:$J$142,2,0))))))))))))))))</f>
        <v>0</v>
      </c>
      <c r="P22" s="52" t="b">
        <f t="shared" si="1"/>
        <v>0</v>
      </c>
      <c r="Q22" s="53" t="b">
        <f t="shared" si="2"/>
        <v>0</v>
      </c>
      <c r="R22" s="152" t="s">
        <v>175</v>
      </c>
      <c r="S22" s="184">
        <f t="shared" si="6"/>
        <v>0</v>
      </c>
      <c r="T22" s="124"/>
      <c r="U22" s="41" t="s">
        <v>175</v>
      </c>
      <c r="V22" s="70" t="e">
        <f>VLOOKUP(U22,'BASE '!$A$4:$H$144,2,0)</f>
        <v>#N/A</v>
      </c>
      <c r="W22" s="159"/>
      <c r="X22" s="159"/>
      <c r="Y22" s="160"/>
      <c r="Z22" s="158" t="e">
        <f>VLOOKUP(U22,'BASE '!$A$4:$H$144,3,0)</f>
        <v>#N/A</v>
      </c>
      <c r="AA22" s="94" t="e">
        <f t="shared" si="3"/>
        <v>#N/A</v>
      </c>
      <c r="AB22" s="95" t="e">
        <f>VLOOKUP(U22,'BASE '!$A$4:$H$144,6,0)*Y22/100</f>
        <v>#N/A</v>
      </c>
      <c r="AC22" s="95" t="e">
        <f>VLOOKUP(U22,'BASE '!$A$4:$H$144,7,0)*Y22/100</f>
        <v>#N/A</v>
      </c>
      <c r="AD22" s="95" t="e">
        <f>VLOOKUP(U22,'BASE '!$A$4:$H$144,8,0)*Y22/100</f>
        <v>#N/A</v>
      </c>
      <c r="AE22" s="96" t="e">
        <f t="shared" si="7"/>
        <v>#N/A</v>
      </c>
      <c r="AF22" s="435"/>
      <c r="AG22" s="1" t="s">
        <v>155</v>
      </c>
      <c r="AH22" s="36" t="e">
        <f>SUMIFS($H$6:$H$165,$D$6:$D$165,AF21,CHOIX,AG22)</f>
        <v>#NAME?</v>
      </c>
      <c r="AI22" s="36" t="e">
        <f>SUMIFS($I$6:$I$165,$D$6:$D$165,AF21,CHOIX,AG22)</f>
        <v>#NAME?</v>
      </c>
      <c r="AJ22" s="36" t="e">
        <f>SUMIFS($J$6:$J$165,$D$6:$D$165,AF21,CHOIX,AG22)</f>
        <v>#NAME?</v>
      </c>
      <c r="AK22" s="36" t="e">
        <f>SUMIFS($K$6:$K$165,$D$6:$D$165,AF21,CHOIX,AG22)</f>
        <v>#NAME?</v>
      </c>
      <c r="AL22" s="36" t="e">
        <f>SUMIFS($L$6:$L$165,$D$6:$D$165,AF21,CHOIX,AG22)</f>
        <v>#NAME?</v>
      </c>
      <c r="AM22" s="36" t="e">
        <f>SUMIFS($M$6:$M$165,$D$6:$D$165,AF21,CHOIX,AG22)</f>
        <v>#NAME?</v>
      </c>
      <c r="AN22" s="1" t="s">
        <v>155</v>
      </c>
      <c r="AO22" s="83"/>
      <c r="AP22" s="63"/>
      <c r="AQ22" s="63"/>
      <c r="AR22" s="63"/>
      <c r="AS22" s="79"/>
      <c r="AT22" s="79"/>
      <c r="AU22" s="55" t="e">
        <f>SUMIFS($O$6:$O$165,$D$6:$D$165,AF21,CHOIX,AG22)</f>
        <v>#NAME?</v>
      </c>
      <c r="AV22" s="80" t="e">
        <f>SUMIFS($Q$6:$Q$165,$D$6:$D$165,AF21,CHOIX,AG22)</f>
        <v>#NAME?</v>
      </c>
      <c r="AW22" s="12"/>
      <c r="AX22" s="12"/>
      <c r="AY22" s="12"/>
      <c r="AZ22" s="201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147">
        <f t="shared" si="8"/>
        <v>0</v>
      </c>
      <c r="BN22" s="147">
        <f t="shared" si="9"/>
        <v>0</v>
      </c>
      <c r="BO22" s="149"/>
      <c r="BP22" s="166"/>
      <c r="BQ22" s="12"/>
      <c r="BR22" s="12"/>
      <c r="BS22" s="479"/>
      <c r="BT22" s="527"/>
      <c r="BU22" s="528"/>
      <c r="BV22" s="586"/>
      <c r="BW22" s="592"/>
      <c r="BX22" s="587"/>
      <c r="BY22" s="526"/>
      <c r="BZ22" s="589"/>
      <c r="CA22" s="590"/>
      <c r="CB22" s="528"/>
      <c r="CC22" s="595"/>
      <c r="CV22" s="64"/>
      <c r="CW22" s="148"/>
      <c r="CX22" s="109"/>
      <c r="CY22" s="132"/>
      <c r="CZ22" s="143"/>
      <c r="DA22" s="63"/>
      <c r="DB22" s="50"/>
      <c r="DC22" s="10"/>
      <c r="DD22" s="10"/>
      <c r="DE22" s="10"/>
      <c r="DF22" s="10"/>
      <c r="DG22" s="10"/>
      <c r="DH22" s="39"/>
      <c r="DI22" s="33">
        <f t="shared" si="4"/>
        <v>0</v>
      </c>
      <c r="DJ22" s="52" t="b">
        <f>IF(AND(CZ22="CLIENT S+L",DA22="HUILE"),(DN22*3333.33+(VLOOKUP(DC22,'BASE '!$I$112:$J$142,2,0)))-((DN22*3333.33)*DB22),IF(AND(CZ22="CLIENT S+L",DA22="LAIT"),((DN22*952.4)-(DN22*952.4)*DB22),IF(CZ22="CLIENT O","OFFERT",IF(AND(DA22="HUILE",CZ22="CLIENT L"),(((VLOOKUP(DC22,'BASE '!$I$112:$J$142,2,0))+(VLOOKUP(DN22,'BASE '!#REF!,2,0)))),IF(AND(DA22="LAIT",CZ22="CLIENT L"),(DN22*952.4),IF(AND(DA22="HUILE",CZ22="CLIENT D"),(DN22*3809.53+(VLOOKUP(DC22,'BASE '!$I$112:$J$142,2,0))),IF(AND(DA22="LAIT",CZ22="CLIENT D"),(DN22*952.4),IF(AND(DA22="HUILE",CZ22="CLIENT S+D"),((DN22*3809.53+(VLOOKUP(DC22,'BASE '!$I$112:$J$142,2,0)))-((DN22*3809.53)*DB22)),IF(AND(DA22="LAIT",CZ22="CLIENT S+D"),((DN22*952.4)-((DN22*952.4)*DB22)),IF(AND(CZ22="CLIENT S",DA22="LAIT"),((DN22*952.4)-((DN22*952.4)*DB22)),IF(AND(DA22="HUILE",CZ22="CLIENT S"),(VLOOKUP(DC22,'BASE '!$I$112:$J$142,2,0)+(VLOOKUP(DN22,'BASE '!#REF!,2,0)))-(DB22*((VLOOKUP(DN22,'BASE '!#REF!,2,0)+(VLOOKUP(DC22,'BASE '!$I$112:$J$142,2,0))))))))))))))))</f>
        <v>0</v>
      </c>
      <c r="DK22" s="52" t="b">
        <f t="shared" si="5"/>
        <v>0</v>
      </c>
      <c r="DL22" s="53" t="b">
        <f t="shared" si="12"/>
        <v>0</v>
      </c>
      <c r="DM22" s="149"/>
      <c r="DN22" s="116">
        <f t="shared" si="13"/>
        <v>0</v>
      </c>
      <c r="DO22" s="124"/>
      <c r="DP22" s="42"/>
      <c r="DQ22" s="70"/>
      <c r="DR22" s="159"/>
      <c r="DS22" s="159"/>
      <c r="DT22" s="159"/>
      <c r="DU22" s="160"/>
      <c r="DV22" s="95"/>
      <c r="DW22" s="95"/>
      <c r="DX22" s="95"/>
      <c r="DY22" s="96"/>
    </row>
    <row r="23" spans="2:129" ht="15" customHeight="1" x14ac:dyDescent="0.3">
      <c r="B23" s="64"/>
      <c r="C23" s="148"/>
      <c r="D23" s="109"/>
      <c r="E23" s="63"/>
      <c r="F23" s="127"/>
      <c r="G23" s="50"/>
      <c r="H23" s="10"/>
      <c r="I23" s="10"/>
      <c r="J23" s="10"/>
      <c r="K23" s="10"/>
      <c r="L23" s="10"/>
      <c r="M23" s="39"/>
      <c r="N23" s="33">
        <f t="shared" si="0"/>
        <v>0</v>
      </c>
      <c r="O23" s="52" t="b">
        <f>IF(AND(E23="CLIENT S+L",F23="HUILE"),(S23*3333.33+(VLOOKUP(H23,'BASE '!$I$112:$J$142,2,0)))-((S23*3333.33)*G23),IF(AND(E23="CLIENT S+L",F23="LAIT"),((S23*952.4)-(S23*952.4)*G23),IF(E23="CLIENT O","OFFERT",IF(AND(F23="HUILE",E23="CLIENT L"),(((VLOOKUP(H23,'BASE '!$I$112:$J$142,2,0))+(VLOOKUP(S23,'BASE '!#REF!,2,0)))),IF(AND(F23="LAIT",E23="CLIENT L"),(S23*952.4),IF(AND(F23="HUILE",E23="CLIENT D"),(S23*3809.53+(VLOOKUP(H23,'BASE '!$I$112:$J$142,2,0))),IF(AND(F23="LAIT",E23="CLIENT D"),(S23*952.4),IF(AND(F23="HUILE",E23="CLIENT S+D"),((S23*3809.53+(VLOOKUP(H23,'BASE '!$I$112:$J$142,2,0)))-((S23*3809.53)*G23)),IF(AND(F23="LAIT",E23="CLIENT S+D"),((S23*952.4)-((S23*952.4)*G23)),IF(AND(E23="CLIENT S",F23="LAIT"),((S23*952.4)-((S23*952.4)*G23)),IF(AND(F23="HUILE",E23="CLIENT S"),(VLOOKUP(H23,'BASE '!$I$112:$J$142,2,0)+(VLOOKUP(S23,'BASE '!#REF!,2,0)))-(G23*((VLOOKUP(S23,'BASE '!#REF!,2,0)+(VLOOKUP(H23,'BASE '!$I$112:$J$142,2,0))))))))))))))))</f>
        <v>0</v>
      </c>
      <c r="P23" s="52" t="b">
        <f t="shared" si="1"/>
        <v>0</v>
      </c>
      <c r="Q23" s="53" t="b">
        <f t="shared" si="2"/>
        <v>0</v>
      </c>
      <c r="R23" s="152" t="s">
        <v>175</v>
      </c>
      <c r="S23" s="184">
        <f t="shared" si="6"/>
        <v>0</v>
      </c>
      <c r="T23" s="124"/>
      <c r="U23" s="41" t="s">
        <v>175</v>
      </c>
      <c r="V23" s="70" t="e">
        <f>VLOOKUP(U23,'BASE '!$A$4:$H$144,2,0)</f>
        <v>#N/A</v>
      </c>
      <c r="W23" s="159"/>
      <c r="X23" s="159"/>
      <c r="Y23" s="160"/>
      <c r="Z23" s="158" t="e">
        <f>VLOOKUP(U23,'BASE '!$A$4:$H$144,3,0)</f>
        <v>#N/A</v>
      </c>
      <c r="AA23" s="94" t="e">
        <f t="shared" si="3"/>
        <v>#N/A</v>
      </c>
      <c r="AB23" s="95" t="e">
        <f>VLOOKUP(U23,'BASE '!$A$4:$H$144,6,0)*Y23/100</f>
        <v>#N/A</v>
      </c>
      <c r="AC23" s="95" t="e">
        <f>VLOOKUP(U23,'BASE '!$A$4:$H$144,7,0)*Y23/100</f>
        <v>#N/A</v>
      </c>
      <c r="AD23" s="95" t="e">
        <f>VLOOKUP(U23,'BASE '!$A$4:$H$144,8,0)*Y23/100</f>
        <v>#N/A</v>
      </c>
      <c r="AE23" s="96" t="e">
        <f t="shared" si="7"/>
        <v>#N/A</v>
      </c>
      <c r="AF23" s="435" t="s">
        <v>9</v>
      </c>
      <c r="AG23" s="91" t="s">
        <v>157</v>
      </c>
      <c r="AH23" s="36" t="e">
        <f>SUMIFS($H$6:$H$165,$D$6:$D$165,AF23,CHOIX,AG23)</f>
        <v>#NAME?</v>
      </c>
      <c r="AI23" s="36" t="e">
        <f>SUMIFS($I$6:$I$165,$D$6:$D$165,AF23,CHOIX,AG23)</f>
        <v>#NAME?</v>
      </c>
      <c r="AJ23" s="36" t="e">
        <f>SUMIFS($J$6:$J$165,$D$6:$D$165,AF23,CHOIX,AG23)</f>
        <v>#NAME?</v>
      </c>
      <c r="AK23" s="36" t="e">
        <f>SUMIFS($K$6:$K$165,$D$6:$D$165,AF23,CHOIX,AG23)</f>
        <v>#NAME?</v>
      </c>
      <c r="AL23" s="36" t="e">
        <f>SUMIFS($L$6:$L$165,$D$6:$D$165,AF23,CHOIX,AG23)</f>
        <v>#NAME?</v>
      </c>
      <c r="AM23" s="36" t="e">
        <f>SUMIFS($M$6:$M$165,$D$6:$D$165,AF23,CHOIX,AG23)</f>
        <v>#NAME?</v>
      </c>
      <c r="AN23" s="91" t="s">
        <v>157</v>
      </c>
      <c r="AO23" s="83"/>
      <c r="AP23" s="63"/>
      <c r="AQ23" s="63"/>
      <c r="AR23" s="63"/>
      <c r="AS23" s="79"/>
      <c r="AT23" s="79"/>
      <c r="AU23" s="55" t="e">
        <f>SUMIFS($O$6:$O$165,$D$6:$D$165,AF23,CHOIX,AG23)</f>
        <v>#NAME?</v>
      </c>
      <c r="AV23" s="80" t="e">
        <f>SUMIFS($Q$6:$Q$165,$D$6:$D$165,AF23,CHOIX,AG23)</f>
        <v>#NAME?</v>
      </c>
      <c r="AW23" s="12"/>
      <c r="AX23" s="12"/>
      <c r="AY23" s="12"/>
      <c r="AZ23" s="201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147">
        <f t="shared" si="8"/>
        <v>0</v>
      </c>
      <c r="BN23" s="147">
        <f t="shared" si="9"/>
        <v>0</v>
      </c>
      <c r="BO23" s="149"/>
      <c r="BP23" s="166"/>
      <c r="BQ23" s="12"/>
      <c r="BR23" s="12"/>
      <c r="BS23" s="514" t="s">
        <v>177</v>
      </c>
      <c r="BT23" s="516"/>
      <c r="BU23" s="516"/>
      <c r="BV23" s="520">
        <f>SUM(BV5:BV22)</f>
        <v>0</v>
      </c>
      <c r="BW23" s="134"/>
      <c r="BX23" s="522" t="s">
        <v>146</v>
      </c>
      <c r="BY23" s="522"/>
      <c r="BZ23" s="522"/>
      <c r="CA23" s="522"/>
      <c r="CB23" s="515"/>
      <c r="CC23" s="512">
        <f>SUM(CC5:CC22)</f>
        <v>0</v>
      </c>
      <c r="CV23" s="64"/>
      <c r="CW23" s="148"/>
      <c r="CX23" s="109"/>
      <c r="CY23" s="132"/>
      <c r="CZ23" s="143"/>
      <c r="DA23" s="63"/>
      <c r="DB23" s="50"/>
      <c r="DC23" s="10"/>
      <c r="DD23" s="10"/>
      <c r="DE23" s="10"/>
      <c r="DF23" s="10"/>
      <c r="DG23" s="10"/>
      <c r="DH23" s="39"/>
      <c r="DI23" s="33">
        <f t="shared" si="4"/>
        <v>0</v>
      </c>
      <c r="DJ23" s="52" t="b">
        <f>IF(AND(CZ23="CLIENT S+L",DA23="HUILE"),(DN23*3333.33+(VLOOKUP(DC23,'BASE '!$I$112:$J$142,2,0)))-((DN23*3333.33)*DB23),IF(AND(CZ23="CLIENT S+L",DA23="LAIT"),((DN23*952.4)-(DN23*952.4)*DB23),IF(CZ23="CLIENT O","OFFERT",IF(AND(DA23="HUILE",CZ23="CLIENT L"),(((VLOOKUP(DC23,'BASE '!$I$112:$J$142,2,0))+(VLOOKUP(DN23,'BASE '!#REF!,2,0)))),IF(AND(DA23="LAIT",CZ23="CLIENT L"),(DN23*952.4),IF(AND(DA23="HUILE",CZ23="CLIENT D"),(DN23*3809.53+(VLOOKUP(DC23,'BASE '!$I$112:$J$142,2,0))),IF(AND(DA23="LAIT",CZ23="CLIENT D"),(DN23*952.4),IF(AND(DA23="HUILE",CZ23="CLIENT S+D"),((DN23*3809.53+(VLOOKUP(DC23,'BASE '!$I$112:$J$142,2,0)))-((DN23*3809.53)*DB23)),IF(AND(DA23="LAIT",CZ23="CLIENT S+D"),((DN23*952.4)-((DN23*952.4)*DB23)),IF(AND(CZ23="CLIENT S",DA23="LAIT"),((DN23*952.4)-((DN23*952.4)*DB23)),IF(AND(DA23="HUILE",CZ23="CLIENT S"),(VLOOKUP(DC23,'BASE '!$I$112:$J$142,2,0)+(VLOOKUP(DN23,'BASE '!#REF!,2,0)))-(DB23*((VLOOKUP(DN23,'BASE '!#REF!,2,0)+(VLOOKUP(DC23,'BASE '!$I$112:$J$142,2,0))))))))))))))))</f>
        <v>0</v>
      </c>
      <c r="DK23" s="52" t="b">
        <f t="shared" si="5"/>
        <v>0</v>
      </c>
      <c r="DL23" s="53" t="b">
        <f t="shared" si="12"/>
        <v>0</v>
      </c>
      <c r="DM23" s="149"/>
      <c r="DN23" s="116">
        <f t="shared" si="13"/>
        <v>0</v>
      </c>
      <c r="DO23" s="124"/>
      <c r="DP23" s="42"/>
      <c r="DQ23" s="70"/>
      <c r="DR23" s="159"/>
      <c r="DS23" s="159"/>
      <c r="DT23" s="159"/>
      <c r="DU23" s="160"/>
      <c r="DV23" s="95"/>
      <c r="DW23" s="95"/>
      <c r="DX23" s="95"/>
      <c r="DY23" s="96"/>
    </row>
    <row r="24" spans="2:129" ht="15" customHeight="1" thickBot="1" x14ac:dyDescent="0.35">
      <c r="B24" s="64"/>
      <c r="C24" s="148"/>
      <c r="D24" s="109"/>
      <c r="E24" s="63"/>
      <c r="F24" s="127"/>
      <c r="G24" s="50"/>
      <c r="H24" s="10"/>
      <c r="I24" s="10"/>
      <c r="J24" s="10"/>
      <c r="K24" s="10"/>
      <c r="L24" s="10"/>
      <c r="M24" s="39"/>
      <c r="N24" s="33">
        <f t="shared" si="0"/>
        <v>0</v>
      </c>
      <c r="O24" s="52" t="b">
        <f>IF(AND(E24="CLIENT S+L",F24="HUILE"),(S24*3333.33+(VLOOKUP(H24,'BASE '!$I$112:$J$142,2,0)))-((S24*3333.33)*G24),IF(AND(E24="CLIENT S+L",F24="LAIT"),((S24*952.4)-(S24*952.4)*G24),IF(E24="CLIENT O","OFFERT",IF(AND(F24="HUILE",E24="CLIENT L"),(((VLOOKUP(H24,'BASE '!$I$112:$J$142,2,0))+(VLOOKUP(S24,'BASE '!#REF!,2,0)))),IF(AND(F24="LAIT",E24="CLIENT L"),(S24*952.4),IF(AND(F24="HUILE",E24="CLIENT D"),(S24*3809.53+(VLOOKUP(H24,'BASE '!$I$112:$J$142,2,0))),IF(AND(F24="LAIT",E24="CLIENT D"),(S24*952.4),IF(AND(F24="HUILE",E24="CLIENT S+D"),((S24*3809.53+(VLOOKUP(H24,'BASE '!$I$112:$J$142,2,0)))-((S24*3809.53)*G24)),IF(AND(F24="LAIT",E24="CLIENT S+D"),((S24*952.4)-((S24*952.4)*G24)),IF(AND(E24="CLIENT S",F24="LAIT"),((S24*952.4)-((S24*952.4)*G24)),IF(AND(F24="HUILE",E24="CLIENT S"),(VLOOKUP(H24,'BASE '!$I$112:$J$142,2,0)+(VLOOKUP(S24,'BASE '!#REF!,2,0)))-(G24*((VLOOKUP(S24,'BASE '!#REF!,2,0)+(VLOOKUP(H24,'BASE '!$I$112:$J$142,2,0))))))))))))))))</f>
        <v>0</v>
      </c>
      <c r="P24" s="52" t="b">
        <f t="shared" si="1"/>
        <v>0</v>
      </c>
      <c r="Q24" s="53" t="b">
        <f t="shared" si="2"/>
        <v>0</v>
      </c>
      <c r="R24" s="152" t="s">
        <v>175</v>
      </c>
      <c r="S24" s="184">
        <f t="shared" si="6"/>
        <v>0</v>
      </c>
      <c r="T24" s="124"/>
      <c r="U24" s="41" t="s">
        <v>175</v>
      </c>
      <c r="V24" s="70" t="e">
        <f>VLOOKUP(U24,'BASE '!$A$4:$H$144,2,0)</f>
        <v>#N/A</v>
      </c>
      <c r="W24" s="159"/>
      <c r="X24" s="159"/>
      <c r="Y24" s="160"/>
      <c r="Z24" s="158" t="e">
        <f>VLOOKUP(U24,'BASE '!$A$4:$H$144,3,0)</f>
        <v>#N/A</v>
      </c>
      <c r="AA24" s="94" t="e">
        <f t="shared" si="3"/>
        <v>#N/A</v>
      </c>
      <c r="AB24" s="95" t="e">
        <f>VLOOKUP(U24,'BASE '!$A$4:$H$144,6,0)*Y24/100</f>
        <v>#N/A</v>
      </c>
      <c r="AC24" s="95" t="e">
        <f>VLOOKUP(U24,'BASE '!$A$4:$H$144,7,0)*Y24/100</f>
        <v>#N/A</v>
      </c>
      <c r="AD24" s="95" t="e">
        <f>VLOOKUP(U24,'BASE '!$A$4:$H$144,8,0)*Y24/100</f>
        <v>#N/A</v>
      </c>
      <c r="AE24" s="96" t="e">
        <f t="shared" si="7"/>
        <v>#N/A</v>
      </c>
      <c r="AF24" s="435"/>
      <c r="AG24" s="1" t="s">
        <v>155</v>
      </c>
      <c r="AH24" s="36" t="e">
        <f>SUMIFS($H$6:$H$165,$D$6:$D$165,AF23,CHOIX,AG24)</f>
        <v>#NAME?</v>
      </c>
      <c r="AI24" s="36" t="e">
        <f>SUMIFS($I$6:$I$165,$D$6:$D$165,AF23,CHOIX,AG24)</f>
        <v>#NAME?</v>
      </c>
      <c r="AJ24" s="36" t="e">
        <f>SUMIFS($J$6:$J$165,$D$6:$D$165,AF23,CHOIX,AG24)</f>
        <v>#NAME?</v>
      </c>
      <c r="AK24" s="36" t="e">
        <f>SUMIFS($K$6:$K$165,$D$6:$D$165,AF23,CHOIX,AG24)</f>
        <v>#NAME?</v>
      </c>
      <c r="AL24" s="36" t="e">
        <f>SUMIFS($L$6:$L$165,$D$6:$D$165,AF23,CHOIX,AG24)</f>
        <v>#NAME?</v>
      </c>
      <c r="AM24" s="36" t="e">
        <f>SUMIFS($M$6:$M$165,$D$6:$D$165,AF23,CHOIX,AG24)</f>
        <v>#NAME?</v>
      </c>
      <c r="AN24" s="1" t="s">
        <v>155</v>
      </c>
      <c r="AO24" s="83"/>
      <c r="AP24" s="63"/>
      <c r="AQ24" s="63"/>
      <c r="AR24" s="63"/>
      <c r="AS24" s="79"/>
      <c r="AT24" s="79"/>
      <c r="AU24" s="55" t="e">
        <f>SUMIFS($O$6:$O$165,$D$6:$D$165,AF23,CHOIX,AG24)</f>
        <v>#NAME?</v>
      </c>
      <c r="AV24" s="80" t="e">
        <f>SUMIFS($Q$6:$Q$165,$D$6:$D$165,AF23,CHOIX,AG24)</f>
        <v>#NAME?</v>
      </c>
      <c r="AW24" s="12"/>
      <c r="AX24" s="12"/>
      <c r="AY24" s="12"/>
      <c r="AZ24" s="201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147">
        <f t="shared" si="8"/>
        <v>0</v>
      </c>
      <c r="BN24" s="147">
        <f t="shared" si="9"/>
        <v>0</v>
      </c>
      <c r="BO24" s="149"/>
      <c r="BP24" s="49"/>
      <c r="BQ24" s="12"/>
      <c r="BR24" s="12"/>
      <c r="BS24" s="517"/>
      <c r="BT24" s="519"/>
      <c r="BU24" s="519"/>
      <c r="BV24" s="521"/>
      <c r="BW24" s="135"/>
      <c r="BX24" s="523"/>
      <c r="BY24" s="523"/>
      <c r="BZ24" s="523"/>
      <c r="CA24" s="523"/>
      <c r="CB24" s="518"/>
      <c r="CC24" s="513"/>
      <c r="CV24" s="64"/>
      <c r="CW24" s="148"/>
      <c r="CX24" s="109"/>
      <c r="CY24" s="132"/>
      <c r="CZ24" s="143"/>
      <c r="DA24" s="63"/>
      <c r="DB24" s="50"/>
      <c r="DC24" s="10"/>
      <c r="DD24" s="10"/>
      <c r="DE24" s="10"/>
      <c r="DF24" s="10"/>
      <c r="DG24" s="10"/>
      <c r="DH24" s="39"/>
      <c r="DI24" s="33">
        <f t="shared" si="4"/>
        <v>0</v>
      </c>
      <c r="DJ24" s="52" t="b">
        <f>IF(AND(CZ24="CLIENT S+L",DA24="HUILE"),(DN24*3333.33+(VLOOKUP(DC24,'BASE '!$I$112:$J$142,2,0)))-((DN24*3333.33)*DB24),IF(AND(CZ24="CLIENT S+L",DA24="LAIT"),((DN24*952.4)-(DN24*952.4)*DB24),IF(CZ24="CLIENT O","OFFERT",IF(AND(DA24="HUILE",CZ24="CLIENT L"),(((VLOOKUP(DC24,'BASE '!$I$112:$J$142,2,0))+(VLOOKUP(DN24,'BASE '!#REF!,2,0)))),IF(AND(DA24="LAIT",CZ24="CLIENT L"),(DN24*952.4),IF(AND(DA24="HUILE",CZ24="CLIENT D"),(DN24*3809.53+(VLOOKUP(DC24,'BASE '!$I$112:$J$142,2,0))),IF(AND(DA24="LAIT",CZ24="CLIENT D"),(DN24*952.4),IF(AND(DA24="HUILE",CZ24="CLIENT S+D"),((DN24*3809.53+(VLOOKUP(DC24,'BASE '!$I$112:$J$142,2,0)))-((DN24*3809.53)*DB24)),IF(AND(DA24="LAIT",CZ24="CLIENT S+D"),((DN24*952.4)-((DN24*952.4)*DB24)),IF(AND(CZ24="CLIENT S",DA24="LAIT"),((DN24*952.4)-((DN24*952.4)*DB24)),IF(AND(DA24="HUILE",CZ24="CLIENT S"),(VLOOKUP(DC24,'BASE '!$I$112:$J$142,2,0)+(VLOOKUP(DN24,'BASE '!#REF!,2,0)))-(DB24*((VLOOKUP(DN24,'BASE '!#REF!,2,0)+(VLOOKUP(DC24,'BASE '!$I$112:$J$142,2,0))))))))))))))))</f>
        <v>0</v>
      </c>
      <c r="DK24" s="52" t="b">
        <f t="shared" si="5"/>
        <v>0</v>
      </c>
      <c r="DL24" s="53" t="b">
        <f t="shared" si="12"/>
        <v>0</v>
      </c>
      <c r="DM24" s="149"/>
      <c r="DN24" s="116">
        <f t="shared" si="13"/>
        <v>0</v>
      </c>
      <c r="DO24" s="124"/>
      <c r="DP24" s="42"/>
      <c r="DQ24" s="70"/>
      <c r="DR24" s="159"/>
      <c r="DS24" s="159"/>
      <c r="DT24" s="159"/>
      <c r="DU24" s="160"/>
      <c r="DV24" s="95"/>
      <c r="DW24" s="95"/>
      <c r="DX24" s="95"/>
      <c r="DY24" s="96"/>
    </row>
    <row r="25" spans="2:129" ht="15" customHeight="1" x14ac:dyDescent="0.3">
      <c r="B25" s="64"/>
      <c r="C25" s="148"/>
      <c r="D25" s="109"/>
      <c r="E25" s="63"/>
      <c r="F25" s="127"/>
      <c r="G25" s="50"/>
      <c r="H25" s="10"/>
      <c r="I25" s="10"/>
      <c r="J25" s="10"/>
      <c r="K25" s="10"/>
      <c r="L25" s="10"/>
      <c r="M25" s="39"/>
      <c r="N25" s="33">
        <f t="shared" si="0"/>
        <v>0</v>
      </c>
      <c r="O25" s="52" t="b">
        <f>IF(AND(E25="CLIENT S+L",F25="HUILE"),(S25*3333.33+(VLOOKUP(H25,'BASE '!$I$112:$J$142,2,0)))-((S25*3333.33)*G25),IF(AND(E25="CLIENT S+L",F25="LAIT"),((S25*952.4)-(S25*952.4)*G25),IF(E25="CLIENT O","OFFERT",IF(AND(F25="HUILE",E25="CLIENT L"),(((VLOOKUP(H25,'BASE '!$I$112:$J$142,2,0))+(VLOOKUP(S25,'BASE '!#REF!,2,0)))),IF(AND(F25="LAIT",E25="CLIENT L"),(S25*952.4),IF(AND(F25="HUILE",E25="CLIENT D"),(S25*3809.53+(VLOOKUP(H25,'BASE '!$I$112:$J$142,2,0))),IF(AND(F25="LAIT",E25="CLIENT D"),(S25*952.4),IF(AND(F25="HUILE",E25="CLIENT S+D"),((S25*3809.53+(VLOOKUP(H25,'BASE '!$I$112:$J$142,2,0)))-((S25*3809.53)*G25)),IF(AND(F25="LAIT",E25="CLIENT S+D"),((S25*952.4)-((S25*952.4)*G25)),IF(AND(E25="CLIENT S",F25="LAIT"),((S25*952.4)-((S25*952.4)*G25)),IF(AND(F25="HUILE",E25="CLIENT S"),(VLOOKUP(H25,'BASE '!$I$112:$J$142,2,0)+(VLOOKUP(S25,'BASE '!#REF!,2,0)))-(G25*((VLOOKUP(S25,'BASE '!#REF!,2,0)+(VLOOKUP(H25,'BASE '!$I$112:$J$142,2,0))))))))))))))))</f>
        <v>0</v>
      </c>
      <c r="P25" s="52" t="b">
        <f t="shared" si="1"/>
        <v>0</v>
      </c>
      <c r="Q25" s="53" t="b">
        <f t="shared" si="2"/>
        <v>0</v>
      </c>
      <c r="R25" s="152" t="s">
        <v>175</v>
      </c>
      <c r="S25" s="184">
        <f t="shared" si="6"/>
        <v>0</v>
      </c>
      <c r="T25" s="124"/>
      <c r="U25" s="41" t="s">
        <v>175</v>
      </c>
      <c r="V25" s="70" t="e">
        <f>VLOOKUP(U25,'BASE '!$A$4:$H$144,2,0)</f>
        <v>#N/A</v>
      </c>
      <c r="W25" s="159"/>
      <c r="X25" s="159"/>
      <c r="Y25" s="160"/>
      <c r="Z25" s="158" t="e">
        <f>VLOOKUP(U25,'BASE '!$A$4:$H$144,3,0)</f>
        <v>#N/A</v>
      </c>
      <c r="AA25" s="94" t="e">
        <f t="shared" si="3"/>
        <v>#N/A</v>
      </c>
      <c r="AB25" s="95" t="e">
        <f>VLOOKUP(U25,'BASE '!$A$4:$H$144,6,0)*Y25/100</f>
        <v>#N/A</v>
      </c>
      <c r="AC25" s="95" t="e">
        <f>VLOOKUP(U25,'BASE '!$A$4:$H$144,7,0)*Y25/100</f>
        <v>#N/A</v>
      </c>
      <c r="AD25" s="95" t="e">
        <f>VLOOKUP(U25,'BASE '!$A$4:$H$144,8,0)*Y25/100</f>
        <v>#N/A</v>
      </c>
      <c r="AE25" s="96" t="e">
        <f t="shared" si="7"/>
        <v>#N/A</v>
      </c>
      <c r="AF25" s="431"/>
      <c r="AG25" s="91" t="s">
        <v>157</v>
      </c>
      <c r="AH25" s="36" t="e">
        <f>SUMIFS($H$6:$H$165,$D$6:$D$165,AF25,CHOIX,AG25)</f>
        <v>#NAME?</v>
      </c>
      <c r="AI25" s="36" t="e">
        <f>SUMIFS($I$6:$I$165,$D$6:$D$165,AF25,CHOIX,AG25)</f>
        <v>#NAME?</v>
      </c>
      <c r="AJ25" s="36" t="e">
        <f>SUMIFS($J$6:$J$165,$D$6:$D$165,AF25,CHOIX,AG25)</f>
        <v>#NAME?</v>
      </c>
      <c r="AK25" s="36" t="e">
        <f>SUMIFS($K$6:$K$165,$D$6:$D$165,AF25,CHOIX,AG25)</f>
        <v>#NAME?</v>
      </c>
      <c r="AL25" s="36" t="e">
        <f>SUMIFS($L$6:$L$165,$D$6:$D$165,AF25,CHOIX,AG25)</f>
        <v>#NAME?</v>
      </c>
      <c r="AM25" s="36" t="e">
        <f>SUMIFS($M$6:$M$165,$D$6:$D$165,AF25,CHOIX,AG25)</f>
        <v>#NAME?</v>
      </c>
      <c r="AN25" s="91" t="s">
        <v>157</v>
      </c>
      <c r="AO25" s="83"/>
      <c r="AP25" s="63"/>
      <c r="AQ25" s="63"/>
      <c r="AR25" s="63"/>
      <c r="AS25" s="79"/>
      <c r="AT25" s="79"/>
      <c r="AU25" s="55" t="e">
        <f>SUMIFS($O$6:$O$165,$D$6:$D$165,AF25,CHOIX,AG25)</f>
        <v>#NAME?</v>
      </c>
      <c r="AV25" s="80" t="e">
        <f>SUMIFS($Q$6:$Q$165,$D$6:$D$165,AF25,CHOIX,AG25)</f>
        <v>#NAME?</v>
      </c>
      <c r="AW25" s="12"/>
      <c r="AX25" s="12"/>
      <c r="AY25" s="12"/>
      <c r="AZ25" s="201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147">
        <f t="shared" si="8"/>
        <v>0</v>
      </c>
      <c r="BN25" s="147">
        <f t="shared" si="9"/>
        <v>0</v>
      </c>
      <c r="BO25" s="149"/>
      <c r="BP25" s="49"/>
      <c r="BQ25" s="12"/>
      <c r="BR25" s="12"/>
      <c r="BS25" s="593" t="s">
        <v>178</v>
      </c>
      <c r="BT25" s="522"/>
      <c r="BU25" s="522"/>
      <c r="BV25" s="522"/>
      <c r="BW25" s="522"/>
      <c r="BX25" s="522"/>
      <c r="BY25" s="522"/>
      <c r="BZ25" s="522"/>
      <c r="CA25" s="522"/>
      <c r="CB25" s="522"/>
      <c r="CC25" s="493">
        <f>CC23+BV23</f>
        <v>0</v>
      </c>
      <c r="CV25" s="64"/>
      <c r="CW25" s="148"/>
      <c r="CX25" s="109"/>
      <c r="CY25" s="132"/>
      <c r="CZ25" s="143"/>
      <c r="DA25" s="63"/>
      <c r="DB25" s="50"/>
      <c r="DC25" s="10"/>
      <c r="DD25" s="10"/>
      <c r="DE25" s="10"/>
      <c r="DF25" s="10"/>
      <c r="DG25" s="10"/>
      <c r="DH25" s="39"/>
      <c r="DI25" s="33">
        <f t="shared" si="4"/>
        <v>0</v>
      </c>
      <c r="DJ25" s="52" t="b">
        <f>IF(AND(CZ25="CLIENT S+L",DA25="HUILE"),(DN25*3333.33+(VLOOKUP(DC25,'BASE '!$I$112:$J$142,2,0)))-((DN25*3333.33)*DB25),IF(AND(CZ25="CLIENT S+L",DA25="LAIT"),((DN25*952.4)-(DN25*952.4)*DB25),IF(CZ25="CLIENT O","OFFERT",IF(AND(DA25="HUILE",CZ25="CLIENT L"),(((VLOOKUP(DC25,'BASE '!$I$112:$J$142,2,0))+(VLOOKUP(DN25,'BASE '!#REF!,2,0)))),IF(AND(DA25="LAIT",CZ25="CLIENT L"),(DN25*952.4),IF(AND(DA25="HUILE",CZ25="CLIENT D"),(DN25*3809.53+(VLOOKUP(DC25,'BASE '!$I$112:$J$142,2,0))),IF(AND(DA25="LAIT",CZ25="CLIENT D"),(DN25*952.4),IF(AND(DA25="HUILE",CZ25="CLIENT S+D"),((DN25*3809.53+(VLOOKUP(DC25,'BASE '!$I$112:$J$142,2,0)))-((DN25*3809.53)*DB25)),IF(AND(DA25="LAIT",CZ25="CLIENT S+D"),((DN25*952.4)-((DN25*952.4)*DB25)),IF(AND(CZ25="CLIENT S",DA25="LAIT"),((DN25*952.4)-((DN25*952.4)*DB25)),IF(AND(DA25="HUILE",CZ25="CLIENT S"),(VLOOKUP(DC25,'BASE '!$I$112:$J$142,2,0)+(VLOOKUP(DN25,'BASE '!#REF!,2,0)))-(DB25*((VLOOKUP(DN25,'BASE '!#REF!,2,0)+(VLOOKUP(DC25,'BASE '!$I$112:$J$142,2,0))))))))))))))))</f>
        <v>0</v>
      </c>
      <c r="DK25" s="52" t="b">
        <f t="shared" si="5"/>
        <v>0</v>
      </c>
      <c r="DL25" s="53" t="b">
        <f t="shared" si="12"/>
        <v>0</v>
      </c>
      <c r="DM25" s="149"/>
      <c r="DN25" s="116">
        <f t="shared" si="13"/>
        <v>0</v>
      </c>
      <c r="DO25" s="124"/>
      <c r="DP25" s="42"/>
      <c r="DQ25" s="70"/>
      <c r="DR25" s="159"/>
      <c r="DS25" s="159"/>
      <c r="DT25" s="159"/>
      <c r="DU25" s="160"/>
      <c r="DV25" s="95"/>
      <c r="DW25" s="95"/>
      <c r="DX25" s="95"/>
      <c r="DY25" s="96"/>
    </row>
    <row r="26" spans="2:129" ht="15" customHeight="1" thickBot="1" x14ac:dyDescent="0.35">
      <c r="B26" s="64"/>
      <c r="C26" s="148"/>
      <c r="D26" s="109"/>
      <c r="E26" s="63"/>
      <c r="F26" s="127"/>
      <c r="G26" s="50"/>
      <c r="H26" s="10"/>
      <c r="I26" s="10"/>
      <c r="J26" s="10"/>
      <c r="K26" s="10"/>
      <c r="L26" s="10"/>
      <c r="M26" s="39"/>
      <c r="N26" s="33">
        <f t="shared" si="0"/>
        <v>0</v>
      </c>
      <c r="O26" s="52" t="b">
        <f>IF(AND(E26="CLIENT S+L",F26="HUILE"),(S26*3333.33+(VLOOKUP(H26,'BASE '!$I$112:$J$142,2,0)))-((S26*3333.33)*G26),IF(AND(E26="CLIENT S+L",F26="LAIT"),((S26*952.4)-(S26*952.4)*G26),IF(E26="CLIENT O","OFFERT",IF(AND(F26="HUILE",E26="CLIENT L"),(((VLOOKUP(H26,'BASE '!$I$112:$J$142,2,0))+(VLOOKUP(S26,'BASE '!#REF!,2,0)))),IF(AND(F26="LAIT",E26="CLIENT L"),(S26*952.4),IF(AND(F26="HUILE",E26="CLIENT D"),(S26*3809.53+(VLOOKUP(H26,'BASE '!$I$112:$J$142,2,0))),IF(AND(F26="LAIT",E26="CLIENT D"),(S26*952.4),IF(AND(F26="HUILE",E26="CLIENT S+D"),((S26*3809.53+(VLOOKUP(H26,'BASE '!$I$112:$J$142,2,0)))-((S26*3809.53)*G26)),IF(AND(F26="LAIT",E26="CLIENT S+D"),((S26*952.4)-((S26*952.4)*G26)),IF(AND(E26="CLIENT S",F26="LAIT"),((S26*952.4)-((S26*952.4)*G26)),IF(AND(F26="HUILE",E26="CLIENT S"),(VLOOKUP(H26,'BASE '!$I$112:$J$142,2,0)+(VLOOKUP(S26,'BASE '!#REF!,2,0)))-(G26*((VLOOKUP(S26,'BASE '!#REF!,2,0)+(VLOOKUP(H26,'BASE '!$I$112:$J$142,2,0))))))))))))))))</f>
        <v>0</v>
      </c>
      <c r="P26" s="52" t="b">
        <f t="shared" si="1"/>
        <v>0</v>
      </c>
      <c r="Q26" s="53" t="b">
        <f t="shared" si="2"/>
        <v>0</v>
      </c>
      <c r="R26" s="152" t="s">
        <v>175</v>
      </c>
      <c r="S26" s="184">
        <f t="shared" si="6"/>
        <v>0</v>
      </c>
      <c r="T26" s="124"/>
      <c r="U26" s="41" t="s">
        <v>175</v>
      </c>
      <c r="V26" s="70" t="e">
        <f>VLOOKUP(U26,'BASE '!$A$4:$H$144,2,0)</f>
        <v>#N/A</v>
      </c>
      <c r="W26" s="159"/>
      <c r="X26" s="159"/>
      <c r="Y26" s="160"/>
      <c r="Z26" s="158" t="e">
        <f>VLOOKUP(U26,'BASE '!$A$4:$H$144,3,0)</f>
        <v>#N/A</v>
      </c>
      <c r="AA26" s="94" t="e">
        <f t="shared" si="3"/>
        <v>#N/A</v>
      </c>
      <c r="AB26" s="95" t="e">
        <f>VLOOKUP(U26,'BASE '!$A$4:$H$144,6,0)*Y26/100</f>
        <v>#N/A</v>
      </c>
      <c r="AC26" s="95" t="e">
        <f>VLOOKUP(U26,'BASE '!$A$4:$H$144,7,0)*Y26/100</f>
        <v>#N/A</v>
      </c>
      <c r="AD26" s="95" t="e">
        <f>VLOOKUP(U26,'BASE '!$A$4:$H$144,8,0)*Y26/100</f>
        <v>#N/A</v>
      </c>
      <c r="AE26" s="96" t="e">
        <f t="shared" si="7"/>
        <v>#N/A</v>
      </c>
      <c r="AF26" s="431"/>
      <c r="AG26" s="1" t="s">
        <v>155</v>
      </c>
      <c r="AH26" s="36" t="e">
        <f>SUMIFS($H$6:$H$165,$D$6:$D$165,AF25,CHOIX,AG26)</f>
        <v>#NAME?</v>
      </c>
      <c r="AI26" s="36" t="e">
        <f>SUMIFS($I$6:$I$165,$D$6:$D$165,AF25,CHOIX,AG26)</f>
        <v>#NAME?</v>
      </c>
      <c r="AJ26" s="36" t="e">
        <f>SUMIFS($J$6:$J$165,$D$6:$D$165,AF25,CHOIX,AG26)</f>
        <v>#NAME?</v>
      </c>
      <c r="AK26" s="36" t="e">
        <f>SUMIFS($K$6:$K$165,$D$6:$D$165,AF25,CHOIX,AG26)</f>
        <v>#NAME?</v>
      </c>
      <c r="AL26" s="36" t="e">
        <f>SUMIFS($L$6:$L$165,$D$6:$D$165,AF25,CHOIX,AG26)</f>
        <v>#NAME?</v>
      </c>
      <c r="AM26" s="36" t="e">
        <f>SUMIFS($M$6:$M$165,$D$6:$D$165,AF25,CHOIX,AG26)</f>
        <v>#NAME?</v>
      </c>
      <c r="AN26" s="1" t="s">
        <v>155</v>
      </c>
      <c r="AO26" s="83"/>
      <c r="AP26" s="63"/>
      <c r="AQ26" s="63"/>
      <c r="AR26" s="63"/>
      <c r="AS26" s="79"/>
      <c r="AT26" s="79"/>
      <c r="AU26" s="55" t="e">
        <f>SUMIFS($O$6:$O$165,$D$6:$D$165,AF25,CHOIX,AG26)</f>
        <v>#NAME?</v>
      </c>
      <c r="AV26" s="80" t="e">
        <f>SUMIFS($Q$6:$Q$165,$D$6:$D$165,AF25,CHOIX,AG26)</f>
        <v>#NAME?</v>
      </c>
      <c r="AW26" s="12"/>
      <c r="AX26" s="12"/>
      <c r="AY26" s="12"/>
      <c r="AZ26" s="201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147">
        <f t="shared" si="8"/>
        <v>0</v>
      </c>
      <c r="BN26" s="147">
        <f t="shared" si="9"/>
        <v>0</v>
      </c>
      <c r="BO26" s="149"/>
      <c r="BP26" s="49"/>
      <c r="BQ26" s="12"/>
      <c r="BR26" s="12"/>
      <c r="BS26" s="594"/>
      <c r="BT26" s="523"/>
      <c r="BU26" s="523"/>
      <c r="BV26" s="523"/>
      <c r="BW26" s="523"/>
      <c r="BX26" s="523"/>
      <c r="BY26" s="523"/>
      <c r="BZ26" s="523"/>
      <c r="CA26" s="523"/>
      <c r="CB26" s="523"/>
      <c r="CC26" s="494"/>
      <c r="CV26" s="64"/>
      <c r="CW26" s="148"/>
      <c r="CX26" s="109"/>
      <c r="CY26" s="132"/>
      <c r="CZ26" s="143"/>
      <c r="DA26" s="63"/>
      <c r="DB26" s="50"/>
      <c r="DC26" s="10"/>
      <c r="DD26" s="10"/>
      <c r="DE26" s="10"/>
      <c r="DF26" s="10"/>
      <c r="DG26" s="10"/>
      <c r="DH26" s="39"/>
      <c r="DI26" s="33">
        <f t="shared" si="4"/>
        <v>0</v>
      </c>
      <c r="DJ26" s="52" t="b">
        <f>IF(AND(CZ26="CLIENT S+L",DA26="HUILE"),(DN26*3333.33+(VLOOKUP(DC26,'BASE '!$I$112:$J$142,2,0)))-((DN26*3333.33)*DB26),IF(AND(CZ26="CLIENT S+L",DA26="LAIT"),((DN26*952.4)-(DN26*952.4)*DB26),IF(CZ26="CLIENT O","OFFERT",IF(AND(DA26="HUILE",CZ26="CLIENT L"),(((VLOOKUP(DC26,'BASE '!$I$112:$J$142,2,0))+(VLOOKUP(DN26,'BASE '!#REF!,2,0)))),IF(AND(DA26="LAIT",CZ26="CLIENT L"),(DN26*952.4),IF(AND(DA26="HUILE",CZ26="CLIENT D"),(DN26*3809.53+(VLOOKUP(DC26,'BASE '!$I$112:$J$142,2,0))),IF(AND(DA26="LAIT",CZ26="CLIENT D"),(DN26*952.4),IF(AND(DA26="HUILE",CZ26="CLIENT S+D"),((DN26*3809.53+(VLOOKUP(DC26,'BASE '!$I$112:$J$142,2,0)))-((DN26*3809.53)*DB26)),IF(AND(DA26="LAIT",CZ26="CLIENT S+D"),((DN26*952.4)-((DN26*952.4)*DB26)),IF(AND(CZ26="CLIENT S",DA26="LAIT"),((DN26*952.4)-((DN26*952.4)*DB26)),IF(AND(DA26="HUILE",CZ26="CLIENT S"),(VLOOKUP(DC26,'BASE '!$I$112:$J$142,2,0)+(VLOOKUP(DN26,'BASE '!#REF!,2,0)))-(DB26*((VLOOKUP(DN26,'BASE '!#REF!,2,0)+(VLOOKUP(DC26,'BASE '!$I$112:$J$142,2,0))))))))))))))))</f>
        <v>0</v>
      </c>
      <c r="DK26" s="52" t="b">
        <f t="shared" si="5"/>
        <v>0</v>
      </c>
      <c r="DL26" s="53" t="b">
        <f t="shared" si="12"/>
        <v>0</v>
      </c>
      <c r="DM26" s="149"/>
      <c r="DN26" s="116">
        <f t="shared" si="13"/>
        <v>0</v>
      </c>
      <c r="DO26" s="124"/>
      <c r="DP26" s="42"/>
      <c r="DQ26" s="70"/>
      <c r="DR26" s="159"/>
      <c r="DS26" s="159"/>
      <c r="DT26" s="159"/>
      <c r="DU26" s="160"/>
      <c r="DV26" s="95"/>
      <c r="DW26" s="95"/>
      <c r="DX26" s="95"/>
      <c r="DY26" s="96"/>
    </row>
    <row r="27" spans="2:129" ht="15" customHeight="1" x14ac:dyDescent="0.3">
      <c r="B27" s="64"/>
      <c r="C27" s="148"/>
      <c r="D27" s="109"/>
      <c r="E27" s="63"/>
      <c r="F27" s="127"/>
      <c r="G27" s="50"/>
      <c r="H27" s="10"/>
      <c r="I27" s="10"/>
      <c r="J27" s="10"/>
      <c r="K27" s="10"/>
      <c r="L27" s="10"/>
      <c r="M27" s="39"/>
      <c r="N27" s="33">
        <f t="shared" si="0"/>
        <v>0</v>
      </c>
      <c r="O27" s="52" t="b">
        <f>IF(AND(E27="CLIENT S+L",F27="HUILE"),(S27*3333.33+(VLOOKUP(H27,'BASE '!$I$112:$J$142,2,0)))-((S27*3333.33)*G27),IF(AND(E27="CLIENT S+L",F27="LAIT"),((S27*952.4)-(S27*952.4)*G27),IF(E27="CLIENT O","OFFERT",IF(AND(F27="HUILE",E27="CLIENT L"),(((VLOOKUP(H27,'BASE '!$I$112:$J$142,2,0))+(VLOOKUP(S27,'BASE '!#REF!,2,0)))),IF(AND(F27="LAIT",E27="CLIENT L"),(S27*952.4),IF(AND(F27="HUILE",E27="CLIENT D"),(S27*3809.53+(VLOOKUP(H27,'BASE '!$I$112:$J$142,2,0))),IF(AND(F27="LAIT",E27="CLIENT D"),(S27*952.4),IF(AND(F27="HUILE",E27="CLIENT S+D"),((S27*3809.53+(VLOOKUP(H27,'BASE '!$I$112:$J$142,2,0)))-((S27*3809.53)*G27)),IF(AND(F27="LAIT",E27="CLIENT S+D"),((S27*952.4)-((S27*952.4)*G27)),IF(AND(E27="CLIENT S",F27="LAIT"),((S27*952.4)-((S27*952.4)*G27)),IF(AND(F27="HUILE",E27="CLIENT S"),(VLOOKUP(H27,'BASE '!$I$112:$J$142,2,0)+(VLOOKUP(S27,'BASE '!#REF!,2,0)))-(G27*((VLOOKUP(S27,'BASE '!#REF!,2,0)+(VLOOKUP(H27,'BASE '!$I$112:$J$142,2,0))))))))))))))))</f>
        <v>0</v>
      </c>
      <c r="P27" s="52" t="b">
        <f t="shared" si="1"/>
        <v>0</v>
      </c>
      <c r="Q27" s="53" t="b">
        <f t="shared" si="2"/>
        <v>0</v>
      </c>
      <c r="R27" s="152" t="s">
        <v>175</v>
      </c>
      <c r="S27" s="184">
        <f t="shared" si="6"/>
        <v>0</v>
      </c>
      <c r="T27" s="124"/>
      <c r="U27" s="41" t="s">
        <v>175</v>
      </c>
      <c r="V27" s="70" t="e">
        <f>VLOOKUP(U27,'BASE '!$A$4:$H$144,2,0)</f>
        <v>#N/A</v>
      </c>
      <c r="W27" s="159"/>
      <c r="X27" s="159"/>
      <c r="Y27" s="160"/>
      <c r="Z27" s="158" t="e">
        <f>VLOOKUP(U27,'BASE '!$A$4:$H$144,3,0)</f>
        <v>#N/A</v>
      </c>
      <c r="AA27" s="94" t="e">
        <f t="shared" si="3"/>
        <v>#N/A</v>
      </c>
      <c r="AB27" s="95" t="e">
        <f>VLOOKUP(U27,'BASE '!$A$4:$H$144,6,0)*Y27/100</f>
        <v>#N/A</v>
      </c>
      <c r="AC27" s="95" t="e">
        <f>VLOOKUP(U27,'BASE '!$A$4:$H$144,7,0)*Y27/100</f>
        <v>#N/A</v>
      </c>
      <c r="AD27" s="95" t="e">
        <f>VLOOKUP(U27,'BASE '!$A$4:$H$144,8,0)*Y27/100</f>
        <v>#N/A</v>
      </c>
      <c r="AE27" s="96" t="e">
        <f t="shared" si="7"/>
        <v>#N/A</v>
      </c>
      <c r="AF27" s="431"/>
      <c r="AG27" s="91" t="s">
        <v>157</v>
      </c>
      <c r="AH27" s="36" t="e">
        <f>SUMIFS($H$6:$H$165,$D$6:$D$165,AF27,CHOIX,AG27)</f>
        <v>#NAME?</v>
      </c>
      <c r="AI27" s="36" t="e">
        <f>SUMIFS($I$6:$I$165,$D$6:$D$165,AF27,CHOIX,AG27)</f>
        <v>#NAME?</v>
      </c>
      <c r="AJ27" s="36" t="e">
        <f>SUMIFS($J$6:$J$165,$D$6:$D$165,AF27,CHOIX,AG27)</f>
        <v>#NAME?</v>
      </c>
      <c r="AK27" s="36" t="e">
        <f>SUMIFS($K$6:$K$165,$D$6:$D$165,AF27,CHOIX,AG27)</f>
        <v>#NAME?</v>
      </c>
      <c r="AL27" s="36" t="e">
        <f>SUMIFS($L$6:$L$165,$D$6:$D$165,AF27,CHOIX,AG27)</f>
        <v>#NAME?</v>
      </c>
      <c r="AM27" s="36" t="e">
        <f>SUMIFS($M$6:$M$165,$D$6:$D$165,AF27,CHOIX,AG27)</f>
        <v>#NAME?</v>
      </c>
      <c r="AN27" s="91" t="s">
        <v>157</v>
      </c>
      <c r="AO27" s="83"/>
      <c r="AP27" s="63"/>
      <c r="AQ27" s="63"/>
      <c r="AR27" s="63"/>
      <c r="AS27" s="79"/>
      <c r="AT27" s="79"/>
      <c r="AU27" s="55" t="e">
        <f>SUMIFS($O$6:$O$165,$D$6:$D$165,AF27,CHOIX,AG27)</f>
        <v>#NAME?</v>
      </c>
      <c r="AV27" s="80" t="e">
        <f>SUMIFS($Q$6:$Q$165,$D$6:$D$165,AF27,CHOIX,AG27)</f>
        <v>#NAME?</v>
      </c>
      <c r="AW27" s="12"/>
      <c r="AX27" s="12"/>
      <c r="AY27" s="12"/>
      <c r="AZ27" s="201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147">
        <f t="shared" si="8"/>
        <v>0</v>
      </c>
      <c r="BN27" s="147">
        <f t="shared" si="9"/>
        <v>0</v>
      </c>
      <c r="BO27" s="149"/>
      <c r="BP27" s="49"/>
      <c r="BQ27" s="12"/>
      <c r="BR27" s="12"/>
      <c r="BS27" s="12"/>
      <c r="BT27" s="12"/>
      <c r="BU27" s="12"/>
      <c r="BV27" s="51"/>
      <c r="BW27" s="51"/>
      <c r="BX27" s="12"/>
      <c r="CV27" s="64"/>
      <c r="CW27" s="148"/>
      <c r="CX27" s="109"/>
      <c r="CY27" s="132"/>
      <c r="CZ27" s="143"/>
      <c r="DA27" s="63"/>
      <c r="DB27" s="50"/>
      <c r="DC27" s="10"/>
      <c r="DD27" s="10"/>
      <c r="DE27" s="10"/>
      <c r="DF27" s="10"/>
      <c r="DG27" s="10"/>
      <c r="DH27" s="39"/>
      <c r="DI27" s="33">
        <f t="shared" si="4"/>
        <v>0</v>
      </c>
      <c r="DJ27" s="52" t="b">
        <f>IF(AND(CZ27="CLIENT S+L",DA27="HUILE"),(DN27*3333.33+(VLOOKUP(DC27,'BASE '!$I$112:$J$142,2,0)))-((DN27*3333.33)*DB27),IF(AND(CZ27="CLIENT S+L",DA27="LAIT"),((DN27*952.4)-(DN27*952.4)*DB27),IF(CZ27="CLIENT O","OFFERT",IF(AND(DA27="HUILE",CZ27="CLIENT L"),(((VLOOKUP(DC27,'BASE '!$I$112:$J$142,2,0))+(VLOOKUP(DN27,'BASE '!#REF!,2,0)))),IF(AND(DA27="LAIT",CZ27="CLIENT L"),(DN27*952.4),IF(AND(DA27="HUILE",CZ27="CLIENT D"),(DN27*3809.53+(VLOOKUP(DC27,'BASE '!$I$112:$J$142,2,0))),IF(AND(DA27="LAIT",CZ27="CLIENT D"),(DN27*952.4),IF(AND(DA27="HUILE",CZ27="CLIENT S+D"),((DN27*3809.53+(VLOOKUP(DC27,'BASE '!$I$112:$J$142,2,0)))-((DN27*3809.53)*DB27)),IF(AND(DA27="LAIT",CZ27="CLIENT S+D"),((DN27*952.4)-((DN27*952.4)*DB27)),IF(AND(CZ27="CLIENT S",DA27="LAIT"),((DN27*952.4)-((DN27*952.4)*DB27)),IF(AND(DA27="HUILE",CZ27="CLIENT S"),(VLOOKUP(DC27,'BASE '!$I$112:$J$142,2,0)+(VLOOKUP(DN27,'BASE '!#REF!,2,0)))-(DB27*((VLOOKUP(DN27,'BASE '!#REF!,2,0)+(VLOOKUP(DC27,'BASE '!$I$112:$J$142,2,0))))))))))))))))</f>
        <v>0</v>
      </c>
      <c r="DK27" s="52" t="b">
        <f t="shared" si="5"/>
        <v>0</v>
      </c>
      <c r="DL27" s="53" t="b">
        <f t="shared" si="12"/>
        <v>0</v>
      </c>
      <c r="DM27" s="149"/>
      <c r="DN27" s="116">
        <f t="shared" si="13"/>
        <v>0</v>
      </c>
      <c r="DO27" s="124"/>
      <c r="DP27" s="42"/>
      <c r="DQ27" s="70"/>
      <c r="DR27" s="159"/>
      <c r="DS27" s="159"/>
      <c r="DT27" s="159"/>
      <c r="DU27" s="160"/>
      <c r="DV27" s="95"/>
      <c r="DW27" s="95"/>
      <c r="DX27" s="95"/>
      <c r="DY27" s="96"/>
    </row>
    <row r="28" spans="2:129" ht="15" customHeight="1" x14ac:dyDescent="0.3">
      <c r="B28" s="64"/>
      <c r="C28" s="148"/>
      <c r="D28" s="109"/>
      <c r="E28" s="63"/>
      <c r="F28" s="127"/>
      <c r="G28" s="50"/>
      <c r="H28" s="10"/>
      <c r="I28" s="10"/>
      <c r="J28" s="10"/>
      <c r="K28" s="10"/>
      <c r="L28" s="10"/>
      <c r="M28" s="39"/>
      <c r="N28" s="33">
        <f t="shared" si="0"/>
        <v>0</v>
      </c>
      <c r="O28" s="52" t="b">
        <f>IF(AND(E28="CLIENT S+L",F28="HUILE"),(S28*3333.33+(VLOOKUP(H28,'BASE '!$I$112:$J$142,2,0)))-((S28*3333.33)*G28),IF(AND(E28="CLIENT S+L",F28="LAIT"),((S28*952.4)-(S28*952.4)*G28),IF(E28="CLIENT O","OFFERT",IF(AND(F28="HUILE",E28="CLIENT L"),(((VLOOKUP(H28,'BASE '!$I$112:$J$142,2,0))+(VLOOKUP(S28,'BASE '!#REF!,2,0)))),IF(AND(F28="LAIT",E28="CLIENT L"),(S28*952.4),IF(AND(F28="HUILE",E28="CLIENT D"),(S28*3809.53+(VLOOKUP(H28,'BASE '!$I$112:$J$142,2,0))),IF(AND(F28="LAIT",E28="CLIENT D"),(S28*952.4),IF(AND(F28="HUILE",E28="CLIENT S+D"),((S28*3809.53+(VLOOKUP(H28,'BASE '!$I$112:$J$142,2,0)))-((S28*3809.53)*G28)),IF(AND(F28="LAIT",E28="CLIENT S+D"),((S28*952.4)-((S28*952.4)*G28)),IF(AND(E28="CLIENT S",F28="LAIT"),((S28*952.4)-((S28*952.4)*G28)),IF(AND(F28="HUILE",E28="CLIENT S"),(VLOOKUP(H28,'BASE '!$I$112:$J$142,2,0)+(VLOOKUP(S28,'BASE '!#REF!,2,0)))-(G28*((VLOOKUP(S28,'BASE '!#REF!,2,0)+(VLOOKUP(H28,'BASE '!$I$112:$J$142,2,0))))))))))))))))</f>
        <v>0</v>
      </c>
      <c r="P28" s="52" t="b">
        <f t="shared" si="1"/>
        <v>0</v>
      </c>
      <c r="Q28" s="53" t="b">
        <f t="shared" si="2"/>
        <v>0</v>
      </c>
      <c r="R28" s="152" t="s">
        <v>175</v>
      </c>
      <c r="S28" s="184">
        <f t="shared" si="6"/>
        <v>0</v>
      </c>
      <c r="T28" s="124"/>
      <c r="U28" s="41" t="s">
        <v>175</v>
      </c>
      <c r="V28" s="70" t="e">
        <f>VLOOKUP(U28,'BASE '!$A$4:$H$144,2,0)</f>
        <v>#N/A</v>
      </c>
      <c r="W28" s="159"/>
      <c r="X28" s="159"/>
      <c r="Y28" s="160"/>
      <c r="Z28" s="158" t="e">
        <f>VLOOKUP(U28,'BASE '!$A$4:$H$144,3,0)</f>
        <v>#N/A</v>
      </c>
      <c r="AA28" s="94" t="e">
        <f t="shared" si="3"/>
        <v>#N/A</v>
      </c>
      <c r="AB28" s="95" t="e">
        <f>VLOOKUP(U28,'BASE '!$A$4:$H$144,6,0)*Y28/100</f>
        <v>#N/A</v>
      </c>
      <c r="AC28" s="95" t="e">
        <f>VLOOKUP(U28,'BASE '!$A$4:$H$144,7,0)*Y28/100</f>
        <v>#N/A</v>
      </c>
      <c r="AD28" s="95" t="e">
        <f>VLOOKUP(U28,'BASE '!$A$4:$H$144,8,0)*Y28/100</f>
        <v>#N/A</v>
      </c>
      <c r="AE28" s="96" t="e">
        <f t="shared" si="7"/>
        <v>#N/A</v>
      </c>
      <c r="AF28" s="431"/>
      <c r="AG28" s="1" t="s">
        <v>155</v>
      </c>
      <c r="AH28" s="36" t="e">
        <f>SUMIFS($H$6:$H$165,$D$6:$D$165,AF27,CHOIX,AG28)</f>
        <v>#NAME?</v>
      </c>
      <c r="AI28" s="36" t="e">
        <f>SUMIFS($I$6:$I$165,$D$6:$D$165,AF27,CHOIX,AG28)</f>
        <v>#NAME?</v>
      </c>
      <c r="AJ28" s="36" t="e">
        <f>SUMIFS($J$6:$J$165,$D$6:$D$165,AF27,CHOIX,AG28)</f>
        <v>#NAME?</v>
      </c>
      <c r="AK28" s="36" t="e">
        <f>SUMIFS($K$6:$K$165,$D$6:$D$165,AF27,CHOIX,AG28)</f>
        <v>#NAME?</v>
      </c>
      <c r="AL28" s="36" t="e">
        <f>SUMIFS($L$6:$L$165,$D$6:$D$165,AF27,CHOIX,AG28)</f>
        <v>#NAME?</v>
      </c>
      <c r="AM28" s="36" t="e">
        <f>SUMIFS($M$6:$M$165,$D$6:$D$165,AF27,CHOIX,AG28)</f>
        <v>#NAME?</v>
      </c>
      <c r="AN28" s="1" t="s">
        <v>155</v>
      </c>
      <c r="AO28" s="83"/>
      <c r="AP28" s="63"/>
      <c r="AQ28" s="63"/>
      <c r="AR28" s="63"/>
      <c r="AS28" s="79"/>
      <c r="AT28" s="79"/>
      <c r="AU28" s="55" t="e">
        <f>SUMIFS($O$6:$O$165,$D$6:$D$165,AF27,CHOIX,AG28)</f>
        <v>#NAME?</v>
      </c>
      <c r="AV28" s="80" t="e">
        <f>SUMIFS($Q$6:$Q$165,$D$6:$D$165,AF27,CHOIX,AG28)</f>
        <v>#NAME?</v>
      </c>
      <c r="AW28" s="12"/>
      <c r="AX28" s="12"/>
      <c r="AY28" s="12"/>
      <c r="AZ28" s="201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147">
        <f t="shared" si="8"/>
        <v>0</v>
      </c>
      <c r="BN28" s="147">
        <f t="shared" si="9"/>
        <v>0</v>
      </c>
      <c r="BO28" s="149"/>
      <c r="BP28" s="49"/>
      <c r="BQ28" s="12"/>
      <c r="BR28" s="12"/>
      <c r="BS28" s="12"/>
      <c r="BT28" s="12"/>
      <c r="BU28" s="12"/>
      <c r="BV28" s="51"/>
      <c r="BW28" s="51"/>
      <c r="BX28" s="12"/>
      <c r="CV28" s="64"/>
      <c r="CW28" s="148"/>
      <c r="CX28" s="109"/>
      <c r="CY28" s="132"/>
      <c r="CZ28" s="143"/>
      <c r="DA28" s="63"/>
      <c r="DB28" s="50"/>
      <c r="DC28" s="10"/>
      <c r="DD28" s="10"/>
      <c r="DE28" s="10"/>
      <c r="DF28" s="10"/>
      <c r="DG28" s="10"/>
      <c r="DH28" s="39"/>
      <c r="DI28" s="33">
        <f t="shared" si="4"/>
        <v>0</v>
      </c>
      <c r="DJ28" s="52" t="b">
        <f>IF(AND(CZ28="CLIENT S+L",DA28="HUILE"),(DN28*3333.33+(VLOOKUP(DC28,'BASE '!$I$112:$J$142,2,0)))-((DN28*3333.33)*DB28),IF(AND(CZ28="CLIENT S+L",DA28="LAIT"),((DN28*952.4)-(DN28*952.4)*DB28),IF(CZ28="CLIENT O","OFFERT",IF(AND(DA28="HUILE",CZ28="CLIENT L"),(((VLOOKUP(DC28,'BASE '!$I$112:$J$142,2,0))+(VLOOKUP(DN28,'BASE '!#REF!,2,0)))),IF(AND(DA28="LAIT",CZ28="CLIENT L"),(DN28*952.4),IF(AND(DA28="HUILE",CZ28="CLIENT D"),(DN28*3809.53+(VLOOKUP(DC28,'BASE '!$I$112:$J$142,2,0))),IF(AND(DA28="LAIT",CZ28="CLIENT D"),(DN28*952.4),IF(AND(DA28="HUILE",CZ28="CLIENT S+D"),((DN28*3809.53+(VLOOKUP(DC28,'BASE '!$I$112:$J$142,2,0)))-((DN28*3809.53)*DB28)),IF(AND(DA28="LAIT",CZ28="CLIENT S+D"),((DN28*952.4)-((DN28*952.4)*DB28)),IF(AND(CZ28="CLIENT S",DA28="LAIT"),((DN28*952.4)-((DN28*952.4)*DB28)),IF(AND(DA28="HUILE",CZ28="CLIENT S"),(VLOOKUP(DC28,'BASE '!$I$112:$J$142,2,0)+(VLOOKUP(DN28,'BASE '!#REF!,2,0)))-(DB28*((VLOOKUP(DN28,'BASE '!#REF!,2,0)+(VLOOKUP(DC28,'BASE '!$I$112:$J$142,2,0))))))))))))))))</f>
        <v>0</v>
      </c>
      <c r="DK28" s="52" t="b">
        <f t="shared" si="5"/>
        <v>0</v>
      </c>
      <c r="DL28" s="53" t="b">
        <f t="shared" si="12"/>
        <v>0</v>
      </c>
      <c r="DM28" s="149"/>
      <c r="DN28" s="116">
        <f t="shared" si="13"/>
        <v>0</v>
      </c>
      <c r="DO28" s="124"/>
      <c r="DP28" s="42"/>
      <c r="DQ28" s="70"/>
      <c r="DR28" s="159"/>
      <c r="DS28" s="159"/>
      <c r="DT28" s="159"/>
      <c r="DU28" s="160"/>
      <c r="DV28" s="95"/>
      <c r="DW28" s="95"/>
      <c r="DX28" s="95"/>
      <c r="DY28" s="96"/>
    </row>
    <row r="29" spans="2:129" ht="15" customHeight="1" thickBot="1" x14ac:dyDescent="0.35">
      <c r="B29" s="64"/>
      <c r="C29" s="148"/>
      <c r="D29" s="109"/>
      <c r="E29" s="63"/>
      <c r="F29" s="127"/>
      <c r="G29" s="50"/>
      <c r="H29" s="10"/>
      <c r="I29" s="10"/>
      <c r="J29" s="10"/>
      <c r="K29" s="10"/>
      <c r="L29" s="10"/>
      <c r="M29" s="39"/>
      <c r="N29" s="33">
        <f t="shared" si="0"/>
        <v>0</v>
      </c>
      <c r="O29" s="52" t="b">
        <f>IF(AND(E29="CLIENT S+L",F29="HUILE"),(S29*3333.33+(VLOOKUP(H29,'BASE '!$I$112:$J$142,2,0)))-((S29*3333.33)*G29),IF(AND(E29="CLIENT S+L",F29="LAIT"),((S29*952.4)-(S29*952.4)*G29),IF(E29="CLIENT O","OFFERT",IF(AND(F29="HUILE",E29="CLIENT L"),(((VLOOKUP(H29,'BASE '!$I$112:$J$142,2,0))+(VLOOKUP(S29,'BASE '!#REF!,2,0)))),IF(AND(F29="LAIT",E29="CLIENT L"),(S29*952.4),IF(AND(F29="HUILE",E29="CLIENT D"),(S29*3809.53+(VLOOKUP(H29,'BASE '!$I$112:$J$142,2,0))),IF(AND(F29="LAIT",E29="CLIENT D"),(S29*952.4),IF(AND(F29="HUILE",E29="CLIENT S+D"),((S29*3809.53+(VLOOKUP(H29,'BASE '!$I$112:$J$142,2,0)))-((S29*3809.53)*G29)),IF(AND(F29="LAIT",E29="CLIENT S+D"),((S29*952.4)-((S29*952.4)*G29)),IF(AND(E29="CLIENT S",F29="LAIT"),((S29*952.4)-((S29*952.4)*G29)),IF(AND(F29="HUILE",E29="CLIENT S"),(VLOOKUP(H29,'BASE '!$I$112:$J$142,2,0)+(VLOOKUP(S29,'BASE '!#REF!,2,0)))-(G29*((VLOOKUP(S29,'BASE '!#REF!,2,0)+(VLOOKUP(H29,'BASE '!$I$112:$J$142,2,0))))))))))))))))</f>
        <v>0</v>
      </c>
      <c r="P29" s="52" t="b">
        <f t="shared" si="1"/>
        <v>0</v>
      </c>
      <c r="Q29" s="53" t="b">
        <f t="shared" si="2"/>
        <v>0</v>
      </c>
      <c r="R29" s="152" t="s">
        <v>175</v>
      </c>
      <c r="S29" s="184">
        <f t="shared" si="6"/>
        <v>0</v>
      </c>
      <c r="T29" s="124"/>
      <c r="U29" s="41" t="s">
        <v>175</v>
      </c>
      <c r="V29" s="70" t="e">
        <f>VLOOKUP(U29,'BASE '!$A$4:$H$144,2,0)</f>
        <v>#N/A</v>
      </c>
      <c r="W29" s="159"/>
      <c r="X29" s="159"/>
      <c r="Y29" s="160"/>
      <c r="Z29" s="158" t="e">
        <f>VLOOKUP(U29,'BASE '!$A$4:$H$144,3,0)</f>
        <v>#N/A</v>
      </c>
      <c r="AA29" s="94" t="e">
        <f t="shared" si="3"/>
        <v>#N/A</v>
      </c>
      <c r="AB29" s="95" t="e">
        <f>VLOOKUP(U29,'BASE '!$A$4:$H$144,6,0)*Y29/100</f>
        <v>#N/A</v>
      </c>
      <c r="AC29" s="95" t="e">
        <f>VLOOKUP(U29,'BASE '!$A$4:$H$144,7,0)*Y29/100</f>
        <v>#N/A</v>
      </c>
      <c r="AD29" s="95" t="e">
        <f>VLOOKUP(U29,'BASE '!$A$4:$H$144,8,0)*Y29/100</f>
        <v>#N/A</v>
      </c>
      <c r="AE29" s="96" t="e">
        <f t="shared" si="7"/>
        <v>#N/A</v>
      </c>
      <c r="AF29" s="431"/>
      <c r="AG29" s="91" t="s">
        <v>157</v>
      </c>
      <c r="AH29" s="36" t="e">
        <f>SUMIFS($H$6:$H$165,$D$6:$D$165,AF29,CHOIX,AG29)</f>
        <v>#NAME?</v>
      </c>
      <c r="AI29" s="36" t="e">
        <f>SUMIFS($I$6:$I$165,$D$6:$D$165,AF29,CHOIX,AG29)</f>
        <v>#NAME?</v>
      </c>
      <c r="AJ29" s="36" t="e">
        <f>SUMIFS($J$6:$J$165,$D$6:$D$165,AF29,CHOIX,AG29)</f>
        <v>#NAME?</v>
      </c>
      <c r="AK29" s="36" t="e">
        <f>SUMIFS($K$6:$K$165,$D$6:$D$165,AF29,CHOIX,AG29)</f>
        <v>#NAME?</v>
      </c>
      <c r="AL29" s="36" t="e">
        <f>SUMIFS($L$6:$L$165,$D$6:$D$165,AF29,CHOIX,AG29)</f>
        <v>#NAME?</v>
      </c>
      <c r="AM29" s="36" t="e">
        <f>SUMIFS($M$6:$M$165,$D$6:$D$165,AF29,CHOIX,AG29)</f>
        <v>#NAME?</v>
      </c>
      <c r="AN29" s="91" t="s">
        <v>157</v>
      </c>
      <c r="AO29" s="83"/>
      <c r="AP29" s="63"/>
      <c r="AQ29" s="63"/>
      <c r="AR29" s="63"/>
      <c r="AS29" s="79"/>
      <c r="AT29" s="79"/>
      <c r="AU29" s="55" t="e">
        <f>SUMIFS($O$6:$O$165,$D$6:$D$165,AF29,CHOIX,AG29)</f>
        <v>#NAME?</v>
      </c>
      <c r="AV29" s="80" t="e">
        <f>SUMIFS($Q$6:$Q$165,$D$6:$D$165,AF29,CHOIX,AG29)</f>
        <v>#NAME?</v>
      </c>
      <c r="AW29" s="12"/>
      <c r="AX29" s="12"/>
      <c r="AY29" s="12"/>
      <c r="AZ29" s="201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147">
        <f t="shared" si="8"/>
        <v>0</v>
      </c>
      <c r="BN29" s="147">
        <f t="shared" si="9"/>
        <v>0</v>
      </c>
      <c r="BO29" s="149"/>
      <c r="BP29" s="49"/>
      <c r="BQ29" s="12"/>
      <c r="BR29" s="12"/>
      <c r="BS29" s="12"/>
      <c r="BT29" s="12"/>
      <c r="BU29" s="12"/>
      <c r="BV29" s="51"/>
      <c r="BW29" s="51"/>
      <c r="BX29" s="12"/>
      <c r="CV29" s="64"/>
      <c r="CW29" s="148"/>
      <c r="CX29" s="109"/>
      <c r="CY29" s="132"/>
      <c r="CZ29" s="143"/>
      <c r="DA29" s="63"/>
      <c r="DB29" s="50"/>
      <c r="DC29" s="10"/>
      <c r="DD29" s="10"/>
      <c r="DE29" s="10"/>
      <c r="DF29" s="10"/>
      <c r="DG29" s="10"/>
      <c r="DH29" s="39"/>
      <c r="DI29" s="33">
        <f t="shared" si="4"/>
        <v>0</v>
      </c>
      <c r="DJ29" s="52" t="b">
        <f>IF(AND(CZ29="CLIENT S+L",DA29="HUILE"),(DO29*3333.33+(VLOOKUP(DC29,'BASE '!$I$112:$J$142,2,0)))-((DO29*3333.33)*DB29),IF(AND(CZ29="CLIENT S+L",DA29="LAIT"),((DO29*952.4)-(DO29*952.4)*DB29),IF(CZ29="CLIENT O","OFFERT",IF(AND(DA29="HUILE",CZ29="CLIENT L"),(((VLOOKUP(DC29,'BASE '!$I$112:$J$142,2,0))+(VLOOKUP(DO29,'BASE '!#REF!,2,0)))),IF(AND(DA29="LAIT",CZ29="CLIENT L"),(DO29*952.4),IF(AND(DA29="HUILE",CZ29="CLIENT D"),(DO29*3809.53+(VLOOKUP(DC29,'BASE '!$I$112:$J$142,2,0))),IF(AND(DA29="LAIT",CZ29="CLIENT D"),(DO29*952.4),IF(AND(DA29="HUILE",CZ29="CLIENT S+D"),((DO29*3809.53+(VLOOKUP(DC29,'BASE '!$I$112:$J$142,2,0)))-((DO29*3809.53)*DB29)),IF(AND(DA29="LAIT",CZ29="CLIENT S+D"),((DO29*952.4)-((DO29*952.4)*DB29)),IF(AND(CZ29="CLIENT S",DA29="LAIT"),((DO29*952.4)-((DO29*952.4)*DB29)),IF(AND(DA29="HUILE",CZ29="CLIENT S"),(VLOOKUP(DC29,'BASE '!$I$112:$J$142,2,0)+(VLOOKUP(DO29,'BASE '!#REF!,2,0)))-(DB29*((VLOOKUP(DO29,'BASE '!#REF!,2,0)+(VLOOKUP(DC29,'BASE '!$I$112:$J$142,2,0))))))))))))))))</f>
        <v>0</v>
      </c>
      <c r="DK29" s="52" t="b">
        <f t="shared" si="5"/>
        <v>0</v>
      </c>
      <c r="DL29" s="53" t="b">
        <f t="shared" si="12"/>
        <v>0</v>
      </c>
      <c r="DM29" s="149"/>
      <c r="DO29" s="124"/>
      <c r="DP29" s="42"/>
      <c r="DQ29" s="70"/>
      <c r="DR29" s="159"/>
      <c r="DS29" s="159"/>
      <c r="DT29" s="159"/>
      <c r="DU29" s="160"/>
      <c r="DV29" s="95"/>
      <c r="DW29" s="95"/>
      <c r="DX29" s="95"/>
      <c r="DY29" s="96"/>
    </row>
    <row r="30" spans="2:129" ht="15" customHeight="1" thickBot="1" x14ac:dyDescent="0.35">
      <c r="B30" s="64"/>
      <c r="C30" s="148"/>
      <c r="D30" s="109"/>
      <c r="E30" s="63"/>
      <c r="F30" s="127"/>
      <c r="G30" s="50"/>
      <c r="H30" s="10"/>
      <c r="I30" s="10"/>
      <c r="J30" s="10"/>
      <c r="K30" s="10"/>
      <c r="L30" s="10"/>
      <c r="M30" s="39"/>
      <c r="N30" s="33">
        <f t="shared" si="0"/>
        <v>0</v>
      </c>
      <c r="O30" s="52" t="b">
        <f>IF(AND(E30="CLIENT S+L",F30="HUILE"),(S30*3333.33+(VLOOKUP(H30,'BASE '!$I$112:$J$142,2,0)))-((S30*3333.33)*G30),IF(AND(E30="CLIENT S+L",F30="LAIT"),((S30*952.4)-(S30*952.4)*G30),IF(E30="CLIENT O","OFFERT",IF(AND(F30="HUILE",E30="CLIENT L"),(((VLOOKUP(H30,'BASE '!$I$112:$J$142,2,0))+(VLOOKUP(S30,'BASE '!#REF!,2,0)))),IF(AND(F30="LAIT",E30="CLIENT L"),(S30*952.4),IF(AND(F30="HUILE",E30="CLIENT D"),(S30*3809.53+(VLOOKUP(H30,'BASE '!$I$112:$J$142,2,0))),IF(AND(F30="LAIT",E30="CLIENT D"),(S30*952.4),IF(AND(F30="HUILE",E30="CLIENT S+D"),((S30*3809.53+(VLOOKUP(H30,'BASE '!$I$112:$J$142,2,0)))-((S30*3809.53)*G30)),IF(AND(F30="LAIT",E30="CLIENT S+D"),((S30*952.4)-((S30*952.4)*G30)),IF(AND(E30="CLIENT S",F30="LAIT"),((S30*952.4)-((S30*952.4)*G30)),IF(AND(F30="HUILE",E30="CLIENT S"),(VLOOKUP(H30,'BASE '!$I$112:$J$142,2,0)+(VLOOKUP(S30,'BASE '!#REF!,2,0)))-(G30*((VLOOKUP(S30,'BASE '!#REF!,2,0)+(VLOOKUP(H30,'BASE '!$I$112:$J$142,2,0))))))))))))))))</f>
        <v>0</v>
      </c>
      <c r="P30" s="52" t="b">
        <f t="shared" si="1"/>
        <v>0</v>
      </c>
      <c r="Q30" s="53" t="b">
        <f t="shared" si="2"/>
        <v>0</v>
      </c>
      <c r="R30" s="152" t="s">
        <v>175</v>
      </c>
      <c r="S30" s="184">
        <f t="shared" si="6"/>
        <v>0</v>
      </c>
      <c r="T30" s="124"/>
      <c r="U30" s="41" t="s">
        <v>175</v>
      </c>
      <c r="V30" s="70" t="e">
        <f>VLOOKUP(U30,'BASE '!$A$4:$H$144,2,0)</f>
        <v>#N/A</v>
      </c>
      <c r="W30" s="159"/>
      <c r="X30" s="159"/>
      <c r="Y30" s="160"/>
      <c r="Z30" s="158" t="e">
        <f>VLOOKUP(U30,'BASE '!$A$4:$H$144,3,0)</f>
        <v>#N/A</v>
      </c>
      <c r="AA30" s="94" t="e">
        <f t="shared" si="3"/>
        <v>#N/A</v>
      </c>
      <c r="AB30" s="95" t="e">
        <f>VLOOKUP(U30,'BASE '!$A$4:$H$144,6,0)*Y30/100</f>
        <v>#N/A</v>
      </c>
      <c r="AC30" s="95" t="e">
        <f>VLOOKUP(U30,'BASE '!$A$4:$H$144,7,0)*Y30/100</f>
        <v>#N/A</v>
      </c>
      <c r="AD30" s="95" t="e">
        <f>VLOOKUP(U30,'BASE '!$A$4:$H$144,8,0)*Y30/100</f>
        <v>#N/A</v>
      </c>
      <c r="AE30" s="96" t="e">
        <f t="shared" si="7"/>
        <v>#N/A</v>
      </c>
      <c r="AF30" s="431"/>
      <c r="AG30" s="1" t="s">
        <v>155</v>
      </c>
      <c r="AH30" s="36" t="e">
        <f>SUMIFS($H$6:$H$165,$D$6:$D$165,AF29,CHOIX,AG30)</f>
        <v>#NAME?</v>
      </c>
      <c r="AI30" s="36" t="e">
        <f>SUMIFS($I$6:$I$165,$D$6:$D$165,AF29,CHOIX,AG30)</f>
        <v>#NAME?</v>
      </c>
      <c r="AJ30" s="36" t="e">
        <f>SUMIFS($J$6:$J$165,$D$6:$D$165,AF29,CHOIX,AG30)</f>
        <v>#NAME?</v>
      </c>
      <c r="AK30" s="36" t="e">
        <f>SUMIFS($K$6:$K$165,$D$6:$D$165,AF29,CHOIX,AG30)</f>
        <v>#NAME?</v>
      </c>
      <c r="AL30" s="36" t="e">
        <f>SUMIFS($L$6:$L$165,$D$6:$D$165,AF29,CHOIX,AG30)</f>
        <v>#NAME?</v>
      </c>
      <c r="AM30" s="36" t="e">
        <f>SUMIFS($M$6:$M$165,$D$6:$D$165,AF29,CHOIX,AG30)</f>
        <v>#NAME?</v>
      </c>
      <c r="AN30" s="1" t="s">
        <v>155</v>
      </c>
      <c r="AO30" s="83"/>
      <c r="AP30" s="63"/>
      <c r="AQ30" s="63"/>
      <c r="AR30" s="63"/>
      <c r="AS30" s="79"/>
      <c r="AT30" s="79"/>
      <c r="AU30" s="55" t="e">
        <f>SUMIFS($O$6:$O$165,$D$6:$D$165,AF29,CHOIX,AG30)</f>
        <v>#NAME?</v>
      </c>
      <c r="AV30" s="80" t="e">
        <f>SUMIFS($Q$6:$Q$165,$D$6:$D$165,AF29,CHOIX,AG30)</f>
        <v>#NAME?</v>
      </c>
      <c r="AW30" s="12"/>
      <c r="AX30" s="12"/>
      <c r="AY30" s="12"/>
      <c r="AZ30" s="201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147">
        <f t="shared" si="8"/>
        <v>0</v>
      </c>
      <c r="BN30" s="147">
        <f t="shared" si="9"/>
        <v>0</v>
      </c>
      <c r="BO30" s="149"/>
      <c r="BP30" s="49"/>
      <c r="BQ30" s="12"/>
      <c r="BR30" s="12"/>
      <c r="CV30" s="597" t="s">
        <v>186</v>
      </c>
      <c r="CW30" s="597"/>
      <c r="CX30" s="597"/>
      <c r="CY30" s="597"/>
      <c r="CZ30" s="597"/>
      <c r="DA30" s="597"/>
      <c r="DB30" s="597"/>
      <c r="DC30" s="537">
        <f>SUMIF($DA$6:$DA$29,"HUILE",DC6:DC29)</f>
        <v>0</v>
      </c>
      <c r="DD30" s="537">
        <f t="shared" ref="DD30:DI30" si="28">SUMIF($DA$6:$DA$29,"HUILE",DD6:DD29)</f>
        <v>0</v>
      </c>
      <c r="DE30" s="537">
        <f t="shared" si="28"/>
        <v>0</v>
      </c>
      <c r="DF30" s="537">
        <f t="shared" si="28"/>
        <v>0</v>
      </c>
      <c r="DG30" s="537">
        <f t="shared" si="28"/>
        <v>0</v>
      </c>
      <c r="DH30" s="537">
        <f t="shared" si="28"/>
        <v>0</v>
      </c>
      <c r="DI30" s="537">
        <f t="shared" si="28"/>
        <v>0</v>
      </c>
      <c r="DJ30" s="596"/>
      <c r="DK30" s="596"/>
      <c r="DL30" s="596"/>
      <c r="DM30" s="596"/>
      <c r="DO30" s="124"/>
      <c r="DP30" s="42"/>
      <c r="DQ30" s="70"/>
      <c r="DR30" s="159"/>
      <c r="DS30" s="159"/>
      <c r="DT30" s="159"/>
      <c r="DU30" s="160"/>
      <c r="DV30" s="95"/>
      <c r="DW30" s="95"/>
      <c r="DX30" s="95"/>
      <c r="DY30" s="96"/>
    </row>
    <row r="31" spans="2:129" ht="15" customHeight="1" thickBot="1" x14ac:dyDescent="0.35">
      <c r="B31" s="64"/>
      <c r="C31" s="148"/>
      <c r="D31" s="109"/>
      <c r="E31" s="63"/>
      <c r="F31" s="127"/>
      <c r="G31" s="50"/>
      <c r="H31" s="10"/>
      <c r="I31" s="10"/>
      <c r="J31" s="10"/>
      <c r="K31" s="10"/>
      <c r="L31" s="10"/>
      <c r="M31" s="39"/>
      <c r="N31" s="33">
        <f t="shared" si="0"/>
        <v>0</v>
      </c>
      <c r="O31" s="52" t="b">
        <f>IF(AND(E31="CLIENT S+L",F31="HUILE"),(S31*3333.33+(VLOOKUP(H31,'BASE '!$I$112:$J$142,2,0)))-((S31*3333.33)*G31),IF(AND(E31="CLIENT S+L",F31="LAIT"),((S31*952.4)-(S31*952.4)*G31),IF(E31="CLIENT O","OFFERT",IF(AND(F31="HUILE",E31="CLIENT L"),(((VLOOKUP(H31,'BASE '!$I$112:$J$142,2,0))+(VLOOKUP(S31,'BASE '!#REF!,2,0)))),IF(AND(F31="LAIT",E31="CLIENT L"),(S31*952.4),IF(AND(F31="HUILE",E31="CLIENT D"),(S31*3809.53+(VLOOKUP(H31,'BASE '!$I$112:$J$142,2,0))),IF(AND(F31="LAIT",E31="CLIENT D"),(S31*952.4),IF(AND(F31="HUILE",E31="CLIENT S+D"),((S31*3809.53+(VLOOKUP(H31,'BASE '!$I$112:$J$142,2,0)))-((S31*3809.53)*G31)),IF(AND(F31="LAIT",E31="CLIENT S+D"),((S31*952.4)-((S31*952.4)*G31)),IF(AND(E31="CLIENT S",F31="LAIT"),((S31*952.4)-((S31*952.4)*G31)),IF(AND(F31="HUILE",E31="CLIENT S"),(VLOOKUP(H31,'BASE '!$I$112:$J$142,2,0)+(VLOOKUP(S31,'BASE '!#REF!,2,0)))-(G31*((VLOOKUP(S31,'BASE '!#REF!,2,0)+(VLOOKUP(H31,'BASE '!$I$112:$J$142,2,0))))))))))))))))</f>
        <v>0</v>
      </c>
      <c r="P31" s="52" t="b">
        <f t="shared" si="1"/>
        <v>0</v>
      </c>
      <c r="Q31" s="53" t="b">
        <f t="shared" si="2"/>
        <v>0</v>
      </c>
      <c r="R31" s="152" t="s">
        <v>175</v>
      </c>
      <c r="S31" s="184">
        <f t="shared" si="6"/>
        <v>0</v>
      </c>
      <c r="T31" s="124"/>
      <c r="U31" s="41" t="s">
        <v>175</v>
      </c>
      <c r="V31" s="70" t="e">
        <f>VLOOKUP(U31,'BASE '!$A$4:$H$144,2,0)</f>
        <v>#N/A</v>
      </c>
      <c r="W31" s="159"/>
      <c r="X31" s="159"/>
      <c r="Y31" s="160"/>
      <c r="Z31" s="158" t="e">
        <f>VLOOKUP(U31,'BASE '!$A$4:$H$144,3,0)</f>
        <v>#N/A</v>
      </c>
      <c r="AA31" s="94" t="e">
        <f t="shared" si="3"/>
        <v>#N/A</v>
      </c>
      <c r="AB31" s="95" t="e">
        <f>VLOOKUP(U31,'BASE '!$A$4:$H$144,6,0)*Y31/100</f>
        <v>#N/A</v>
      </c>
      <c r="AC31" s="95" t="e">
        <f>VLOOKUP(U31,'BASE '!$A$4:$H$144,7,0)*Y31/100</f>
        <v>#N/A</v>
      </c>
      <c r="AD31" s="95" t="e">
        <f>VLOOKUP(U31,'BASE '!$A$4:$H$144,8,0)*Y31/100</f>
        <v>#N/A</v>
      </c>
      <c r="AE31" s="96" t="e">
        <f t="shared" si="7"/>
        <v>#N/A</v>
      </c>
      <c r="AF31" s="431"/>
      <c r="AG31" s="91" t="s">
        <v>157</v>
      </c>
      <c r="AH31" s="36" t="e">
        <f>SUMIFS($H$6:$H$165,$D$6:$D$165,AF31,CHOIX,AG31)</f>
        <v>#NAME?</v>
      </c>
      <c r="AI31" s="36" t="e">
        <f>SUMIFS($I$6:$I$165,$D$6:$D$165,AF31,CHOIX,AG31)</f>
        <v>#NAME?</v>
      </c>
      <c r="AJ31" s="36" t="e">
        <f>SUMIFS($J$6:$J$165,$D$6:$D$165,AF31,CHOIX,AG31)</f>
        <v>#NAME?</v>
      </c>
      <c r="AK31" s="36" t="e">
        <f>SUMIFS($K$6:$K$165,$D$6:$D$165,AF31,CHOIX,AG31)</f>
        <v>#NAME?</v>
      </c>
      <c r="AL31" s="36" t="e">
        <f>SUMIFS($L$6:$L$165,$D$6:$D$165,AF31,CHOIX,AG31)</f>
        <v>#NAME?</v>
      </c>
      <c r="AM31" s="36" t="e">
        <f>SUMIFS($M$6:$M$165,$D$6:$D$165,AF31,CHOIX,AG31)</f>
        <v>#NAME?</v>
      </c>
      <c r="AN31" s="91" t="s">
        <v>157</v>
      </c>
      <c r="AO31" s="83"/>
      <c r="AP31" s="63"/>
      <c r="AQ31" s="63"/>
      <c r="AR31" s="63"/>
      <c r="AS31" s="79"/>
      <c r="AT31" s="79"/>
      <c r="AU31" s="55" t="e">
        <f>SUMIFS($O$6:$O$165,$D$6:$D$165,AF31,CHOIX,AG31)</f>
        <v>#NAME?</v>
      </c>
      <c r="AV31" s="80" t="e">
        <f>SUMIFS($Q$6:$Q$165,$D$6:$D$165,AF31,CHOIX,AG31)</f>
        <v>#NAME?</v>
      </c>
      <c r="AZ31" s="201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147">
        <f t="shared" si="8"/>
        <v>0</v>
      </c>
      <c r="BN31" s="147">
        <f t="shared" si="9"/>
        <v>0</v>
      </c>
      <c r="BO31" s="149"/>
      <c r="BP31" s="49"/>
      <c r="BQ31" s="12"/>
      <c r="BR31" s="12"/>
      <c r="CV31" s="597"/>
      <c r="CW31" s="597"/>
      <c r="CX31" s="597"/>
      <c r="CY31" s="597"/>
      <c r="CZ31" s="597"/>
      <c r="DA31" s="597"/>
      <c r="DB31" s="597"/>
      <c r="DC31" s="538"/>
      <c r="DD31" s="538"/>
      <c r="DE31" s="538"/>
      <c r="DF31" s="538"/>
      <c r="DG31" s="538"/>
      <c r="DH31" s="538"/>
      <c r="DI31" s="538"/>
      <c r="DJ31" s="596"/>
      <c r="DK31" s="596"/>
      <c r="DL31" s="596"/>
      <c r="DM31" s="596"/>
      <c r="DO31" s="124"/>
      <c r="DP31" s="42"/>
      <c r="DQ31" s="70"/>
      <c r="DR31" s="159"/>
      <c r="DS31" s="159"/>
      <c r="DT31" s="159"/>
      <c r="DU31" s="160"/>
      <c r="DV31" s="95"/>
      <c r="DW31" s="95"/>
      <c r="DX31" s="95"/>
      <c r="DY31" s="96"/>
    </row>
    <row r="32" spans="2:129" ht="15" customHeight="1" thickBot="1" x14ac:dyDescent="0.35">
      <c r="B32" s="64"/>
      <c r="C32" s="148"/>
      <c r="D32" s="109"/>
      <c r="E32" s="63"/>
      <c r="F32" s="127"/>
      <c r="G32" s="50"/>
      <c r="H32" s="10"/>
      <c r="I32" s="10"/>
      <c r="J32" s="10"/>
      <c r="K32" s="10"/>
      <c r="L32" s="10"/>
      <c r="M32" s="39"/>
      <c r="N32" s="33">
        <f t="shared" si="0"/>
        <v>0</v>
      </c>
      <c r="O32" s="52" t="b">
        <f>IF(AND(E32="CLIENT S+L",F32="HUILE"),(S32*3333.33+(VLOOKUP(H32,'BASE '!$I$112:$J$142,2,0)))-((S32*3333.33)*G32),IF(AND(E32="CLIENT S+L",F32="LAIT"),((S32*952.4)-(S32*952.4)*G32),IF(E32="CLIENT O","OFFERT",IF(AND(F32="HUILE",E32="CLIENT L"),(((VLOOKUP(H32,'BASE '!$I$112:$J$142,2,0))+(VLOOKUP(S32,'BASE '!#REF!,2,0)))),IF(AND(F32="LAIT",E32="CLIENT L"),(S32*952.4),IF(AND(F32="HUILE",E32="CLIENT D"),(S32*3809.53+(VLOOKUP(H32,'BASE '!$I$112:$J$142,2,0))),IF(AND(F32="LAIT",E32="CLIENT D"),(S32*952.4),IF(AND(F32="HUILE",E32="CLIENT S+D"),((S32*3809.53+(VLOOKUP(H32,'BASE '!$I$112:$J$142,2,0)))-((S32*3809.53)*G32)),IF(AND(F32="LAIT",E32="CLIENT S+D"),((S32*952.4)-((S32*952.4)*G32)),IF(AND(E32="CLIENT S",F32="LAIT"),((S32*952.4)-((S32*952.4)*G32)),IF(AND(F32="HUILE",E32="CLIENT S"),(VLOOKUP(H32,'BASE '!$I$112:$J$142,2,0)+(VLOOKUP(S32,'BASE '!#REF!,2,0)))-(G32*((VLOOKUP(S32,'BASE '!#REF!,2,0)+(VLOOKUP(H32,'BASE '!$I$112:$J$142,2,0))))))))))))))))</f>
        <v>0</v>
      </c>
      <c r="P32" s="52" t="b">
        <f t="shared" si="1"/>
        <v>0</v>
      </c>
      <c r="Q32" s="53" t="b">
        <f t="shared" si="2"/>
        <v>0</v>
      </c>
      <c r="R32" s="152" t="s">
        <v>175</v>
      </c>
      <c r="S32" s="184">
        <f t="shared" si="6"/>
        <v>0</v>
      </c>
      <c r="T32" s="124"/>
      <c r="U32" s="41" t="s">
        <v>175</v>
      </c>
      <c r="V32" s="70" t="e">
        <f>VLOOKUP(U32,'BASE '!$A$4:$H$144,2,0)</f>
        <v>#N/A</v>
      </c>
      <c r="W32" s="159"/>
      <c r="X32" s="159"/>
      <c r="Y32" s="160"/>
      <c r="Z32" s="158" t="e">
        <f>VLOOKUP(U32,'BASE '!$A$4:$H$144,3,0)</f>
        <v>#N/A</v>
      </c>
      <c r="AA32" s="94" t="e">
        <f t="shared" si="3"/>
        <v>#N/A</v>
      </c>
      <c r="AB32" s="95" t="e">
        <f>VLOOKUP(U32,'BASE '!$A$4:$H$144,6,0)*Y32/100</f>
        <v>#N/A</v>
      </c>
      <c r="AC32" s="95" t="e">
        <f>VLOOKUP(U32,'BASE '!$A$4:$H$144,7,0)*Y32/100</f>
        <v>#N/A</v>
      </c>
      <c r="AD32" s="95" t="e">
        <f>VLOOKUP(U32,'BASE '!$A$4:$H$144,8,0)*Y32/100</f>
        <v>#N/A</v>
      </c>
      <c r="AE32" s="96" t="e">
        <f t="shared" si="7"/>
        <v>#N/A</v>
      </c>
      <c r="AF32" s="431"/>
      <c r="AG32" s="1" t="s">
        <v>155</v>
      </c>
      <c r="AH32" s="36" t="e">
        <f>SUMIFS($H$6:$H$165,$D$6:$D$165,AF31,CHOIX,AG32)</f>
        <v>#NAME?</v>
      </c>
      <c r="AI32" s="36" t="e">
        <f>SUMIFS($I$6:$I$165,$D$6:$D$165,AF31,CHOIX,AG32)</f>
        <v>#NAME?</v>
      </c>
      <c r="AJ32" s="36" t="e">
        <f>SUMIFS($J$6:$J$165,$D$6:$D$165,AF31,CHOIX,AG32)</f>
        <v>#NAME?</v>
      </c>
      <c r="AK32" s="36" t="e">
        <f>SUMIFS($K$6:$K$165,$D$6:$D$165,AF31,CHOIX,AG32)</f>
        <v>#NAME?</v>
      </c>
      <c r="AL32" s="36" t="e">
        <f>SUMIFS($L$6:$L$165,$D$6:$D$165,AF31,CHOIX,AG32)</f>
        <v>#NAME?</v>
      </c>
      <c r="AM32" s="36" t="e">
        <f>SUMIFS($M$6:$M$165,$D$6:$D$165,AF31,CHOIX,AG32)</f>
        <v>#NAME?</v>
      </c>
      <c r="AN32" s="1" t="s">
        <v>155</v>
      </c>
      <c r="AO32" s="83"/>
      <c r="AP32" s="63"/>
      <c r="AQ32" s="63"/>
      <c r="AR32" s="63"/>
      <c r="AS32" s="79"/>
      <c r="AT32" s="79"/>
      <c r="AU32" s="55" t="e">
        <f>SUMIFS($O$6:$O$165,$D$6:$D$165,AF31,CHOIX,AG32)</f>
        <v>#NAME?</v>
      </c>
      <c r="AV32" s="80" t="e">
        <f>SUMIFS($Q$6:$Q$165,$D$6:$D$165,AF31,CHOIX,AG32)</f>
        <v>#NAME?</v>
      </c>
      <c r="AZ32" s="201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147">
        <f t="shared" si="8"/>
        <v>0</v>
      </c>
      <c r="BN32" s="147">
        <f t="shared" si="9"/>
        <v>0</v>
      </c>
      <c r="BO32" s="149"/>
      <c r="BP32" s="166"/>
      <c r="BQ32" s="12"/>
      <c r="BR32" s="12"/>
      <c r="CV32" s="597" t="s">
        <v>181</v>
      </c>
      <c r="CW32" s="597"/>
      <c r="CX32" s="597"/>
      <c r="CY32" s="597"/>
      <c r="CZ32" s="597"/>
      <c r="DA32" s="597"/>
      <c r="DB32" s="597"/>
      <c r="DC32" s="537">
        <f>SUMIF($DA$6:$DA$29,"LAIT",DC8:DC31)</f>
        <v>0</v>
      </c>
      <c r="DD32" s="537">
        <f t="shared" ref="DD32:DI32" si="29">SUMIF($DA$6:$DA$29,"LAIT",DD8:DD31)</f>
        <v>0</v>
      </c>
      <c r="DE32" s="537">
        <f t="shared" si="29"/>
        <v>0</v>
      </c>
      <c r="DF32" s="537">
        <f t="shared" si="29"/>
        <v>0</v>
      </c>
      <c r="DG32" s="537">
        <f t="shared" si="29"/>
        <v>0</v>
      </c>
      <c r="DH32" s="537">
        <f t="shared" si="29"/>
        <v>0</v>
      </c>
      <c r="DI32" s="537">
        <f t="shared" si="29"/>
        <v>0</v>
      </c>
      <c r="DJ32" s="598"/>
      <c r="DK32" s="599"/>
      <c r="DL32" s="599"/>
      <c r="DM32" s="600"/>
      <c r="DO32" s="124"/>
      <c r="DP32" s="42"/>
      <c r="DQ32" s="70"/>
      <c r="DR32" s="159"/>
      <c r="DS32" s="159"/>
      <c r="DT32" s="159"/>
      <c r="DU32" s="160"/>
      <c r="DV32" s="95"/>
      <c r="DW32" s="95"/>
      <c r="DX32" s="95"/>
      <c r="DY32" s="96"/>
    </row>
    <row r="33" spans="2:129" ht="15" thickBot="1" x14ac:dyDescent="0.35">
      <c r="B33" s="64"/>
      <c r="C33" s="148"/>
      <c r="D33" s="109"/>
      <c r="E33" s="63"/>
      <c r="F33" s="127"/>
      <c r="G33" s="50"/>
      <c r="H33" s="10"/>
      <c r="I33" s="10"/>
      <c r="J33" s="10"/>
      <c r="K33" s="10"/>
      <c r="L33" s="10"/>
      <c r="M33" s="39"/>
      <c r="N33" s="33">
        <f t="shared" si="0"/>
        <v>0</v>
      </c>
      <c r="O33" s="52" t="b">
        <f>IF(AND(E33="CLIENT S+L",F33="HUILE"),(S33*3333.33+(VLOOKUP(H33,'BASE '!$I$112:$J$142,2,0)))-((S33*3333.33)*G33),IF(AND(E33="CLIENT S+L",F33="LAIT"),((S33*952.4)-(S33*952.4)*G33),IF(E33="CLIENT O","OFFERT",IF(AND(F33="HUILE",E33="CLIENT L"),(((VLOOKUP(H33,'BASE '!$I$112:$J$142,2,0))+(VLOOKUP(S33,'BASE '!#REF!,2,0)))),IF(AND(F33="LAIT",E33="CLIENT L"),(S33*952.4),IF(AND(F33="HUILE",E33="CLIENT D"),(S33*3809.53+(VLOOKUP(H33,'BASE '!$I$112:$J$142,2,0))),IF(AND(F33="LAIT",E33="CLIENT D"),(S33*952.4),IF(AND(F33="HUILE",E33="CLIENT S+D"),((S33*3809.53+(VLOOKUP(H33,'BASE '!$I$112:$J$142,2,0)))-((S33*3809.53)*G33)),IF(AND(F33="LAIT",E33="CLIENT S+D"),((S33*952.4)-((S33*952.4)*G33)),IF(AND(E33="CLIENT S",F33="LAIT"),((S33*952.4)-((S33*952.4)*G33)),IF(AND(F33="HUILE",E33="CLIENT S"),(VLOOKUP(H33,'BASE '!$I$112:$J$142,2,0)+(VLOOKUP(S33,'BASE '!#REF!,2,0)))-(G33*((VLOOKUP(S33,'BASE '!#REF!,2,0)+(VLOOKUP(H33,'BASE '!$I$112:$J$142,2,0))))))))))))))))</f>
        <v>0</v>
      </c>
      <c r="P33" s="52" t="b">
        <f t="shared" si="1"/>
        <v>0</v>
      </c>
      <c r="Q33" s="53" t="b">
        <f t="shared" si="2"/>
        <v>0</v>
      </c>
      <c r="R33" s="152" t="s">
        <v>175</v>
      </c>
      <c r="S33" s="184">
        <f t="shared" si="6"/>
        <v>0</v>
      </c>
      <c r="T33" s="124"/>
      <c r="U33" s="41" t="s">
        <v>175</v>
      </c>
      <c r="V33" s="70" t="e">
        <f>VLOOKUP(U33,'BASE '!$A$4:$H$144,2,0)</f>
        <v>#N/A</v>
      </c>
      <c r="W33" s="159"/>
      <c r="X33" s="159"/>
      <c r="Y33" s="160"/>
      <c r="Z33" s="158" t="e">
        <f>VLOOKUP(U33,'BASE '!$A$4:$H$144,3,0)</f>
        <v>#N/A</v>
      </c>
      <c r="AA33" s="94" t="e">
        <f t="shared" si="3"/>
        <v>#N/A</v>
      </c>
      <c r="AB33" s="95" t="e">
        <f>VLOOKUP(U33,'BASE '!$A$4:$H$144,6,0)*Y33/100</f>
        <v>#N/A</v>
      </c>
      <c r="AC33" s="95" t="e">
        <f>VLOOKUP(U33,'BASE '!$A$4:$H$144,7,0)*Y33/100</f>
        <v>#N/A</v>
      </c>
      <c r="AD33" s="95" t="e">
        <f>VLOOKUP(U33,'BASE '!$A$4:$H$144,8,0)*Y33/100</f>
        <v>#N/A</v>
      </c>
      <c r="AE33" s="96" t="e">
        <f t="shared" si="7"/>
        <v>#N/A</v>
      </c>
      <c r="AF33" s="431"/>
      <c r="AG33" s="91" t="s">
        <v>157</v>
      </c>
      <c r="AH33" s="36" t="e">
        <f>SUMIFS($H$6:$H$165,$D$6:$D$165,AF33,CHOIX,AG33)</f>
        <v>#NAME?</v>
      </c>
      <c r="AI33" s="36" t="e">
        <f>SUMIFS($I$6:$I$165,$D$6:$D$165,AF33,CHOIX,AG33)</f>
        <v>#NAME?</v>
      </c>
      <c r="AJ33" s="36" t="e">
        <f>SUMIFS($J$6:$J$165,$D$6:$D$165,AF33,CHOIX,AG33)</f>
        <v>#NAME?</v>
      </c>
      <c r="AK33" s="36" t="e">
        <f>SUMIFS($K$6:$K$165,$D$6:$D$165,AF33,CHOIX,AG33)</f>
        <v>#NAME?</v>
      </c>
      <c r="AL33" s="36" t="e">
        <f>SUMIFS($L$6:$L$165,$D$6:$D$165,AF33,CHOIX,AG33)</f>
        <v>#NAME?</v>
      </c>
      <c r="AM33" s="36" t="e">
        <f>SUMIFS($M$6:$M$165,$D$6:$D$165,AF33,CHOIX,AG33)</f>
        <v>#NAME?</v>
      </c>
      <c r="AN33" s="91" t="s">
        <v>157</v>
      </c>
      <c r="AO33" s="83"/>
      <c r="AP33" s="63"/>
      <c r="AQ33" s="63"/>
      <c r="AR33" s="63"/>
      <c r="AS33" s="79"/>
      <c r="AT33" s="79"/>
      <c r="AU33" s="55" t="e">
        <f>SUMIFS($O$6:$O$165,$D$6:$D$165,AF33,CHOIX,AG33)</f>
        <v>#NAME?</v>
      </c>
      <c r="AV33" s="80" t="e">
        <f>SUMIFS($Q$6:$Q$165,$D$6:$D$165,AF33,CHOIX,AG33)</f>
        <v>#NAME?</v>
      </c>
      <c r="AZ33" s="201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147">
        <f t="shared" si="8"/>
        <v>0</v>
      </c>
      <c r="BN33" s="147">
        <f t="shared" si="9"/>
        <v>0</v>
      </c>
      <c r="BO33" s="149"/>
      <c r="BP33" s="49"/>
      <c r="BQ33" s="12"/>
      <c r="BR33" s="12"/>
      <c r="CV33" s="597"/>
      <c r="CW33" s="597"/>
      <c r="CX33" s="597"/>
      <c r="CY33" s="597"/>
      <c r="CZ33" s="597"/>
      <c r="DA33" s="597"/>
      <c r="DB33" s="597"/>
      <c r="DC33" s="538"/>
      <c r="DD33" s="538"/>
      <c r="DE33" s="538"/>
      <c r="DF33" s="538"/>
      <c r="DG33" s="538"/>
      <c r="DH33" s="538"/>
      <c r="DI33" s="538"/>
      <c r="DJ33" s="601"/>
      <c r="DK33" s="602"/>
      <c r="DL33" s="602"/>
      <c r="DM33" s="603"/>
      <c r="DO33" s="124"/>
      <c r="DP33" s="42"/>
      <c r="DQ33" s="70"/>
      <c r="DR33" s="159"/>
      <c r="DS33" s="159"/>
      <c r="DT33" s="159"/>
      <c r="DU33" s="160"/>
      <c r="DV33" s="95"/>
      <c r="DW33" s="95"/>
      <c r="DX33" s="95"/>
      <c r="DY33" s="96"/>
    </row>
    <row r="34" spans="2:129" ht="15" thickBot="1" x14ac:dyDescent="0.35">
      <c r="B34" s="64"/>
      <c r="C34" s="148"/>
      <c r="D34" s="109"/>
      <c r="E34" s="63"/>
      <c r="F34" s="127"/>
      <c r="G34" s="50"/>
      <c r="H34" s="10"/>
      <c r="I34" s="10"/>
      <c r="J34" s="10"/>
      <c r="K34" s="10"/>
      <c r="L34" s="10"/>
      <c r="M34" s="39"/>
      <c r="N34" s="33">
        <f t="shared" si="0"/>
        <v>0</v>
      </c>
      <c r="O34" s="52" t="b">
        <f>IF(AND(E34="CLIENT S+L",F34="HUILE"),(S34*3333.33+(VLOOKUP(H34,'BASE '!$I$112:$J$142,2,0)))-((S34*3333.33)*G34),IF(AND(E34="CLIENT S+L",F34="LAIT"),((S34*952.4)-(S34*952.4)*G34),IF(E34="CLIENT O","OFFERT",IF(AND(F34="HUILE",E34="CLIENT L"),(((VLOOKUP(H34,'BASE '!$I$112:$J$142,2,0))+(VLOOKUP(S34,'BASE '!#REF!,2,0)))),IF(AND(F34="LAIT",E34="CLIENT L"),(S34*952.4),IF(AND(F34="HUILE",E34="CLIENT D"),(S34*3809.53+(VLOOKUP(H34,'BASE '!$I$112:$J$142,2,0))),IF(AND(F34="LAIT",E34="CLIENT D"),(S34*952.4),IF(AND(F34="HUILE",E34="CLIENT S+D"),((S34*3809.53+(VLOOKUP(H34,'BASE '!$I$112:$J$142,2,0)))-((S34*3809.53)*G34)),IF(AND(F34="LAIT",E34="CLIENT S+D"),((S34*952.4)-((S34*952.4)*G34)),IF(AND(E34="CLIENT S",F34="LAIT"),((S34*952.4)-((S34*952.4)*G34)),IF(AND(F34="HUILE",E34="CLIENT S"),(VLOOKUP(H34,'BASE '!$I$112:$J$142,2,0)+(VLOOKUP(S34,'BASE '!#REF!,2,0)))-(G34*((VLOOKUP(S34,'BASE '!#REF!,2,0)+(VLOOKUP(H34,'BASE '!$I$112:$J$142,2,0))))))))))))))))</f>
        <v>0</v>
      </c>
      <c r="P34" s="52" t="b">
        <f t="shared" si="1"/>
        <v>0</v>
      </c>
      <c r="Q34" s="53" t="b">
        <f t="shared" si="2"/>
        <v>0</v>
      </c>
      <c r="R34" s="152" t="s">
        <v>175</v>
      </c>
      <c r="S34" s="184">
        <f t="shared" si="6"/>
        <v>0</v>
      </c>
      <c r="T34" s="124"/>
      <c r="U34" s="41" t="s">
        <v>175</v>
      </c>
      <c r="V34" s="70" t="e">
        <f>VLOOKUP(U34,'BASE '!$A$4:$H$144,2,0)</f>
        <v>#N/A</v>
      </c>
      <c r="W34" s="159"/>
      <c r="X34" s="159"/>
      <c r="Y34" s="160"/>
      <c r="Z34" s="158" t="e">
        <f>VLOOKUP(U34,'BASE '!$A$4:$H$144,3,0)</f>
        <v>#N/A</v>
      </c>
      <c r="AA34" s="94" t="e">
        <f t="shared" si="3"/>
        <v>#N/A</v>
      </c>
      <c r="AB34" s="95" t="e">
        <f>VLOOKUP(U34,'BASE '!$A$4:$H$144,6,0)*Y34/100</f>
        <v>#N/A</v>
      </c>
      <c r="AC34" s="95" t="e">
        <f>VLOOKUP(U34,'BASE '!$A$4:$H$144,7,0)*Y34/100</f>
        <v>#N/A</v>
      </c>
      <c r="AD34" s="95" t="e">
        <f>VLOOKUP(U34,'BASE '!$A$4:$H$144,8,0)*Y34/100</f>
        <v>#N/A</v>
      </c>
      <c r="AE34" s="96" t="e">
        <f t="shared" si="7"/>
        <v>#N/A</v>
      </c>
      <c r="AF34" s="431"/>
      <c r="AG34" s="1" t="s">
        <v>155</v>
      </c>
      <c r="AH34" s="36" t="e">
        <f>SUMIFS($H$6:$H$165,$D$6:$D$165,AF33,CHOIX,AG34)</f>
        <v>#NAME?</v>
      </c>
      <c r="AI34" s="36" t="e">
        <f>SUMIFS($I$6:$I$165,$D$6:$D$165,AF33,CHOIX,AG34)</f>
        <v>#NAME?</v>
      </c>
      <c r="AJ34" s="36" t="e">
        <f>SUMIFS($J$6:$J$165,$D$6:$D$165,AF33,CHOIX,AG34)</f>
        <v>#NAME?</v>
      </c>
      <c r="AK34" s="36" t="e">
        <f>SUMIFS($K$6:$K$165,$D$6:$D$165,AF33,CHOIX,AG34)</f>
        <v>#NAME?</v>
      </c>
      <c r="AL34" s="36" t="e">
        <f>SUMIFS($L$6:$L$165,$D$6:$D$165,AF33,CHOIX,AG34)</f>
        <v>#NAME?</v>
      </c>
      <c r="AM34" s="36" t="e">
        <f>SUMIFS($M$6:$M$165,$D$6:$D$165,AF33,CHOIX,AG34)</f>
        <v>#NAME?</v>
      </c>
      <c r="AN34" s="1" t="s">
        <v>155</v>
      </c>
      <c r="AO34" s="83"/>
      <c r="AP34" s="63"/>
      <c r="AQ34" s="63"/>
      <c r="AR34" s="63"/>
      <c r="AS34" s="79"/>
      <c r="AT34" s="79"/>
      <c r="AU34" s="55" t="e">
        <f>SUMIFS($O$6:$O$165,$D$6:$D$165,AF33,CHOIX,AG34)</f>
        <v>#NAME?</v>
      </c>
      <c r="AV34" s="80" t="e">
        <f>SUMIFS($Q$6:$Q$165,$D$6:$D$165,AF33,CHOIX,AG34)</f>
        <v>#NAME?</v>
      </c>
      <c r="AZ34" s="201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147">
        <f t="shared" si="8"/>
        <v>0</v>
      </c>
      <c r="BN34" s="147">
        <f t="shared" si="9"/>
        <v>0</v>
      </c>
      <c r="BO34" s="149"/>
      <c r="CV34" s="391" t="s">
        <v>28</v>
      </c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0">
        <f>SUMIF(DJ6:DJ29,"&lt;&gt;#N/A")</f>
        <v>0</v>
      </c>
      <c r="DJ34" s="390"/>
      <c r="DK34" s="390"/>
      <c r="DL34" s="390"/>
      <c r="DM34" s="390"/>
      <c r="DO34" s="124"/>
      <c r="DP34" s="42"/>
      <c r="DQ34" s="70"/>
      <c r="DR34" s="159"/>
      <c r="DS34" s="159"/>
      <c r="DT34" s="159"/>
      <c r="DU34" s="160"/>
      <c r="DV34" s="95"/>
      <c r="DW34" s="95"/>
      <c r="DX34" s="95"/>
      <c r="DY34" s="96"/>
    </row>
    <row r="35" spans="2:129" ht="15" thickBot="1" x14ac:dyDescent="0.35">
      <c r="B35" s="64"/>
      <c r="C35" s="148"/>
      <c r="D35" s="109"/>
      <c r="E35" s="63"/>
      <c r="F35" s="127"/>
      <c r="G35" s="50"/>
      <c r="H35" s="10"/>
      <c r="I35" s="10"/>
      <c r="J35" s="10"/>
      <c r="K35" s="10"/>
      <c r="L35" s="10"/>
      <c r="M35" s="39"/>
      <c r="N35" s="33">
        <f t="shared" si="0"/>
        <v>0</v>
      </c>
      <c r="O35" s="52" t="b">
        <f>IF(AND(E35="CLIENT S+L",F35="HUILE"),(S35*3333.33+(VLOOKUP(H35,'BASE '!$I$112:$J$142,2,0)))-((S35*3333.33)*G35),IF(AND(E35="CLIENT S+L",F35="LAIT"),((S35*952.4)-(S35*952.4)*G35),IF(E35="CLIENT O","OFFERT",IF(AND(F35="HUILE",E35="CLIENT L"),(((VLOOKUP(H35,'BASE '!$I$112:$J$142,2,0))+(VLOOKUP(S35,'BASE '!#REF!,2,0)))),IF(AND(F35="LAIT",E35="CLIENT L"),(S35*952.4),IF(AND(F35="HUILE",E35="CLIENT D"),(S35*3809.53+(VLOOKUP(H35,'BASE '!$I$112:$J$142,2,0))),IF(AND(F35="LAIT",E35="CLIENT D"),(S35*952.4),IF(AND(F35="HUILE",E35="CLIENT S+D"),((S35*3809.53+(VLOOKUP(H35,'BASE '!$I$112:$J$142,2,0)))-((S35*3809.53)*G35)),IF(AND(F35="LAIT",E35="CLIENT S+D"),((S35*952.4)-((S35*952.4)*G35)),IF(AND(E35="CLIENT S",F35="LAIT"),((S35*952.4)-((S35*952.4)*G35)),IF(AND(F35="HUILE",E35="CLIENT S"),(VLOOKUP(H35,'BASE '!$I$112:$J$142,2,0)+(VLOOKUP(S35,'BASE '!#REF!,2,0)))-(G35*((VLOOKUP(S35,'BASE '!#REF!,2,0)+(VLOOKUP(H35,'BASE '!$I$112:$J$142,2,0))))))))))))))))</f>
        <v>0</v>
      </c>
      <c r="P35" s="52" t="b">
        <f t="shared" si="1"/>
        <v>0</v>
      </c>
      <c r="Q35" s="53" t="b">
        <f t="shared" si="2"/>
        <v>0</v>
      </c>
      <c r="R35" s="152" t="s">
        <v>175</v>
      </c>
      <c r="S35" s="184">
        <f t="shared" si="6"/>
        <v>0</v>
      </c>
      <c r="T35" s="124"/>
      <c r="U35" s="41" t="s">
        <v>175</v>
      </c>
      <c r="V35" s="70" t="e">
        <f>VLOOKUP(U35,'BASE '!$A$4:$H$144,2,0)</f>
        <v>#N/A</v>
      </c>
      <c r="W35" s="159"/>
      <c r="X35" s="159"/>
      <c r="Y35" s="160"/>
      <c r="Z35" s="158" t="e">
        <f>VLOOKUP(U35,'BASE '!$A$4:$H$144,3,0)</f>
        <v>#N/A</v>
      </c>
      <c r="AA35" s="94" t="e">
        <f t="shared" si="3"/>
        <v>#N/A</v>
      </c>
      <c r="AB35" s="95" t="e">
        <f>VLOOKUP(U35,'BASE '!$A$4:$H$144,6,0)*Y35/100</f>
        <v>#N/A</v>
      </c>
      <c r="AC35" s="95" t="e">
        <f>VLOOKUP(U35,'BASE '!$A$4:$H$144,7,0)*Y35/100</f>
        <v>#N/A</v>
      </c>
      <c r="AD35" s="95" t="e">
        <f>VLOOKUP(U35,'BASE '!$A$4:$H$144,8,0)*Y35/100</f>
        <v>#N/A</v>
      </c>
      <c r="AE35" s="96" t="e">
        <f t="shared" si="7"/>
        <v>#N/A</v>
      </c>
      <c r="AF35" s="431"/>
      <c r="AG35" s="91" t="s">
        <v>157</v>
      </c>
      <c r="AH35" s="36" t="e">
        <f>SUMIFS($H$6:$H$165,$D$6:$D$165,AF35,CHOIX,AG35)</f>
        <v>#NAME?</v>
      </c>
      <c r="AI35" s="36" t="e">
        <f>SUMIFS($I$6:$I$165,$D$6:$D$165,AF35,CHOIX,AG35)</f>
        <v>#NAME?</v>
      </c>
      <c r="AJ35" s="36" t="e">
        <f>SUMIFS($J$6:$J$165,$D$6:$D$165,AF35,CHOIX,AG35)</f>
        <v>#NAME?</v>
      </c>
      <c r="AK35" s="36" t="e">
        <f>SUMIFS($K$6:$K$165,$D$6:$D$165,AF35,CHOIX,AG35)</f>
        <v>#NAME?</v>
      </c>
      <c r="AL35" s="36" t="e">
        <f>SUMIFS($L$6:$L$165,$D$6:$D$165,AF35,CHOIX,AG35)</f>
        <v>#NAME?</v>
      </c>
      <c r="AM35" s="36" t="e">
        <f>SUMIFS($M$6:$M$165,$D$6:$D$165,AF35,CHOIX,AG35)</f>
        <v>#NAME?</v>
      </c>
      <c r="AN35" s="91" t="s">
        <v>157</v>
      </c>
      <c r="AO35" s="83"/>
      <c r="AP35" s="63"/>
      <c r="AQ35" s="63"/>
      <c r="AR35" s="63"/>
      <c r="AS35" s="79"/>
      <c r="AT35" s="79"/>
      <c r="AU35" s="55" t="e">
        <f>SUMIFS($O$6:$O$165,$D$6:$D$165,AF35,CHOIX,AG35)</f>
        <v>#NAME?</v>
      </c>
      <c r="AV35" s="80" t="e">
        <f>SUMIFS($Q$6:$Q$165,$D$6:$D$165,AF35,CHOIX,AG35)</f>
        <v>#NAME?</v>
      </c>
      <c r="AZ35" s="201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147">
        <f t="shared" si="8"/>
        <v>0</v>
      </c>
      <c r="BN35" s="147">
        <f t="shared" si="9"/>
        <v>0</v>
      </c>
      <c r="BO35" s="149"/>
      <c r="CV35" s="391"/>
      <c r="CW35" s="391"/>
      <c r="CX35" s="391"/>
      <c r="CY35" s="391"/>
      <c r="CZ35" s="391"/>
      <c r="DA35" s="391"/>
      <c r="DB35" s="391"/>
      <c r="DC35" s="391"/>
      <c r="DD35" s="391"/>
      <c r="DE35" s="391"/>
      <c r="DF35" s="391"/>
      <c r="DG35" s="391"/>
      <c r="DH35" s="391"/>
      <c r="DI35" s="390"/>
      <c r="DJ35" s="390"/>
      <c r="DK35" s="390"/>
      <c r="DL35" s="390"/>
      <c r="DM35" s="390"/>
      <c r="DN35" s="116" t="e">
        <f>(($I$5*#REF!)/100)+((#REF!*$J$5)/100)+(($K$5*#REF!)/100)+($L$5*#REF!)+($M$5*#REF!)</f>
        <v>#REF!</v>
      </c>
      <c r="DO35" s="124"/>
      <c r="DP35" s="42"/>
      <c r="DQ35" s="70"/>
      <c r="DR35" s="159"/>
      <c r="DS35" s="159"/>
      <c r="DT35" s="159"/>
      <c r="DU35" s="160"/>
      <c r="DV35" s="95"/>
      <c r="DW35" s="95"/>
      <c r="DX35" s="95"/>
      <c r="DY35" s="96"/>
    </row>
    <row r="36" spans="2:129" ht="15" thickBot="1" x14ac:dyDescent="0.35">
      <c r="B36" s="64"/>
      <c r="C36" s="148"/>
      <c r="D36" s="109"/>
      <c r="E36" s="63"/>
      <c r="F36" s="127"/>
      <c r="G36" s="50"/>
      <c r="H36" s="10"/>
      <c r="I36" s="10"/>
      <c r="J36" s="10"/>
      <c r="K36" s="10"/>
      <c r="L36" s="10"/>
      <c r="M36" s="39"/>
      <c r="N36" s="33">
        <f t="shared" si="0"/>
        <v>0</v>
      </c>
      <c r="O36" s="52" t="b">
        <f>IF(AND(E36="CLIENT S+L",F36="HUILE"),(S36*3333.33+(VLOOKUP(H36,'BASE '!$I$112:$J$142,2,0)))-((S36*3333.33)*G36),IF(AND(E36="CLIENT S+L",F36="LAIT"),((S36*952.4)-(S36*952.4)*G36),IF(E36="CLIENT O","OFFERT",IF(AND(F36="HUILE",E36="CLIENT L"),(((VLOOKUP(H36,'BASE '!$I$112:$J$142,2,0))+(VLOOKUP(S36,'BASE '!#REF!,2,0)))),IF(AND(F36="LAIT",E36="CLIENT L"),(S36*952.4),IF(AND(F36="HUILE",E36="CLIENT D"),(S36*3809.53+(VLOOKUP(H36,'BASE '!$I$112:$J$142,2,0))),IF(AND(F36="LAIT",E36="CLIENT D"),(S36*952.4),IF(AND(F36="HUILE",E36="CLIENT S+D"),((S36*3809.53+(VLOOKUP(H36,'BASE '!$I$112:$J$142,2,0)))-((S36*3809.53)*G36)),IF(AND(F36="LAIT",E36="CLIENT S+D"),((S36*952.4)-((S36*952.4)*G36)),IF(AND(E36="CLIENT S",F36="LAIT"),((S36*952.4)-((S36*952.4)*G36)),IF(AND(F36="HUILE",E36="CLIENT S"),(VLOOKUP(H36,'BASE '!$I$112:$J$142,2,0)+(VLOOKUP(S36,'BASE '!#REF!,2,0)))-(G36*((VLOOKUP(S36,'BASE '!#REF!,2,0)+(VLOOKUP(H36,'BASE '!$I$112:$J$142,2,0))))))))))))))))</f>
        <v>0</v>
      </c>
      <c r="P36" s="52" t="b">
        <f t="shared" si="1"/>
        <v>0</v>
      </c>
      <c r="Q36" s="53" t="b">
        <f t="shared" si="2"/>
        <v>0</v>
      </c>
      <c r="R36" s="152" t="s">
        <v>175</v>
      </c>
      <c r="S36" s="184">
        <f t="shared" si="6"/>
        <v>0</v>
      </c>
      <c r="T36" s="124"/>
      <c r="U36" s="41" t="s">
        <v>175</v>
      </c>
      <c r="V36" s="70" t="e">
        <f>VLOOKUP(U36,'BASE '!$A$4:$H$144,2,0)</f>
        <v>#N/A</v>
      </c>
      <c r="W36" s="159"/>
      <c r="X36" s="159"/>
      <c r="Y36" s="160"/>
      <c r="Z36" s="158" t="e">
        <f>VLOOKUP(U36,'BASE '!$A$4:$H$144,3,0)</f>
        <v>#N/A</v>
      </c>
      <c r="AA36" s="94" t="e">
        <f t="shared" si="3"/>
        <v>#N/A</v>
      </c>
      <c r="AB36" s="95" t="e">
        <f>VLOOKUP(U36,'BASE '!$A$4:$H$144,6,0)*Y36/100</f>
        <v>#N/A</v>
      </c>
      <c r="AC36" s="95" t="e">
        <f>VLOOKUP(U36,'BASE '!$A$4:$H$144,7,0)*Y36/100</f>
        <v>#N/A</v>
      </c>
      <c r="AD36" s="95" t="e">
        <f>VLOOKUP(U36,'BASE '!$A$4:$H$144,8,0)*Y36/100</f>
        <v>#N/A</v>
      </c>
      <c r="AE36" s="96" t="e">
        <f t="shared" si="7"/>
        <v>#N/A</v>
      </c>
      <c r="AF36" s="431"/>
      <c r="AG36" s="1" t="s">
        <v>155</v>
      </c>
      <c r="AH36" s="36" t="e">
        <f>SUMIFS($H$6:$H$165,$D$6:$D$165,AF35,CHOIX,AG36)</f>
        <v>#NAME?</v>
      </c>
      <c r="AI36" s="36" t="e">
        <f>SUMIFS($I$6:$I$165,$D$6:$D$165,AF35,CHOIX,AG36)</f>
        <v>#NAME?</v>
      </c>
      <c r="AJ36" s="36" t="e">
        <f>SUMIFS($J$6:$J$165,$D$6:$D$165,AF35,CHOIX,AG36)</f>
        <v>#NAME?</v>
      </c>
      <c r="AK36" s="36" t="e">
        <f>SUMIFS($K$6:$K$165,$D$6:$D$165,AF35,CHOIX,AG36)</f>
        <v>#NAME?</v>
      </c>
      <c r="AL36" s="36" t="e">
        <f>SUMIFS($L$6:$L$165,$D$6:$D$165,AF35,CHOIX,AG36)</f>
        <v>#NAME?</v>
      </c>
      <c r="AM36" s="36" t="e">
        <f>SUMIFS($M$6:$M$165,$D$6:$D$165,AF35,CHOIX,AG36)</f>
        <v>#NAME?</v>
      </c>
      <c r="AN36" s="1" t="s">
        <v>155</v>
      </c>
      <c r="AO36" s="83"/>
      <c r="AP36" s="63"/>
      <c r="AQ36" s="63"/>
      <c r="AR36" s="63"/>
      <c r="AS36" s="79"/>
      <c r="AT36" s="79"/>
      <c r="AU36" s="55" t="e">
        <f>SUMIFS($O$6:$O$165,$D$6:$D$165,AF35,CHOIX,AG36)</f>
        <v>#NAME?</v>
      </c>
      <c r="AV36" s="80" t="e">
        <f>SUMIFS($Q$6:$Q$165,$D$6:$D$165,AF35,CHOIX,AG36)</f>
        <v>#NAME?</v>
      </c>
      <c r="AZ36" s="201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147">
        <f t="shared" si="8"/>
        <v>0</v>
      </c>
      <c r="BN36" s="147">
        <f t="shared" si="9"/>
        <v>0</v>
      </c>
      <c r="BO36" s="149"/>
      <c r="CV36" s="391" t="s">
        <v>29</v>
      </c>
      <c r="CW36" s="391"/>
      <c r="CX36" s="391"/>
      <c r="CY36" s="391"/>
      <c r="CZ36" s="391"/>
      <c r="DA36" s="391"/>
      <c r="DB36" s="391"/>
      <c r="DC36" s="391"/>
      <c r="DD36" s="391"/>
      <c r="DE36" s="391"/>
      <c r="DF36" s="391"/>
      <c r="DG36" s="391"/>
      <c r="DH36" s="391"/>
      <c r="DI36" s="391"/>
      <c r="DJ36" s="390">
        <f>SUMIF(DK6:DK29,"&lt;&gt;#N/A")</f>
        <v>0</v>
      </c>
      <c r="DK36" s="390"/>
      <c r="DL36" s="390"/>
      <c r="DM36" s="390"/>
      <c r="DN36" s="116" t="e">
        <f>(($I$5*#REF!)/100)+((#REF!*$J$5)/100)+(($K$5*#REF!)/100)+($L$5*#REF!)+($M$5*#REF!)</f>
        <v>#REF!</v>
      </c>
      <c r="DO36" s="125"/>
      <c r="DP36" s="126"/>
      <c r="DQ36" s="97"/>
      <c r="DR36" s="163"/>
      <c r="DS36" s="163"/>
      <c r="DT36" s="163"/>
      <c r="DU36" s="164"/>
      <c r="DV36" s="100"/>
      <c r="DW36" s="100"/>
      <c r="DX36" s="100"/>
      <c r="DY36" s="101"/>
    </row>
    <row r="37" spans="2:129" ht="15.6" thickTop="1" thickBot="1" x14ac:dyDescent="0.35">
      <c r="B37" s="64"/>
      <c r="C37" s="148"/>
      <c r="D37" s="109"/>
      <c r="E37" s="63"/>
      <c r="F37" s="127"/>
      <c r="G37" s="50"/>
      <c r="H37" s="10"/>
      <c r="I37" s="10"/>
      <c r="J37" s="10"/>
      <c r="K37" s="10"/>
      <c r="L37" s="10"/>
      <c r="M37" s="39"/>
      <c r="N37" s="33">
        <f t="shared" si="0"/>
        <v>0</v>
      </c>
      <c r="O37" s="52" t="b">
        <f>IF(AND(E37="CLIENT S+L",F37="HUILE"),(S37*3333.33+(VLOOKUP(H37,'BASE '!$I$112:$J$142,2,0)))-((S37*3333.33)*G37),IF(AND(E37="CLIENT S+L",F37="LAIT"),((S37*952.4)-(S37*952.4)*G37),IF(E37="CLIENT O","OFFERT",IF(AND(F37="HUILE",E37="CLIENT L"),(((VLOOKUP(H37,'BASE '!$I$112:$J$142,2,0))+(VLOOKUP(S37,'BASE '!#REF!,2,0)))),IF(AND(F37="LAIT",E37="CLIENT L"),(S37*952.4),IF(AND(F37="HUILE",E37="CLIENT D"),(S37*3809.53+(VLOOKUP(H37,'BASE '!$I$112:$J$142,2,0))),IF(AND(F37="LAIT",E37="CLIENT D"),(S37*952.4),IF(AND(F37="HUILE",E37="CLIENT S+D"),((S37*3809.53+(VLOOKUP(H37,'BASE '!$I$112:$J$142,2,0)))-((S37*3809.53)*G37)),IF(AND(F37="LAIT",E37="CLIENT S+D"),((S37*952.4)-((S37*952.4)*G37)),IF(AND(E37="CLIENT S",F37="LAIT"),((S37*952.4)-((S37*952.4)*G37)),IF(AND(F37="HUILE",E37="CLIENT S"),(VLOOKUP(H37,'BASE '!$I$112:$J$142,2,0)+(VLOOKUP(S37,'BASE '!#REF!,2,0)))-(G37*((VLOOKUP(S37,'BASE '!#REF!,2,0)+(VLOOKUP(H37,'BASE '!$I$112:$J$142,2,0))))))))))))))))</f>
        <v>0</v>
      </c>
      <c r="P37" s="52" t="b">
        <f t="shared" si="1"/>
        <v>0</v>
      </c>
      <c r="Q37" s="53" t="b">
        <f t="shared" si="2"/>
        <v>0</v>
      </c>
      <c r="R37" s="152" t="s">
        <v>175</v>
      </c>
      <c r="S37" s="184">
        <f t="shared" si="6"/>
        <v>0</v>
      </c>
      <c r="T37" s="124"/>
      <c r="U37" s="41" t="s">
        <v>175</v>
      </c>
      <c r="V37" s="70" t="e">
        <f>VLOOKUP(U37,'BASE '!$A$4:$H$144,2,0)</f>
        <v>#N/A</v>
      </c>
      <c r="W37" s="159"/>
      <c r="X37" s="159"/>
      <c r="Y37" s="160"/>
      <c r="Z37" s="158" t="e">
        <f>VLOOKUP(U37,'BASE '!$A$4:$H$144,3,0)</f>
        <v>#N/A</v>
      </c>
      <c r="AA37" s="94" t="e">
        <f t="shared" si="3"/>
        <v>#N/A</v>
      </c>
      <c r="AB37" s="95" t="e">
        <f>VLOOKUP(U37,'BASE '!$A$4:$H$144,6,0)*Y37/100</f>
        <v>#N/A</v>
      </c>
      <c r="AC37" s="95" t="e">
        <f>VLOOKUP(U37,'BASE '!$A$4:$H$144,7,0)*Y37/100</f>
        <v>#N/A</v>
      </c>
      <c r="AD37" s="95" t="e">
        <f>VLOOKUP(U37,'BASE '!$A$4:$H$144,8,0)*Y37/100</f>
        <v>#N/A</v>
      </c>
      <c r="AE37" s="96" t="e">
        <f t="shared" si="7"/>
        <v>#N/A</v>
      </c>
      <c r="AF37" s="431"/>
      <c r="AG37" s="91" t="s">
        <v>157</v>
      </c>
      <c r="AH37" s="36" t="e">
        <f>SUMIFS($H$6:$H$165,$D$6:$D$165,AF37,CHOIX,AG37)</f>
        <v>#NAME?</v>
      </c>
      <c r="AI37" s="36" t="e">
        <f>SUMIFS($I$6:$I$165,$D$6:$D$165,AF37,CHOIX,AG37)</f>
        <v>#NAME?</v>
      </c>
      <c r="AJ37" s="36" t="e">
        <f>SUMIFS($J$6:$J$165,$D$6:$D$165,AF37,CHOIX,AG37)</f>
        <v>#NAME?</v>
      </c>
      <c r="AK37" s="36" t="e">
        <f>SUMIFS($K$6:$K$165,$D$6:$D$165,AF37,CHOIX,AG37)</f>
        <v>#NAME?</v>
      </c>
      <c r="AL37" s="36" t="e">
        <f>SUMIFS($L$6:$L$165,$D$6:$D$165,AF37,CHOIX,AG37)</f>
        <v>#NAME?</v>
      </c>
      <c r="AM37" s="36" t="e">
        <f>SUMIFS($M$6:$M$165,$D$6:$D$165,AF37,CHOIX,AG37)</f>
        <v>#NAME?</v>
      </c>
      <c r="AN37" s="91" t="s">
        <v>157</v>
      </c>
      <c r="AO37" s="83"/>
      <c r="AP37" s="63"/>
      <c r="AQ37" s="63"/>
      <c r="AR37" s="63"/>
      <c r="AS37" s="79"/>
      <c r="AT37" s="79"/>
      <c r="AU37" s="55" t="e">
        <f>SUMIFS($O$6:$O$165,$D$6:$D$165,AF37,CHOIX,AG37)</f>
        <v>#NAME?</v>
      </c>
      <c r="AV37" s="80" t="e">
        <f>SUMIFS($Q$6:$Q$165,$D$6:$D$165,AF37,CHOIX,AG37)</f>
        <v>#NAME?</v>
      </c>
      <c r="AZ37" s="201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147">
        <f t="shared" si="8"/>
        <v>0</v>
      </c>
      <c r="BN37" s="147">
        <f t="shared" si="9"/>
        <v>0</v>
      </c>
      <c r="BO37" s="149"/>
      <c r="CV37" s="391"/>
      <c r="CW37" s="391"/>
      <c r="CX37" s="391"/>
      <c r="CY37" s="391"/>
      <c r="CZ37" s="391"/>
      <c r="DA37" s="391"/>
      <c r="DB37" s="391"/>
      <c r="DC37" s="391"/>
      <c r="DD37" s="391"/>
      <c r="DE37" s="391"/>
      <c r="DF37" s="391"/>
      <c r="DG37" s="391"/>
      <c r="DH37" s="391"/>
      <c r="DI37" s="391"/>
      <c r="DJ37" s="390"/>
      <c r="DK37" s="390"/>
      <c r="DL37" s="390"/>
      <c r="DM37" s="390"/>
      <c r="DN37" s="116" t="e">
        <f>(($I$5*#REF!)/100)+((#REF!*$J$5)/100)+(($K$5*#REF!)/100)+($L$5*#REF!)+($M$5*#REF!)</f>
        <v>#REF!</v>
      </c>
      <c r="DO37" s="413" t="s">
        <v>48</v>
      </c>
      <c r="DP37" s="413"/>
      <c r="DQ37" s="413"/>
      <c r="DR37" s="413"/>
      <c r="DS37" s="413"/>
      <c r="DT37" s="413"/>
      <c r="DU37" s="414">
        <f>SUMIF(DU6:DU36,"&lt;&gt;#N/A")</f>
        <v>0</v>
      </c>
      <c r="DV37" s="414"/>
      <c r="DW37" s="414"/>
      <c r="DX37" s="414"/>
      <c r="DY37" s="414"/>
    </row>
    <row r="38" spans="2:129" ht="15" thickBot="1" x14ac:dyDescent="0.35">
      <c r="B38" s="64"/>
      <c r="C38" s="148"/>
      <c r="D38" s="109"/>
      <c r="E38" s="63"/>
      <c r="F38" s="127"/>
      <c r="G38" s="50"/>
      <c r="H38" s="10"/>
      <c r="I38" s="10"/>
      <c r="J38" s="10"/>
      <c r="K38" s="10"/>
      <c r="L38" s="10"/>
      <c r="M38" s="39"/>
      <c r="N38" s="33">
        <f t="shared" si="0"/>
        <v>0</v>
      </c>
      <c r="O38" s="52" t="b">
        <f>IF(AND(E38="CLIENT S+L",F38="HUILE"),(S38*3333.33+(VLOOKUP(H38,'BASE '!$I$112:$J$142,2,0)))-((S38*3333.33)*G38),IF(AND(E38="CLIENT S+L",F38="LAIT"),((S38*952.4)-(S38*952.4)*G38),IF(E38="CLIENT O","OFFERT",IF(AND(F38="HUILE",E38="CLIENT L"),(((VLOOKUP(H38,'BASE '!$I$112:$J$142,2,0))+(VLOOKUP(S38,'BASE '!#REF!,2,0)))),IF(AND(F38="LAIT",E38="CLIENT L"),(S38*952.4),IF(AND(F38="HUILE",E38="CLIENT D"),(S38*3809.53+(VLOOKUP(H38,'BASE '!$I$112:$J$142,2,0))),IF(AND(F38="LAIT",E38="CLIENT D"),(S38*952.4),IF(AND(F38="HUILE",E38="CLIENT S+D"),((S38*3809.53+(VLOOKUP(H38,'BASE '!$I$112:$J$142,2,0)))-((S38*3809.53)*G38)),IF(AND(F38="LAIT",E38="CLIENT S+D"),((S38*952.4)-((S38*952.4)*G38)),IF(AND(E38="CLIENT S",F38="LAIT"),((S38*952.4)-((S38*952.4)*G38)),IF(AND(F38="HUILE",E38="CLIENT S"),(VLOOKUP(H38,'BASE '!$I$112:$J$142,2,0)+(VLOOKUP(S38,'BASE '!#REF!,2,0)))-(G38*((VLOOKUP(S38,'BASE '!#REF!,2,0)+(VLOOKUP(H38,'BASE '!$I$112:$J$142,2,0))))))))))))))))</f>
        <v>0</v>
      </c>
      <c r="P38" s="52" t="b">
        <f t="shared" si="1"/>
        <v>0</v>
      </c>
      <c r="Q38" s="53" t="b">
        <f t="shared" si="2"/>
        <v>0</v>
      </c>
      <c r="R38" s="152" t="s">
        <v>175</v>
      </c>
      <c r="S38" s="184">
        <f t="shared" si="6"/>
        <v>0</v>
      </c>
      <c r="T38" s="124"/>
      <c r="U38" s="41" t="s">
        <v>175</v>
      </c>
      <c r="V38" s="70" t="e">
        <f>VLOOKUP(U38,'BASE '!$A$4:$H$144,2,0)</f>
        <v>#N/A</v>
      </c>
      <c r="W38" s="159"/>
      <c r="X38" s="159"/>
      <c r="Y38" s="160"/>
      <c r="Z38" s="158" t="e">
        <f>VLOOKUP(U38,'BASE '!$A$4:$H$144,3,0)</f>
        <v>#N/A</v>
      </c>
      <c r="AA38" s="94" t="e">
        <f t="shared" si="3"/>
        <v>#N/A</v>
      </c>
      <c r="AB38" s="95" t="e">
        <f>VLOOKUP(U38,'BASE '!$A$4:$H$144,6,0)*Y38/100</f>
        <v>#N/A</v>
      </c>
      <c r="AC38" s="95" t="e">
        <f>VLOOKUP(U38,'BASE '!$A$4:$H$144,7,0)*Y38/100</f>
        <v>#N/A</v>
      </c>
      <c r="AD38" s="95" t="e">
        <f>VLOOKUP(U38,'BASE '!$A$4:$H$144,8,0)*Y38/100</f>
        <v>#N/A</v>
      </c>
      <c r="AE38" s="96" t="e">
        <f t="shared" si="7"/>
        <v>#N/A</v>
      </c>
      <c r="AF38" s="431"/>
      <c r="AG38" s="1" t="s">
        <v>155</v>
      </c>
      <c r="AH38" s="36" t="e">
        <f>SUMIFS($H$6:$H$165,$D$6:$D$165,AF37,CHOIX,AG38)</f>
        <v>#NAME?</v>
      </c>
      <c r="AI38" s="36" t="e">
        <f>SUMIFS($I$6:$I$165,$D$6:$D$165,AF37,CHOIX,AG38)</f>
        <v>#NAME?</v>
      </c>
      <c r="AJ38" s="36" t="e">
        <f>SUMIFS($J$6:$J$165,$D$6:$D$165,AF37,CHOIX,AG38)</f>
        <v>#NAME?</v>
      </c>
      <c r="AK38" s="36" t="e">
        <f>SUMIFS($K$6:$K$165,$D$6:$D$165,AF37,CHOIX,AG38)</f>
        <v>#NAME?</v>
      </c>
      <c r="AL38" s="36" t="e">
        <f>SUMIFS($L$6:$L$165,$D$6:$D$165,AF37,CHOIX,AG38)</f>
        <v>#NAME?</v>
      </c>
      <c r="AM38" s="36" t="e">
        <f>SUMIFS($M$6:$M$165,$D$6:$D$165,AF37,CHOIX,AG38)</f>
        <v>#NAME?</v>
      </c>
      <c r="AN38" s="1" t="s">
        <v>155</v>
      </c>
      <c r="AO38" s="83"/>
      <c r="AP38" s="63"/>
      <c r="AQ38" s="63"/>
      <c r="AR38" s="63"/>
      <c r="AS38" s="79"/>
      <c r="AT38" s="79"/>
      <c r="AU38" s="55" t="e">
        <f>SUMIFS($O$6:$O$165,$D$6:$D$165,AF37,CHOIX,AG38)</f>
        <v>#NAME?</v>
      </c>
      <c r="AV38" s="80" t="e">
        <f>SUMIFS($Q$6:$Q$165,$D$6:$D$165,AF37,CHOIX,AG38)</f>
        <v>#NAME?</v>
      </c>
      <c r="AZ38" s="201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147">
        <f t="shared" si="8"/>
        <v>0</v>
      </c>
      <c r="BN38" s="147">
        <f t="shared" si="9"/>
        <v>0</v>
      </c>
      <c r="BO38" s="149"/>
      <c r="CV38" s="391" t="s">
        <v>44</v>
      </c>
      <c r="CW38" s="391"/>
      <c r="CX38" s="391"/>
      <c r="CY38" s="391"/>
      <c r="CZ38" s="391"/>
      <c r="DA38" s="391"/>
      <c r="DB38" s="391"/>
      <c r="DC38" s="391"/>
      <c r="DD38" s="391"/>
      <c r="DE38" s="391"/>
      <c r="DF38" s="391"/>
      <c r="DG38" s="391"/>
      <c r="DH38" s="391"/>
      <c r="DI38" s="391"/>
      <c r="DJ38" s="391"/>
      <c r="DK38" s="390">
        <f>SUMIF(DL6:DL29,"&lt;&gt;#N/A")</f>
        <v>0</v>
      </c>
      <c r="DL38" s="390"/>
      <c r="DM38" s="390"/>
      <c r="DN38" s="116" t="e">
        <f>(($I$5*#REF!)/100)+((#REF!*$J$5)/100)+(($K$5*#REF!)/100)+($L$5*#REF!)+($M$5*#REF!)</f>
        <v>#REF!</v>
      </c>
      <c r="DO38" s="407" t="s">
        <v>47</v>
      </c>
      <c r="DP38" s="407"/>
      <c r="DQ38" s="407"/>
      <c r="DR38" s="407"/>
      <c r="DS38" s="407"/>
      <c r="DT38" s="407"/>
      <c r="DU38" s="407"/>
      <c r="DV38" s="408">
        <f>SUMIF(DV6:DV36,"&lt;&gt;#N/A")</f>
        <v>0</v>
      </c>
      <c r="DW38" s="408"/>
      <c r="DX38" s="408"/>
      <c r="DY38" s="408"/>
    </row>
    <row r="39" spans="2:129" ht="15" thickBot="1" x14ac:dyDescent="0.35">
      <c r="B39" s="64"/>
      <c r="C39" s="148"/>
      <c r="D39" s="109"/>
      <c r="E39" s="63"/>
      <c r="F39" s="127"/>
      <c r="G39" s="50"/>
      <c r="H39" s="10"/>
      <c r="I39" s="10"/>
      <c r="J39" s="10"/>
      <c r="K39" s="10"/>
      <c r="L39" s="10"/>
      <c r="M39" s="39"/>
      <c r="N39" s="33">
        <f t="shared" si="0"/>
        <v>0</v>
      </c>
      <c r="O39" s="52" t="b">
        <f>IF(AND(E39="CLIENT S+L",F39="HUILE"),(S39*3333.33+(VLOOKUP(H39,'BASE '!$I$112:$J$142,2,0)))-((S39*3333.33)*G39),IF(AND(E39="CLIENT S+L",F39="LAIT"),((S39*952.4)-(S39*952.4)*G39),IF(E39="CLIENT O","OFFERT",IF(AND(F39="HUILE",E39="CLIENT L"),(((VLOOKUP(H39,'BASE '!$I$112:$J$142,2,0))+(VLOOKUP(S39,'BASE '!#REF!,2,0)))),IF(AND(F39="LAIT",E39="CLIENT L"),(S39*952.4),IF(AND(F39="HUILE",E39="CLIENT D"),(S39*3809.53+(VLOOKUP(H39,'BASE '!$I$112:$J$142,2,0))),IF(AND(F39="LAIT",E39="CLIENT D"),(S39*952.4),IF(AND(F39="HUILE",E39="CLIENT S+D"),((S39*3809.53+(VLOOKUP(H39,'BASE '!$I$112:$J$142,2,0)))-((S39*3809.53)*G39)),IF(AND(F39="LAIT",E39="CLIENT S+D"),((S39*952.4)-((S39*952.4)*G39)),IF(AND(E39="CLIENT S",F39="LAIT"),((S39*952.4)-((S39*952.4)*G39)),IF(AND(F39="HUILE",E39="CLIENT S"),(VLOOKUP(H39,'BASE '!$I$112:$J$142,2,0)+(VLOOKUP(S39,'BASE '!#REF!,2,0)))-(G39*((VLOOKUP(S39,'BASE '!#REF!,2,0)+(VLOOKUP(H39,'BASE '!$I$112:$J$142,2,0))))))))))))))))</f>
        <v>0</v>
      </c>
      <c r="P39" s="52" t="b">
        <f t="shared" si="1"/>
        <v>0</v>
      </c>
      <c r="Q39" s="53" t="b">
        <f t="shared" si="2"/>
        <v>0</v>
      </c>
      <c r="R39" s="152" t="s">
        <v>175</v>
      </c>
      <c r="S39" s="184">
        <f t="shared" si="6"/>
        <v>0</v>
      </c>
      <c r="T39" s="124"/>
      <c r="U39" s="41" t="s">
        <v>175</v>
      </c>
      <c r="V39" s="70" t="e">
        <f>VLOOKUP(U39,'BASE '!$A$4:$H$144,2,0)</f>
        <v>#N/A</v>
      </c>
      <c r="W39" s="159"/>
      <c r="X39" s="159"/>
      <c r="Y39" s="160"/>
      <c r="Z39" s="158" t="e">
        <f>VLOOKUP(U39,'BASE '!$A$4:$H$144,3,0)</f>
        <v>#N/A</v>
      </c>
      <c r="AA39" s="94" t="e">
        <f t="shared" si="3"/>
        <v>#N/A</v>
      </c>
      <c r="AB39" s="95" t="e">
        <f>VLOOKUP(U39,'BASE '!$A$4:$H$144,6,0)*Y39/100</f>
        <v>#N/A</v>
      </c>
      <c r="AC39" s="95" t="e">
        <f>VLOOKUP(U39,'BASE '!$A$4:$H$144,7,0)*Y39/100</f>
        <v>#N/A</v>
      </c>
      <c r="AD39" s="95" t="e">
        <f>VLOOKUP(U39,'BASE '!$A$4:$H$144,8,0)*Y39/100</f>
        <v>#N/A</v>
      </c>
      <c r="AE39" s="96" t="e">
        <f t="shared" si="7"/>
        <v>#N/A</v>
      </c>
      <c r="AF39" s="431"/>
      <c r="AG39" s="91" t="s">
        <v>157</v>
      </c>
      <c r="AH39" s="36" t="e">
        <f>SUMIFS($H$6:$H$165,$D$6:$D$165,AF39,CHOIX,AG39)</f>
        <v>#NAME?</v>
      </c>
      <c r="AI39" s="36" t="e">
        <f>SUMIFS($I$6:$I$165,$D$6:$D$165,AF39,CHOIX,AG39)</f>
        <v>#NAME?</v>
      </c>
      <c r="AJ39" s="36" t="e">
        <f>SUMIFS($J$6:$J$165,$D$6:$D$165,AF39,CHOIX,AG39)</f>
        <v>#NAME?</v>
      </c>
      <c r="AK39" s="36" t="e">
        <f>SUMIFS($K$6:$K$165,$D$6:$D$165,AF39,CHOIX,AG39)</f>
        <v>#NAME?</v>
      </c>
      <c r="AL39" s="36" t="e">
        <f>SUMIFS($L$6:$L$165,$D$6:$D$165,AF39,CHOIX,AG39)</f>
        <v>#NAME?</v>
      </c>
      <c r="AM39" s="36" t="e">
        <f>SUMIFS($M$6:$M$165,$D$6:$D$165,AF39,CHOIX,AG39)</f>
        <v>#NAME?</v>
      </c>
      <c r="AN39" s="91" t="s">
        <v>157</v>
      </c>
      <c r="AO39" s="83"/>
      <c r="AP39" s="63"/>
      <c r="AQ39" s="63"/>
      <c r="AR39" s="63"/>
      <c r="AS39" s="79"/>
      <c r="AT39" s="79"/>
      <c r="AU39" s="55" t="e">
        <f>SUMIFS($O$6:$O$165,$D$6:$D$165,AF39,CHOIX,AG39)</f>
        <v>#NAME?</v>
      </c>
      <c r="AV39" s="80" t="e">
        <f>SUMIFS($Q$6:$Q$165,$D$6:$D$165,AF39,CHOIX,AG39)</f>
        <v>#NAME?</v>
      </c>
      <c r="AZ39" s="201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147">
        <f t="shared" si="8"/>
        <v>0</v>
      </c>
      <c r="BN39" s="147">
        <f t="shared" si="9"/>
        <v>0</v>
      </c>
      <c r="BO39" s="149"/>
      <c r="CV39" s="540"/>
      <c r="CW39" s="540"/>
      <c r="CX39" s="540"/>
      <c r="CY39" s="540"/>
      <c r="CZ39" s="540"/>
      <c r="DA39" s="540"/>
      <c r="DB39" s="540"/>
      <c r="DC39" s="540"/>
      <c r="DD39" s="540"/>
      <c r="DE39" s="540"/>
      <c r="DF39" s="540"/>
      <c r="DG39" s="540"/>
      <c r="DH39" s="540"/>
      <c r="DI39" s="540"/>
      <c r="DJ39" s="540"/>
      <c r="DK39" s="541"/>
      <c r="DL39" s="541"/>
      <c r="DM39" s="541"/>
      <c r="DN39" s="116" t="e">
        <f>(($I$5*#REF!)/100)+((#REF!*$J$5)/100)+(($K$5*#REF!)/100)+($L$5*#REF!)+($M$5*#REF!)</f>
        <v>#REF!</v>
      </c>
      <c r="DO39" s="407" t="s">
        <v>46</v>
      </c>
      <c r="DP39" s="407"/>
      <c r="DQ39" s="407"/>
      <c r="DR39" s="407"/>
      <c r="DS39" s="407"/>
      <c r="DT39" s="407"/>
      <c r="DU39" s="407"/>
      <c r="DV39" s="415">
        <f>SUMIF(DW6:DW36,"&lt;&gt;#N/A")</f>
        <v>0</v>
      </c>
      <c r="DW39" s="415"/>
      <c r="DX39" s="415"/>
      <c r="DY39" s="415"/>
    </row>
    <row r="40" spans="2:129" ht="15.6" thickTop="1" thickBot="1" x14ac:dyDescent="0.35">
      <c r="B40" s="64"/>
      <c r="C40" s="148"/>
      <c r="D40" s="109"/>
      <c r="E40" s="63"/>
      <c r="F40" s="127"/>
      <c r="G40" s="50"/>
      <c r="H40" s="10"/>
      <c r="I40" s="10"/>
      <c r="J40" s="10"/>
      <c r="K40" s="10"/>
      <c r="L40" s="10"/>
      <c r="M40" s="39"/>
      <c r="N40" s="33">
        <f t="shared" si="0"/>
        <v>0</v>
      </c>
      <c r="O40" s="52" t="b">
        <f>IF(AND(E40="CLIENT S+L",F40="HUILE"),(S40*3333.33+(VLOOKUP(H40,'BASE '!$I$112:$J$142,2,0)))-((S40*3333.33)*G40),IF(AND(E40="CLIENT S+L",F40="LAIT"),((S40*952.4)-(S40*952.4)*G40),IF(E40="CLIENT O","OFFERT",IF(AND(F40="HUILE",E40="CLIENT L"),(((VLOOKUP(H40,'BASE '!$I$112:$J$142,2,0))+(VLOOKUP(S40,'BASE '!#REF!,2,0)))),IF(AND(F40="LAIT",E40="CLIENT L"),(S40*952.4),IF(AND(F40="HUILE",E40="CLIENT D"),(S40*3809.53+(VLOOKUP(H40,'BASE '!$I$112:$J$142,2,0))),IF(AND(F40="LAIT",E40="CLIENT D"),(S40*952.4),IF(AND(F40="HUILE",E40="CLIENT S+D"),((S40*3809.53+(VLOOKUP(H40,'BASE '!$I$112:$J$142,2,0)))-((S40*3809.53)*G40)),IF(AND(F40="LAIT",E40="CLIENT S+D"),((S40*952.4)-((S40*952.4)*G40)),IF(AND(E40="CLIENT S",F40="LAIT"),((S40*952.4)-((S40*952.4)*G40)),IF(AND(F40="HUILE",E40="CLIENT S"),(VLOOKUP(H40,'BASE '!$I$112:$J$142,2,0)+(VLOOKUP(S40,'BASE '!#REF!,2,0)))-(G40*((VLOOKUP(S40,'BASE '!#REF!,2,0)+(VLOOKUP(H40,'BASE '!$I$112:$J$142,2,0))))))))))))))))</f>
        <v>0</v>
      </c>
      <c r="P40" s="52" t="b">
        <f t="shared" si="1"/>
        <v>0</v>
      </c>
      <c r="Q40" s="53" t="b">
        <f t="shared" si="2"/>
        <v>0</v>
      </c>
      <c r="R40" s="152" t="s">
        <v>175</v>
      </c>
      <c r="S40" s="184">
        <f t="shared" si="6"/>
        <v>0</v>
      </c>
      <c r="T40" s="124"/>
      <c r="U40" s="41" t="s">
        <v>175</v>
      </c>
      <c r="V40" s="70" t="e">
        <f>VLOOKUP(U40,'BASE '!$A$4:$H$144,2,0)</f>
        <v>#N/A</v>
      </c>
      <c r="W40" s="159"/>
      <c r="X40" s="159"/>
      <c r="Y40" s="160"/>
      <c r="Z40" s="158" t="e">
        <f>VLOOKUP(U40,'BASE '!$A$4:$H$144,3,0)</f>
        <v>#N/A</v>
      </c>
      <c r="AA40" s="94" t="e">
        <f t="shared" si="3"/>
        <v>#N/A</v>
      </c>
      <c r="AB40" s="95" t="e">
        <f>VLOOKUP(U40,'BASE '!$A$4:$H$144,6,0)*Y40/100</f>
        <v>#N/A</v>
      </c>
      <c r="AC40" s="95" t="e">
        <f>VLOOKUP(U40,'BASE '!$A$4:$H$144,7,0)*Y40/100</f>
        <v>#N/A</v>
      </c>
      <c r="AD40" s="95" t="e">
        <f>VLOOKUP(U40,'BASE '!$A$4:$H$144,8,0)*Y40/100</f>
        <v>#N/A</v>
      </c>
      <c r="AE40" s="96" t="e">
        <f t="shared" si="7"/>
        <v>#N/A</v>
      </c>
      <c r="AF40" s="431"/>
      <c r="AG40" s="1" t="s">
        <v>155</v>
      </c>
      <c r="AH40" s="36" t="e">
        <f>SUMIFS($H$6:$H$165,$D$6:$D$165,AF39,CHOIX,AG40)</f>
        <v>#NAME?</v>
      </c>
      <c r="AI40" s="36" t="e">
        <f>SUMIFS($I$6:$I$165,$D$6:$D$165,AF39,CHOIX,AG40)</f>
        <v>#NAME?</v>
      </c>
      <c r="AJ40" s="36" t="e">
        <f>SUMIFS($J$6:$J$165,$D$6:$D$165,AF39,CHOIX,AG40)</f>
        <v>#NAME?</v>
      </c>
      <c r="AK40" s="36" t="e">
        <f>SUMIFS($K$6:$K$165,$D$6:$D$165,AF39,CHOIX,AG40)</f>
        <v>#NAME?</v>
      </c>
      <c r="AL40" s="36" t="e">
        <f>SUMIFS($L$6:$L$165,$D$6:$D$165,AF39,CHOIX,AG40)</f>
        <v>#NAME?</v>
      </c>
      <c r="AM40" s="36" t="e">
        <f>SUMIFS($M$6:$M$165,$D$6:$D$165,AF39,CHOIX,AG40)</f>
        <v>#NAME?</v>
      </c>
      <c r="AN40" s="1" t="s">
        <v>155</v>
      </c>
      <c r="AO40" s="83"/>
      <c r="AP40" s="63"/>
      <c r="AQ40" s="63"/>
      <c r="AR40" s="63"/>
      <c r="AS40" s="79"/>
      <c r="AT40" s="79"/>
      <c r="AU40" s="55" t="e">
        <f>SUMIFS($O$6:$O$165,$D$6:$D$165,AF39,CHOIX,AG40)</f>
        <v>#NAME?</v>
      </c>
      <c r="AV40" s="80" t="e">
        <f>SUMIFS($Q$6:$Q$165,$D$6:$D$165,AF39,CHOIX,AG40)</f>
        <v>#NAME?</v>
      </c>
      <c r="AZ40" s="201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3"/>
      <c r="BM40" s="147">
        <f t="shared" si="8"/>
        <v>0</v>
      </c>
      <c r="BN40" s="147">
        <f t="shared" si="9"/>
        <v>0</v>
      </c>
      <c r="BO40" s="149"/>
      <c r="DN40" s="116" t="e">
        <f>(($I$5*#REF!)/100)+((#REF!*$J$5)/100)+(($K$5*#REF!)/100)+($L$5*#REF!)+($M$5*#REF!)</f>
        <v>#REF!</v>
      </c>
      <c r="DO40" s="407" t="s">
        <v>45</v>
      </c>
      <c r="DP40" s="407"/>
      <c r="DQ40" s="407"/>
      <c r="DR40" s="407"/>
      <c r="DS40" s="407"/>
      <c r="DT40" s="407"/>
      <c r="DU40" s="407"/>
      <c r="DV40" s="407"/>
      <c r="DW40" s="415">
        <f>SUMIF(DX6:DX36,"&lt;&gt;#N/A")</f>
        <v>0</v>
      </c>
      <c r="DX40" s="415"/>
      <c r="DY40" s="415"/>
    </row>
    <row r="41" spans="2:129" ht="15" thickBot="1" x14ac:dyDescent="0.35">
      <c r="B41" s="64"/>
      <c r="C41" s="148"/>
      <c r="D41" s="109"/>
      <c r="E41" s="63"/>
      <c r="F41" s="127"/>
      <c r="G41" s="50"/>
      <c r="H41" s="10"/>
      <c r="I41" s="10"/>
      <c r="J41" s="10"/>
      <c r="K41" s="10"/>
      <c r="L41" s="10"/>
      <c r="M41" s="39"/>
      <c r="N41" s="33">
        <f t="shared" si="0"/>
        <v>0</v>
      </c>
      <c r="O41" s="52" t="b">
        <f>IF(AND(E41="CLIENT S+L",F41="HUILE"),(S41*3333.33+(VLOOKUP(H41,'BASE '!$I$112:$J$142,2,0)))-((S41*3333.33)*G41),IF(AND(E41="CLIENT S+L",F41="LAIT"),((S41*952.4)-(S41*952.4)*G41),IF(E41="CLIENT O","OFFERT",IF(AND(F41="HUILE",E41="CLIENT L"),(((VLOOKUP(H41,'BASE '!$I$112:$J$142,2,0))+(VLOOKUP(S41,'BASE '!#REF!,2,0)))),IF(AND(F41="LAIT",E41="CLIENT L"),(S41*952.4),IF(AND(F41="HUILE",E41="CLIENT D"),(S41*3809.53+(VLOOKUP(H41,'BASE '!$I$112:$J$142,2,0))),IF(AND(F41="LAIT",E41="CLIENT D"),(S41*952.4),IF(AND(F41="HUILE",E41="CLIENT S+D"),((S41*3809.53+(VLOOKUP(H41,'BASE '!$I$112:$J$142,2,0)))-((S41*3809.53)*G41)),IF(AND(F41="LAIT",E41="CLIENT S+D"),((S41*952.4)-((S41*952.4)*G41)),IF(AND(E41="CLIENT S",F41="LAIT"),((S41*952.4)-((S41*952.4)*G41)),IF(AND(F41="HUILE",E41="CLIENT S"),(VLOOKUP(H41,'BASE '!$I$112:$J$142,2,0)+(VLOOKUP(S41,'BASE '!#REF!,2,0)))-(G41*((VLOOKUP(S41,'BASE '!#REF!,2,0)+(VLOOKUP(H41,'BASE '!$I$112:$J$142,2,0))))))))))))))))</f>
        <v>0</v>
      </c>
      <c r="P41" s="52" t="b">
        <f t="shared" si="1"/>
        <v>0</v>
      </c>
      <c r="Q41" s="53" t="b">
        <f t="shared" si="2"/>
        <v>0</v>
      </c>
      <c r="R41" s="152" t="s">
        <v>175</v>
      </c>
      <c r="S41" s="184">
        <f t="shared" si="6"/>
        <v>0</v>
      </c>
      <c r="T41" s="124"/>
      <c r="U41" s="41" t="s">
        <v>175</v>
      </c>
      <c r="V41" s="70" t="e">
        <f>VLOOKUP(U41,'BASE '!$A$4:$H$144,2,0)</f>
        <v>#N/A</v>
      </c>
      <c r="W41" s="159"/>
      <c r="X41" s="159"/>
      <c r="Y41" s="160"/>
      <c r="Z41" s="158" t="e">
        <f>VLOOKUP(U41,'BASE '!$A$4:$H$144,3,0)</f>
        <v>#N/A</v>
      </c>
      <c r="AA41" s="94" t="e">
        <f t="shared" si="3"/>
        <v>#N/A</v>
      </c>
      <c r="AB41" s="95" t="e">
        <f>VLOOKUP(U41,'BASE '!$A$4:$H$144,6,0)*Y41/100</f>
        <v>#N/A</v>
      </c>
      <c r="AC41" s="95" t="e">
        <f>VLOOKUP(U41,'BASE '!$A$4:$H$144,7,0)*Y41/100</f>
        <v>#N/A</v>
      </c>
      <c r="AD41" s="95" t="e">
        <f>VLOOKUP(U41,'BASE '!$A$4:$H$144,8,0)*Y41/100</f>
        <v>#N/A</v>
      </c>
      <c r="AE41" s="96" t="e">
        <f t="shared" si="7"/>
        <v>#N/A</v>
      </c>
      <c r="AF41" s="431"/>
      <c r="AG41" s="91" t="s">
        <v>157</v>
      </c>
      <c r="AH41" s="36" t="e">
        <f>SUMIFS($H$6:$H$165,$D$6:$D$165,AF41,CHOIX,AG41)</f>
        <v>#NAME?</v>
      </c>
      <c r="AI41" s="36" t="e">
        <f>SUMIFS($I$6:$I$165,$D$6:$D$165,AF41,CHOIX,AG41)</f>
        <v>#NAME?</v>
      </c>
      <c r="AJ41" s="36" t="e">
        <f>SUMIFS($J$6:$J$165,$D$6:$D$165,AF41,CHOIX,AG41)</f>
        <v>#NAME?</v>
      </c>
      <c r="AK41" s="36" t="e">
        <f>SUMIFS($K$6:$K$165,$D$6:$D$165,AF41,CHOIX,AG41)</f>
        <v>#NAME?</v>
      </c>
      <c r="AL41" s="36" t="e">
        <f>SUMIFS($L$6:$L$165,$D$6:$D$165,AF41,CHOIX,AG41)</f>
        <v>#NAME?</v>
      </c>
      <c r="AM41" s="36" t="e">
        <f>SUMIFS($M$6:$M$165,$D$6:$D$165,AF41,CHOIX,AG41)</f>
        <v>#NAME?</v>
      </c>
      <c r="AN41" s="91" t="s">
        <v>157</v>
      </c>
      <c r="AO41" s="83"/>
      <c r="AP41" s="63"/>
      <c r="AQ41" s="63"/>
      <c r="AR41" s="63"/>
      <c r="AS41" s="79"/>
      <c r="AT41" s="79"/>
      <c r="AU41" s="55" t="e">
        <f>SUMIFS($O$6:$O$165,$D$6:$D$165,AF41,CHOIX,AG41)</f>
        <v>#NAME?</v>
      </c>
      <c r="AV41" s="80" t="e">
        <f>SUMIFS($Q$6:$Q$165,$D$6:$D$165,AF41,CHOIX,AG41)</f>
        <v>#NAME?</v>
      </c>
      <c r="AZ41" s="201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147">
        <f t="shared" si="8"/>
        <v>0</v>
      </c>
      <c r="BN41" s="147">
        <f t="shared" si="9"/>
        <v>0</v>
      </c>
      <c r="BO41" s="149"/>
      <c r="DN41" s="116" t="e">
        <f>(($I$5*#REF!)/100)+((#REF!*$J$5)/100)+(($K$5*#REF!)/100)+($L$5*#REF!)+($M$5*#REF!)</f>
        <v>#REF!</v>
      </c>
      <c r="DO41" s="407" t="s">
        <v>44</v>
      </c>
      <c r="DP41" s="407"/>
      <c r="DQ41" s="407"/>
      <c r="DR41" s="407"/>
      <c r="DS41" s="407"/>
      <c r="DT41" s="407"/>
      <c r="DU41" s="407"/>
      <c r="DV41" s="407"/>
      <c r="DW41" s="407"/>
      <c r="DX41" s="408">
        <f>SUMIF(DY6:DY36,"&lt;&gt;#N/A")</f>
        <v>0</v>
      </c>
      <c r="DY41" s="408"/>
    </row>
    <row r="42" spans="2:129" x14ac:dyDescent="0.3">
      <c r="B42" s="64"/>
      <c r="C42" s="148"/>
      <c r="D42" s="109"/>
      <c r="E42" s="63"/>
      <c r="F42" s="127"/>
      <c r="G42" s="50"/>
      <c r="H42" s="10"/>
      <c r="I42" s="10"/>
      <c r="J42" s="10"/>
      <c r="K42" s="10"/>
      <c r="L42" s="10"/>
      <c r="M42" s="39"/>
      <c r="N42" s="33">
        <f t="shared" si="0"/>
        <v>0</v>
      </c>
      <c r="O42" s="52" t="b">
        <f>IF(AND(E42="CLIENT S+L",F42="HUILE"),(S42*3333.33+(VLOOKUP(H42,'BASE '!$I$112:$J$142,2,0)))-((S42*3333.33)*G42),IF(AND(E42="CLIENT S+L",F42="LAIT"),((S42*952.4)-(S42*952.4)*G42),IF(E42="CLIENT O","OFFERT",IF(AND(F42="HUILE",E42="CLIENT L"),(((VLOOKUP(H42,'BASE '!$I$112:$J$142,2,0))+(VLOOKUP(S42,'BASE '!#REF!,2,0)))),IF(AND(F42="LAIT",E42="CLIENT L"),(S42*952.4),IF(AND(F42="HUILE",E42="CLIENT D"),(S42*3809.53+(VLOOKUP(H42,'BASE '!$I$112:$J$142,2,0))),IF(AND(F42="LAIT",E42="CLIENT D"),(S42*952.4),IF(AND(F42="HUILE",E42="CLIENT S+D"),((S42*3809.53+(VLOOKUP(H42,'BASE '!$I$112:$J$142,2,0)))-((S42*3809.53)*G42)),IF(AND(F42="LAIT",E42="CLIENT S+D"),((S42*952.4)-((S42*952.4)*G42)),IF(AND(E42="CLIENT S",F42="LAIT"),((S42*952.4)-((S42*952.4)*G42)),IF(AND(F42="HUILE",E42="CLIENT S"),(VLOOKUP(H42,'BASE '!$I$112:$J$142,2,0)+(VLOOKUP(S42,'BASE '!#REF!,2,0)))-(G42*((VLOOKUP(S42,'BASE '!#REF!,2,0)+(VLOOKUP(H42,'BASE '!$I$112:$J$142,2,0))))))))))))))))</f>
        <v>0</v>
      </c>
      <c r="P42" s="52" t="b">
        <f t="shared" si="1"/>
        <v>0</v>
      </c>
      <c r="Q42" s="53" t="b">
        <f t="shared" si="2"/>
        <v>0</v>
      </c>
      <c r="R42" s="152" t="s">
        <v>175</v>
      </c>
      <c r="S42" s="184">
        <f t="shared" si="6"/>
        <v>0</v>
      </c>
      <c r="T42" s="124"/>
      <c r="U42" s="41" t="s">
        <v>175</v>
      </c>
      <c r="V42" s="70" t="e">
        <f>VLOOKUP(U42,'BASE '!$A$4:$H$144,2,0)</f>
        <v>#N/A</v>
      </c>
      <c r="W42" s="159"/>
      <c r="X42" s="159"/>
      <c r="Y42" s="160"/>
      <c r="Z42" s="158" t="e">
        <f>VLOOKUP(U42,'BASE '!$A$4:$H$144,3,0)</f>
        <v>#N/A</v>
      </c>
      <c r="AA42" s="94" t="e">
        <f t="shared" si="3"/>
        <v>#N/A</v>
      </c>
      <c r="AB42" s="95" t="e">
        <f>VLOOKUP(U42,'BASE '!$A$4:$H$144,6,0)*Y42/100</f>
        <v>#N/A</v>
      </c>
      <c r="AC42" s="95" t="e">
        <f>VLOOKUP(U42,'BASE '!$A$4:$H$144,7,0)*Y42/100</f>
        <v>#N/A</v>
      </c>
      <c r="AD42" s="95" t="e">
        <f>VLOOKUP(U42,'BASE '!$A$4:$H$144,8,0)*Y42/100</f>
        <v>#N/A</v>
      </c>
      <c r="AE42" s="96" t="e">
        <f t="shared" si="7"/>
        <v>#N/A</v>
      </c>
      <c r="AF42" s="431"/>
      <c r="AG42" s="1" t="s">
        <v>155</v>
      </c>
      <c r="AH42" s="36" t="e">
        <f>SUMIFS($H$6:$H$165,$D$6:$D$165,AF41,CHOIX,AG42)</f>
        <v>#NAME?</v>
      </c>
      <c r="AI42" s="36" t="e">
        <f>SUMIFS($I$6:$I$165,$D$6:$D$165,AF41,CHOIX,AG42)</f>
        <v>#NAME?</v>
      </c>
      <c r="AJ42" s="36" t="e">
        <f>SUMIFS($J$6:$J$165,$D$6:$D$165,AF41,CHOIX,AG42)</f>
        <v>#NAME?</v>
      </c>
      <c r="AK42" s="36" t="e">
        <f>SUMIFS($K$6:$K$165,$D$6:$D$165,AF41,CHOIX,AG42)</f>
        <v>#NAME?</v>
      </c>
      <c r="AL42" s="36" t="e">
        <f>SUMIFS($L$6:$L$165,$D$6:$D$165,AF41,CHOIX,AG42)</f>
        <v>#NAME?</v>
      </c>
      <c r="AM42" s="36" t="e">
        <f>SUMIFS($M$6:$M$165,$D$6:$D$165,AF41,CHOIX,AG42)</f>
        <v>#NAME?</v>
      </c>
      <c r="AN42" s="1" t="s">
        <v>155</v>
      </c>
      <c r="AO42" s="83"/>
      <c r="AP42" s="63"/>
      <c r="AQ42" s="63"/>
      <c r="AR42" s="63"/>
      <c r="AS42" s="79"/>
      <c r="AT42" s="79"/>
      <c r="AU42" s="55" t="e">
        <f>SUMIFS($O$6:$O$165,$D$6:$D$165,AF41,CHOIX,AG42)</f>
        <v>#NAME?</v>
      </c>
      <c r="AV42" s="80" t="e">
        <f>SUMIFS($Q$6:$Q$165,$D$6:$D$165,AF41,CHOIX,AG42)</f>
        <v>#NAME?</v>
      </c>
      <c r="AZ42" s="201"/>
      <c r="BA42" s="63"/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63"/>
      <c r="BM42" s="147">
        <f t="shared" si="8"/>
        <v>0</v>
      </c>
      <c r="BN42" s="147">
        <f t="shared" si="9"/>
        <v>0</v>
      </c>
      <c r="BO42" s="149"/>
      <c r="DN42" s="116" t="e">
        <f>(($I$5*#REF!)/100)+((#REF!*$J$5)/100)+(($K$5*#REF!)/100)+($L$5*#REF!)+($M$5*#REF!)</f>
        <v>#REF!</v>
      </c>
    </row>
    <row r="43" spans="2:129" x14ac:dyDescent="0.3">
      <c r="B43" s="64"/>
      <c r="C43" s="148"/>
      <c r="D43" s="109"/>
      <c r="E43" s="63"/>
      <c r="F43" s="127"/>
      <c r="G43" s="50"/>
      <c r="H43" s="10"/>
      <c r="I43" s="10"/>
      <c r="J43" s="10"/>
      <c r="K43" s="10"/>
      <c r="L43" s="10"/>
      <c r="M43" s="39"/>
      <c r="N43" s="33">
        <f t="shared" si="0"/>
        <v>0</v>
      </c>
      <c r="O43" s="52" t="b">
        <f>IF(AND(E43="CLIENT S+L",F43="HUILE"),(S43*3333.33+(VLOOKUP(H43,'BASE '!$I$112:$J$142,2,0)))-((S43*3333.33)*G43),IF(AND(E43="CLIENT S+L",F43="LAIT"),((S43*952.4)-(S43*952.4)*G43),IF(E43="CLIENT O","OFFERT",IF(AND(F43="HUILE",E43="CLIENT L"),(((VLOOKUP(H43,'BASE '!$I$112:$J$142,2,0))+(VLOOKUP(S43,'BASE '!#REF!,2,0)))),IF(AND(F43="LAIT",E43="CLIENT L"),(S43*952.4),IF(AND(F43="HUILE",E43="CLIENT D"),(S43*3809.53+(VLOOKUP(H43,'BASE '!$I$112:$J$142,2,0))),IF(AND(F43="LAIT",E43="CLIENT D"),(S43*952.4),IF(AND(F43="HUILE",E43="CLIENT S+D"),((S43*3809.53+(VLOOKUP(H43,'BASE '!$I$112:$J$142,2,0)))-((S43*3809.53)*G43)),IF(AND(F43="LAIT",E43="CLIENT S+D"),((S43*952.4)-((S43*952.4)*G43)),IF(AND(E43="CLIENT S",F43="LAIT"),((S43*952.4)-((S43*952.4)*G43)),IF(AND(F43="HUILE",E43="CLIENT S"),(VLOOKUP(H43,'BASE '!$I$112:$J$142,2,0)+(VLOOKUP(S43,'BASE '!#REF!,2,0)))-(G43*((VLOOKUP(S43,'BASE '!#REF!,2,0)+(VLOOKUP(H43,'BASE '!$I$112:$J$142,2,0))))))))))))))))</f>
        <v>0</v>
      </c>
      <c r="P43" s="52" t="b">
        <f t="shared" si="1"/>
        <v>0</v>
      </c>
      <c r="Q43" s="53" t="b">
        <f t="shared" si="2"/>
        <v>0</v>
      </c>
      <c r="R43" s="152" t="s">
        <v>175</v>
      </c>
      <c r="S43" s="184">
        <f t="shared" si="6"/>
        <v>0</v>
      </c>
      <c r="T43" s="124"/>
      <c r="U43" s="41" t="s">
        <v>175</v>
      </c>
      <c r="V43" s="70" t="e">
        <f>VLOOKUP(U43,'BASE '!$A$4:$H$144,2,0)</f>
        <v>#N/A</v>
      </c>
      <c r="W43" s="159"/>
      <c r="X43" s="159"/>
      <c r="Y43" s="160"/>
      <c r="Z43" s="158" t="e">
        <f>VLOOKUP(U43,'BASE '!$A$4:$H$144,3,0)</f>
        <v>#N/A</v>
      </c>
      <c r="AA43" s="94" t="e">
        <f t="shared" si="3"/>
        <v>#N/A</v>
      </c>
      <c r="AB43" s="95" t="e">
        <f>VLOOKUP(U43,'BASE '!$A$4:$H$144,6,0)*Y43/100</f>
        <v>#N/A</v>
      </c>
      <c r="AC43" s="95" t="e">
        <f>VLOOKUP(U43,'BASE '!$A$4:$H$144,7,0)*Y43/100</f>
        <v>#N/A</v>
      </c>
      <c r="AD43" s="95" t="e">
        <f>VLOOKUP(U43,'BASE '!$A$4:$H$144,8,0)*Y43/100</f>
        <v>#N/A</v>
      </c>
      <c r="AE43" s="96" t="e">
        <f t="shared" si="7"/>
        <v>#N/A</v>
      </c>
      <c r="AF43" s="431"/>
      <c r="AG43" s="91" t="s">
        <v>157</v>
      </c>
      <c r="AH43" s="36" t="e">
        <f>SUMIFS($H$6:$H$165,$D$6:$D$165,AF43,CHOIX,AG43)</f>
        <v>#NAME?</v>
      </c>
      <c r="AI43" s="36" t="e">
        <f>SUMIFS($I$6:$I$165,$D$6:$D$165,AF43,CHOIX,AG43)</f>
        <v>#NAME?</v>
      </c>
      <c r="AJ43" s="36" t="e">
        <f>SUMIFS($J$6:$J$165,$D$6:$D$165,AF43,CHOIX,AG43)</f>
        <v>#NAME?</v>
      </c>
      <c r="AK43" s="36" t="e">
        <f>SUMIFS($K$6:$K$165,$D$6:$D$165,AF43,CHOIX,AG43)</f>
        <v>#NAME?</v>
      </c>
      <c r="AL43" s="36" t="e">
        <f>SUMIFS($L$6:$L$165,$D$6:$D$165,AF43,CHOIX,AG43)</f>
        <v>#NAME?</v>
      </c>
      <c r="AM43" s="36" t="e">
        <f>SUMIFS($M$6:$M$165,$D$6:$D$165,AF43,CHOIX,AG43)</f>
        <v>#NAME?</v>
      </c>
      <c r="AN43" s="91" t="s">
        <v>157</v>
      </c>
      <c r="AO43" s="83"/>
      <c r="AP43" s="63"/>
      <c r="AQ43" s="63"/>
      <c r="AR43" s="63"/>
      <c r="AS43" s="79"/>
      <c r="AT43" s="79"/>
      <c r="AU43" s="55" t="e">
        <f>SUMIFS($O$6:$O$165,$D$6:$D$165,AF43,CHOIX,AG43)</f>
        <v>#NAME?</v>
      </c>
      <c r="AV43" s="80" t="e">
        <f>SUMIFS($Q$6:$Q$165,$D$6:$D$165,AF43,CHOIX,AG43)</f>
        <v>#NAME?</v>
      </c>
      <c r="AZ43" s="201"/>
      <c r="BA43" s="63"/>
      <c r="BB43" s="63"/>
      <c r="BC43" s="63"/>
      <c r="BD43" s="63"/>
      <c r="BE43" s="63"/>
      <c r="BF43" s="63"/>
      <c r="BG43" s="63"/>
      <c r="BH43" s="63"/>
      <c r="BI43" s="63"/>
      <c r="BJ43" s="63"/>
      <c r="BK43" s="63"/>
      <c r="BL43" s="63"/>
      <c r="BM43" s="147">
        <f t="shared" si="8"/>
        <v>0</v>
      </c>
      <c r="BN43" s="147">
        <f t="shared" si="9"/>
        <v>0</v>
      </c>
      <c r="BO43" s="149"/>
      <c r="DN43" s="116" t="e">
        <f>(($I$5*#REF!)/100)+((#REF!*$J$5)/100)+(($K$5*#REF!)/100)+($L$5*#REF!)+($M$5*#REF!)</f>
        <v>#REF!</v>
      </c>
    </row>
    <row r="44" spans="2:129" x14ac:dyDescent="0.3">
      <c r="B44" s="64"/>
      <c r="C44" s="148"/>
      <c r="D44" s="109"/>
      <c r="E44" s="63"/>
      <c r="F44" s="127"/>
      <c r="G44" s="50"/>
      <c r="H44" s="10"/>
      <c r="I44" s="10"/>
      <c r="J44" s="10"/>
      <c r="K44" s="10"/>
      <c r="L44" s="10"/>
      <c r="M44" s="39"/>
      <c r="N44" s="33">
        <f t="shared" si="0"/>
        <v>0</v>
      </c>
      <c r="O44" s="52" t="b">
        <f>IF(AND(E44="CLIENT S+L",F44="HUILE"),(S44*3333.33+(VLOOKUP(H44,'BASE '!$I$112:$J$142,2,0)))-((S44*3333.33)*G44),IF(AND(E44="CLIENT S+L",F44="LAIT"),((S44*952.4)-(S44*952.4)*G44),IF(E44="CLIENT O","OFFERT",IF(AND(F44="HUILE",E44="CLIENT L"),(((VLOOKUP(H44,'BASE '!$I$112:$J$142,2,0))+(VLOOKUP(S44,'BASE '!#REF!,2,0)))),IF(AND(F44="LAIT",E44="CLIENT L"),(S44*952.4),IF(AND(F44="HUILE",E44="CLIENT D"),(S44*3809.53+(VLOOKUP(H44,'BASE '!$I$112:$J$142,2,0))),IF(AND(F44="LAIT",E44="CLIENT D"),(S44*952.4),IF(AND(F44="HUILE",E44="CLIENT S+D"),((S44*3809.53+(VLOOKUP(H44,'BASE '!$I$112:$J$142,2,0)))-((S44*3809.53)*G44)),IF(AND(F44="LAIT",E44="CLIENT S+D"),((S44*952.4)-((S44*952.4)*G44)),IF(AND(E44="CLIENT S",F44="LAIT"),((S44*952.4)-((S44*952.4)*G44)),IF(AND(F44="HUILE",E44="CLIENT S"),(VLOOKUP(H44,'BASE '!$I$112:$J$142,2,0)+(VLOOKUP(S44,'BASE '!#REF!,2,0)))-(G44*((VLOOKUP(S44,'BASE '!#REF!,2,0)+(VLOOKUP(H44,'BASE '!$I$112:$J$142,2,0))))))))))))))))</f>
        <v>0</v>
      </c>
      <c r="P44" s="52" t="b">
        <f t="shared" si="1"/>
        <v>0</v>
      </c>
      <c r="Q44" s="53" t="b">
        <f t="shared" si="2"/>
        <v>0</v>
      </c>
      <c r="R44" s="152" t="s">
        <v>175</v>
      </c>
      <c r="S44" s="184">
        <f t="shared" si="6"/>
        <v>0</v>
      </c>
      <c r="T44" s="124"/>
      <c r="U44" s="41" t="s">
        <v>175</v>
      </c>
      <c r="V44" s="70" t="e">
        <f>VLOOKUP(U44,'BASE '!$A$4:$H$144,2,0)</f>
        <v>#N/A</v>
      </c>
      <c r="W44" s="159"/>
      <c r="X44" s="159"/>
      <c r="Y44" s="160"/>
      <c r="Z44" s="158" t="e">
        <f>VLOOKUP(U44,'BASE '!$A$4:$H$144,3,0)</f>
        <v>#N/A</v>
      </c>
      <c r="AA44" s="94" t="e">
        <f t="shared" si="3"/>
        <v>#N/A</v>
      </c>
      <c r="AB44" s="95" t="e">
        <f>VLOOKUP(U44,'BASE '!$A$4:$H$144,6,0)*Y44/100</f>
        <v>#N/A</v>
      </c>
      <c r="AC44" s="95" t="e">
        <f>VLOOKUP(U44,'BASE '!$A$4:$H$144,7,0)*Y44/100</f>
        <v>#N/A</v>
      </c>
      <c r="AD44" s="95" t="e">
        <f>VLOOKUP(U44,'BASE '!$A$4:$H$144,8,0)*Y44/100</f>
        <v>#N/A</v>
      </c>
      <c r="AE44" s="96" t="e">
        <f t="shared" si="7"/>
        <v>#N/A</v>
      </c>
      <c r="AF44" s="431"/>
      <c r="AG44" s="1" t="s">
        <v>155</v>
      </c>
      <c r="AH44" s="36" t="e">
        <f>SUMIFS($H$6:$H$165,$D$6:$D$165,AF43,CHOIX,AG44)</f>
        <v>#NAME?</v>
      </c>
      <c r="AI44" s="36" t="e">
        <f>SUMIFS($I$6:$I$165,$D$6:$D$165,AF43,CHOIX,AG44)</f>
        <v>#NAME?</v>
      </c>
      <c r="AJ44" s="36" t="e">
        <f>SUMIFS($J$6:$J$165,$D$6:$D$165,AF43,CHOIX,AG44)</f>
        <v>#NAME?</v>
      </c>
      <c r="AK44" s="36" t="e">
        <f>SUMIFS($K$6:$K$165,$D$6:$D$165,AF43,CHOIX,AG44)</f>
        <v>#NAME?</v>
      </c>
      <c r="AL44" s="36" t="e">
        <f>SUMIFS($L$6:$L$165,$D$6:$D$165,AF43,CHOIX,AG44)</f>
        <v>#NAME?</v>
      </c>
      <c r="AM44" s="36" t="e">
        <f>SUMIFS($M$6:$M$165,$D$6:$D$165,AF43,CHOIX,AG44)</f>
        <v>#NAME?</v>
      </c>
      <c r="AN44" s="1" t="s">
        <v>155</v>
      </c>
      <c r="AO44" s="83"/>
      <c r="AP44" s="63"/>
      <c r="AQ44" s="63"/>
      <c r="AR44" s="63"/>
      <c r="AS44" s="79"/>
      <c r="AT44" s="79"/>
      <c r="AU44" s="55" t="e">
        <f>SUMIFS($O$6:$O$165,$D$6:$D$165,AF43,CHOIX,AG44)</f>
        <v>#NAME?</v>
      </c>
      <c r="AV44" s="80" t="e">
        <f>SUMIFS($Q$6:$Q$165,$D$6:$D$165,AF43,CHOIX,AG44)</f>
        <v>#NAME?</v>
      </c>
      <c r="AZ44" s="201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/>
      <c r="BM44" s="147">
        <f t="shared" si="8"/>
        <v>0</v>
      </c>
      <c r="BN44" s="147">
        <f t="shared" si="9"/>
        <v>0</v>
      </c>
      <c r="BO44" s="149"/>
      <c r="DN44" s="116" t="e">
        <f>(($I$5*#REF!)/100)+((#REF!*$J$5)/100)+(($K$5*#REF!)/100)+($L$5*#REF!)+($M$5*#REF!)</f>
        <v>#REF!</v>
      </c>
    </row>
    <row r="45" spans="2:129" x14ac:dyDescent="0.3">
      <c r="B45" s="64"/>
      <c r="C45" s="148"/>
      <c r="D45" s="109"/>
      <c r="E45" s="63"/>
      <c r="F45" s="127"/>
      <c r="G45" s="50"/>
      <c r="H45" s="10"/>
      <c r="I45" s="10"/>
      <c r="J45" s="10"/>
      <c r="K45" s="10"/>
      <c r="L45" s="10"/>
      <c r="M45" s="39"/>
      <c r="N45" s="33">
        <f t="shared" si="0"/>
        <v>0</v>
      </c>
      <c r="O45" s="52" t="b">
        <f>IF(AND(E45="CLIENT S+L",F45="HUILE"),(S45*3333.33+(VLOOKUP(H45,'BASE '!$I$112:$J$142,2,0)))-((S45*3333.33)*G45),IF(AND(E45="CLIENT S+L",F45="LAIT"),((S45*952.4)-(S45*952.4)*G45),IF(E45="CLIENT O","OFFERT",IF(AND(F45="HUILE",E45="CLIENT L"),(((VLOOKUP(H45,'BASE '!$I$112:$J$142,2,0))+(VLOOKUP(S45,'BASE '!#REF!,2,0)))),IF(AND(F45="LAIT",E45="CLIENT L"),(S45*952.4),IF(AND(F45="HUILE",E45="CLIENT D"),(S45*3809.53+(VLOOKUP(H45,'BASE '!$I$112:$J$142,2,0))),IF(AND(F45="LAIT",E45="CLIENT D"),(S45*952.4),IF(AND(F45="HUILE",E45="CLIENT S+D"),((S45*3809.53+(VLOOKUP(H45,'BASE '!$I$112:$J$142,2,0)))-((S45*3809.53)*G45)),IF(AND(F45="LAIT",E45="CLIENT S+D"),((S45*952.4)-((S45*952.4)*G45)),IF(AND(E45="CLIENT S",F45="LAIT"),((S45*952.4)-((S45*952.4)*G45)),IF(AND(F45="HUILE",E45="CLIENT S"),(VLOOKUP(H45,'BASE '!$I$112:$J$142,2,0)+(VLOOKUP(S45,'BASE '!#REF!,2,0)))-(G45*((VLOOKUP(S45,'BASE '!#REF!,2,0)+(VLOOKUP(H45,'BASE '!$I$112:$J$142,2,0))))))))))))))))</f>
        <v>0</v>
      </c>
      <c r="P45" s="52" t="b">
        <f t="shared" si="1"/>
        <v>0</v>
      </c>
      <c r="Q45" s="53" t="b">
        <f t="shared" si="2"/>
        <v>0</v>
      </c>
      <c r="R45" s="152" t="s">
        <v>175</v>
      </c>
      <c r="S45" s="184">
        <f t="shared" si="6"/>
        <v>0</v>
      </c>
      <c r="T45" s="124"/>
      <c r="U45" s="41" t="s">
        <v>175</v>
      </c>
      <c r="V45" s="70" t="e">
        <f>VLOOKUP(U45,'BASE '!$A$4:$H$144,2,0)</f>
        <v>#N/A</v>
      </c>
      <c r="W45" s="159"/>
      <c r="X45" s="159"/>
      <c r="Y45" s="160"/>
      <c r="Z45" s="158" t="e">
        <f>VLOOKUP(U45,'BASE '!$A$4:$H$144,3,0)</f>
        <v>#N/A</v>
      </c>
      <c r="AA45" s="94" t="e">
        <f t="shared" si="3"/>
        <v>#N/A</v>
      </c>
      <c r="AB45" s="95" t="e">
        <f>VLOOKUP(U45,'BASE '!$A$4:$H$144,6,0)*Y45/100</f>
        <v>#N/A</v>
      </c>
      <c r="AC45" s="95" t="e">
        <f>VLOOKUP(U45,'BASE '!$A$4:$H$144,7,0)*Y45/100</f>
        <v>#N/A</v>
      </c>
      <c r="AD45" s="95" t="e">
        <f>VLOOKUP(U45,'BASE '!$A$4:$H$144,8,0)*Y45/100</f>
        <v>#N/A</v>
      </c>
      <c r="AE45" s="96" t="e">
        <f t="shared" si="7"/>
        <v>#N/A</v>
      </c>
      <c r="AF45" s="431"/>
      <c r="AG45" s="91" t="s">
        <v>157</v>
      </c>
      <c r="AH45" s="36" t="e">
        <f>SUMIFS($H$6:$H$165,$D$6:$D$165,AF45,CHOIX,AG45)</f>
        <v>#NAME?</v>
      </c>
      <c r="AI45" s="36" t="e">
        <f>SUMIFS($I$6:$I$165,$D$6:$D$165,AF45,CHOIX,AG45)</f>
        <v>#NAME?</v>
      </c>
      <c r="AJ45" s="36" t="e">
        <f>SUMIFS($J$6:$J$165,$D$6:$D$165,AF45,CHOIX,AG45)</f>
        <v>#NAME?</v>
      </c>
      <c r="AK45" s="36" t="e">
        <f>SUMIFS($K$6:$K$165,$D$6:$D$165,AF45,CHOIX,AG45)</f>
        <v>#NAME?</v>
      </c>
      <c r="AL45" s="36" t="e">
        <f>SUMIFS($L$6:$L$165,$D$6:$D$165,AF45,CHOIX,AG45)</f>
        <v>#NAME?</v>
      </c>
      <c r="AM45" s="36" t="e">
        <f>SUMIFS($M$6:$M$165,$D$6:$D$165,AF45,CHOIX,AG45)</f>
        <v>#NAME?</v>
      </c>
      <c r="AN45" s="91" t="s">
        <v>157</v>
      </c>
      <c r="AO45" s="83"/>
      <c r="AP45" s="63"/>
      <c r="AQ45" s="63"/>
      <c r="AR45" s="63"/>
      <c r="AS45" s="79"/>
      <c r="AT45" s="79"/>
      <c r="AU45" s="55" t="e">
        <f>SUMIFS($O$6:$O$165,$D$6:$D$165,AF45,CHOIX,AG45)</f>
        <v>#NAME?</v>
      </c>
      <c r="AV45" s="80" t="e">
        <f>SUMIFS($Q$6:$Q$165,$D$6:$D$165,AF45,CHOIX,AG45)</f>
        <v>#NAME?</v>
      </c>
      <c r="AZ45" s="201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147">
        <f t="shared" si="8"/>
        <v>0</v>
      </c>
      <c r="BN45" s="147">
        <f t="shared" si="9"/>
        <v>0</v>
      </c>
      <c r="BO45" s="149"/>
      <c r="DN45" s="116" t="e">
        <f>(($I$5*#REF!)/100)+((#REF!*$J$5)/100)+(($K$5*#REF!)/100)+($L$5*#REF!)+($M$5*#REF!)</f>
        <v>#REF!</v>
      </c>
    </row>
    <row r="46" spans="2:129" x14ac:dyDescent="0.3">
      <c r="B46" s="64"/>
      <c r="C46" s="148"/>
      <c r="D46" s="109"/>
      <c r="E46" s="63"/>
      <c r="F46" s="127"/>
      <c r="G46" s="50"/>
      <c r="H46" s="10"/>
      <c r="I46" s="10"/>
      <c r="J46" s="10"/>
      <c r="K46" s="10"/>
      <c r="L46" s="10"/>
      <c r="M46" s="39"/>
      <c r="N46" s="33">
        <f t="shared" si="0"/>
        <v>0</v>
      </c>
      <c r="O46" s="52" t="b">
        <f>IF(AND(E46="CLIENT S+L",F46="HUILE"),(S46*3333.33+(VLOOKUP(H46,'BASE '!$I$112:$J$142,2,0)))-((S46*3333.33)*G46),IF(AND(E46="CLIENT S+L",F46="LAIT"),((S46*952.4)-(S46*952.4)*G46),IF(E46="CLIENT O","OFFERT",IF(AND(F46="HUILE",E46="CLIENT L"),(((VLOOKUP(H46,'BASE '!$I$112:$J$142,2,0))+(VLOOKUP(S46,'BASE '!#REF!,2,0)))),IF(AND(F46="LAIT",E46="CLIENT L"),(S46*952.4),IF(AND(F46="HUILE",E46="CLIENT D"),(S46*3809.53+(VLOOKUP(H46,'BASE '!$I$112:$J$142,2,0))),IF(AND(F46="LAIT",E46="CLIENT D"),(S46*952.4),IF(AND(F46="HUILE",E46="CLIENT S+D"),((S46*3809.53+(VLOOKUP(H46,'BASE '!$I$112:$J$142,2,0)))-((S46*3809.53)*G46)),IF(AND(F46="LAIT",E46="CLIENT S+D"),((S46*952.4)-((S46*952.4)*G46)),IF(AND(E46="CLIENT S",F46="LAIT"),((S46*952.4)-((S46*952.4)*G46)),IF(AND(F46="HUILE",E46="CLIENT S"),(VLOOKUP(H46,'BASE '!$I$112:$J$142,2,0)+(VLOOKUP(S46,'BASE '!#REF!,2,0)))-(G46*((VLOOKUP(S46,'BASE '!#REF!,2,0)+(VLOOKUP(H46,'BASE '!$I$112:$J$142,2,0))))))))))))))))</f>
        <v>0</v>
      </c>
      <c r="P46" s="52" t="b">
        <f t="shared" si="1"/>
        <v>0</v>
      </c>
      <c r="Q46" s="53" t="b">
        <f t="shared" si="2"/>
        <v>0</v>
      </c>
      <c r="R46" s="152" t="s">
        <v>175</v>
      </c>
      <c r="S46" s="184">
        <f t="shared" si="6"/>
        <v>0</v>
      </c>
      <c r="T46" s="124"/>
      <c r="U46" s="41" t="s">
        <v>175</v>
      </c>
      <c r="V46" s="70" t="e">
        <f>VLOOKUP(U46,'BASE '!$A$4:$H$144,2,0)</f>
        <v>#N/A</v>
      </c>
      <c r="W46" s="159"/>
      <c r="X46" s="159"/>
      <c r="Y46" s="160"/>
      <c r="Z46" s="158" t="e">
        <f>VLOOKUP(U46,'BASE '!$A$4:$H$144,3,0)</f>
        <v>#N/A</v>
      </c>
      <c r="AA46" s="94" t="e">
        <f t="shared" si="3"/>
        <v>#N/A</v>
      </c>
      <c r="AB46" s="95" t="e">
        <f>VLOOKUP(U46,'BASE '!$A$4:$H$144,6,0)*Y46/100</f>
        <v>#N/A</v>
      </c>
      <c r="AC46" s="95" t="e">
        <f>VLOOKUP(U46,'BASE '!$A$4:$H$144,7,0)*Y46/100</f>
        <v>#N/A</v>
      </c>
      <c r="AD46" s="95" t="e">
        <f>VLOOKUP(U46,'BASE '!$A$4:$H$144,8,0)*Y46/100</f>
        <v>#N/A</v>
      </c>
      <c r="AE46" s="96" t="e">
        <f t="shared" si="7"/>
        <v>#N/A</v>
      </c>
      <c r="AF46" s="431"/>
      <c r="AG46" s="1" t="s">
        <v>155</v>
      </c>
      <c r="AH46" s="36" t="e">
        <f>SUMIFS($H$6:$H$165,$D$6:$D$165,AF45,CHOIX,AG46)</f>
        <v>#NAME?</v>
      </c>
      <c r="AI46" s="36" t="e">
        <f>SUMIFS($I$6:$I$165,$D$6:$D$165,AF45,CHOIX,AG46)</f>
        <v>#NAME?</v>
      </c>
      <c r="AJ46" s="36" t="e">
        <f>SUMIFS($J$6:$J$165,$D$6:$D$165,AF45,CHOIX,AG46)</f>
        <v>#NAME?</v>
      </c>
      <c r="AK46" s="36" t="e">
        <f>SUMIFS($K$6:$K$165,$D$6:$D$165,AF45,CHOIX,AG46)</f>
        <v>#NAME?</v>
      </c>
      <c r="AL46" s="36" t="e">
        <f>SUMIFS($L$6:$L$165,$D$6:$D$165,AF45,CHOIX,AG46)</f>
        <v>#NAME?</v>
      </c>
      <c r="AM46" s="36" t="e">
        <f>SUMIFS($M$6:$M$165,$D$6:$D$165,AF45,CHOIX,AG46)</f>
        <v>#NAME?</v>
      </c>
      <c r="AN46" s="1" t="s">
        <v>155</v>
      </c>
      <c r="AO46" s="83"/>
      <c r="AP46" s="63"/>
      <c r="AQ46" s="63"/>
      <c r="AR46" s="63"/>
      <c r="AS46" s="79"/>
      <c r="AT46" s="79"/>
      <c r="AU46" s="55" t="e">
        <f>SUMIFS($O$6:$O$165,$D$6:$D$165,AF45,CHOIX,AG46)</f>
        <v>#NAME?</v>
      </c>
      <c r="AV46" s="80" t="e">
        <f>SUMIFS($Q$6:$Q$165,$D$6:$D$165,AF45,CHOIX,AG46)</f>
        <v>#NAME?</v>
      </c>
      <c r="AZ46" s="201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147">
        <f t="shared" si="8"/>
        <v>0</v>
      </c>
      <c r="BN46" s="147">
        <f t="shared" si="9"/>
        <v>0</v>
      </c>
      <c r="BO46" s="149"/>
      <c r="DN46" s="116" t="e">
        <f>(($I$5*#REF!)/100)+((#REF!*$J$5)/100)+(($K$5*#REF!)/100)+($L$5*#REF!)+($M$5*#REF!)</f>
        <v>#REF!</v>
      </c>
    </row>
    <row r="47" spans="2:129" x14ac:dyDescent="0.3">
      <c r="B47" s="64"/>
      <c r="C47" s="148"/>
      <c r="D47" s="109"/>
      <c r="E47" s="63"/>
      <c r="F47" s="127"/>
      <c r="G47" s="50"/>
      <c r="H47" s="10"/>
      <c r="I47" s="10"/>
      <c r="J47" s="10"/>
      <c r="K47" s="10"/>
      <c r="L47" s="10"/>
      <c r="M47" s="39"/>
      <c r="N47" s="33">
        <f t="shared" si="0"/>
        <v>0</v>
      </c>
      <c r="O47" s="52" t="b">
        <f>IF(AND(E47="CLIENT S+L",F47="HUILE"),(S47*3333.33+(VLOOKUP(H47,'BASE '!$I$112:$J$142,2,0)))-((S47*3333.33)*G47),IF(AND(E47="CLIENT S+L",F47="LAIT"),((S47*952.4)-(S47*952.4)*G47),IF(E47="CLIENT O","OFFERT",IF(AND(F47="HUILE",E47="CLIENT L"),(((VLOOKUP(H47,'BASE '!$I$112:$J$142,2,0))+(VLOOKUP(S47,'BASE '!#REF!,2,0)))),IF(AND(F47="LAIT",E47="CLIENT L"),(S47*952.4),IF(AND(F47="HUILE",E47="CLIENT D"),(S47*3809.53+(VLOOKUP(H47,'BASE '!$I$112:$J$142,2,0))),IF(AND(F47="LAIT",E47="CLIENT D"),(S47*952.4),IF(AND(F47="HUILE",E47="CLIENT S+D"),((S47*3809.53+(VLOOKUP(H47,'BASE '!$I$112:$J$142,2,0)))-((S47*3809.53)*G47)),IF(AND(F47="LAIT",E47="CLIENT S+D"),((S47*952.4)-((S47*952.4)*G47)),IF(AND(E47="CLIENT S",F47="LAIT"),((S47*952.4)-((S47*952.4)*G47)),IF(AND(F47="HUILE",E47="CLIENT S"),(VLOOKUP(H47,'BASE '!$I$112:$J$142,2,0)+(VLOOKUP(S47,'BASE '!#REF!,2,0)))-(G47*((VLOOKUP(S47,'BASE '!#REF!,2,0)+(VLOOKUP(H47,'BASE '!$I$112:$J$142,2,0))))))))))))))))</f>
        <v>0</v>
      </c>
      <c r="P47" s="52" t="b">
        <f t="shared" si="1"/>
        <v>0</v>
      </c>
      <c r="Q47" s="53" t="b">
        <f t="shared" si="2"/>
        <v>0</v>
      </c>
      <c r="R47" s="152" t="s">
        <v>175</v>
      </c>
      <c r="S47" s="184">
        <f t="shared" si="6"/>
        <v>0</v>
      </c>
      <c r="T47" s="124"/>
      <c r="U47" s="41" t="s">
        <v>175</v>
      </c>
      <c r="V47" s="70" t="e">
        <f>VLOOKUP(U47,'BASE '!$A$4:$H$144,2,0)</f>
        <v>#N/A</v>
      </c>
      <c r="W47" s="159"/>
      <c r="X47" s="159"/>
      <c r="Y47" s="160"/>
      <c r="Z47" s="158" t="e">
        <f>VLOOKUP(U47,'BASE '!$A$4:$H$144,3,0)</f>
        <v>#N/A</v>
      </c>
      <c r="AA47" s="94" t="e">
        <f t="shared" si="3"/>
        <v>#N/A</v>
      </c>
      <c r="AB47" s="95" t="e">
        <f>VLOOKUP(U47,'BASE '!$A$4:$H$144,6,0)*Y47/100</f>
        <v>#N/A</v>
      </c>
      <c r="AC47" s="95" t="e">
        <f>VLOOKUP(U47,'BASE '!$A$4:$H$144,7,0)*Y47/100</f>
        <v>#N/A</v>
      </c>
      <c r="AD47" s="95" t="e">
        <f>VLOOKUP(U47,'BASE '!$A$4:$H$144,8,0)*Y47/100</f>
        <v>#N/A</v>
      </c>
      <c r="AE47" s="96" t="e">
        <f t="shared" si="7"/>
        <v>#N/A</v>
      </c>
      <c r="AF47" s="431"/>
      <c r="AG47" s="91" t="s">
        <v>157</v>
      </c>
      <c r="AH47" s="36" t="e">
        <f>SUMIFS($H$6:$H$165,$D$6:$D$165,AF47,CHOIX,AG47)</f>
        <v>#NAME?</v>
      </c>
      <c r="AI47" s="36" t="e">
        <f>SUMIFS($I$6:$I$165,$D$6:$D$165,AF47,CHOIX,AG47)</f>
        <v>#NAME?</v>
      </c>
      <c r="AJ47" s="36" t="e">
        <f>SUMIFS($J$6:$J$165,$D$6:$D$165,AF47,CHOIX,AG47)</f>
        <v>#NAME?</v>
      </c>
      <c r="AK47" s="36" t="e">
        <f>SUMIFS($K$6:$K$165,$D$6:$D$165,AF47,CHOIX,AG47)</f>
        <v>#NAME?</v>
      </c>
      <c r="AL47" s="36" t="e">
        <f>SUMIFS($L$6:$L$165,$D$6:$D$165,AF47,CHOIX,AG47)</f>
        <v>#NAME?</v>
      </c>
      <c r="AM47" s="36" t="e">
        <f>SUMIFS($M$6:$M$165,$D$6:$D$165,AF47,CHOIX,AG47)</f>
        <v>#NAME?</v>
      </c>
      <c r="AN47" s="91" t="s">
        <v>157</v>
      </c>
      <c r="AO47" s="83"/>
      <c r="AP47" s="63"/>
      <c r="AQ47" s="63"/>
      <c r="AR47" s="63"/>
      <c r="AS47" s="79"/>
      <c r="AT47" s="79"/>
      <c r="AU47" s="55" t="e">
        <f>SUMIFS($O$6:$O$165,$D$6:$D$165,AF47,CHOIX,AG47)</f>
        <v>#NAME?</v>
      </c>
      <c r="AV47" s="80" t="e">
        <f>SUMIFS($Q$6:$Q$165,$D$6:$D$165,AF47,CHOIX,AG47)</f>
        <v>#NAME?</v>
      </c>
      <c r="AZ47" s="201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147">
        <f t="shared" si="8"/>
        <v>0</v>
      </c>
      <c r="BN47" s="147">
        <f t="shared" si="9"/>
        <v>0</v>
      </c>
      <c r="BO47" s="149"/>
      <c r="DN47" s="116" t="e">
        <f>(($I$5*#REF!)/100)+((#REF!*$J$5)/100)+(($K$5*#REF!)/100)+($L$5*#REF!)+($M$5*#REF!)</f>
        <v>#REF!</v>
      </c>
    </row>
    <row r="48" spans="2:129" x14ac:dyDescent="0.3">
      <c r="B48" s="64"/>
      <c r="C48" s="148"/>
      <c r="D48" s="109"/>
      <c r="E48" s="63"/>
      <c r="F48" s="127"/>
      <c r="G48" s="50"/>
      <c r="H48" s="10"/>
      <c r="I48" s="10"/>
      <c r="J48" s="10"/>
      <c r="K48" s="10"/>
      <c r="L48" s="10"/>
      <c r="M48" s="39"/>
      <c r="N48" s="33">
        <f t="shared" si="0"/>
        <v>0</v>
      </c>
      <c r="O48" s="52" t="b">
        <f>IF(AND(E48="CLIENT S+L",F48="HUILE"),(S48*3333.33+(VLOOKUP(H48,'BASE '!$I$112:$J$142,2,0)))-((S48*3333.33)*G48),IF(AND(E48="CLIENT S+L",F48="LAIT"),((S48*952.4)-(S48*952.4)*G48),IF(E48="CLIENT O","OFFERT",IF(AND(F48="HUILE",E48="CLIENT L"),(((VLOOKUP(H48,'BASE '!$I$112:$J$142,2,0))+(VLOOKUP(S48,'BASE '!#REF!,2,0)))),IF(AND(F48="LAIT",E48="CLIENT L"),(S48*952.4),IF(AND(F48="HUILE",E48="CLIENT D"),(S48*3809.53+(VLOOKUP(H48,'BASE '!$I$112:$J$142,2,0))),IF(AND(F48="LAIT",E48="CLIENT D"),(S48*952.4),IF(AND(F48="HUILE",E48="CLIENT S+D"),((S48*3809.53+(VLOOKUP(H48,'BASE '!$I$112:$J$142,2,0)))-((S48*3809.53)*G48)),IF(AND(F48="LAIT",E48="CLIENT S+D"),((S48*952.4)-((S48*952.4)*G48)),IF(AND(E48="CLIENT S",F48="LAIT"),((S48*952.4)-((S48*952.4)*G48)),IF(AND(F48="HUILE",E48="CLIENT S"),(VLOOKUP(H48,'BASE '!$I$112:$J$142,2,0)+(VLOOKUP(S48,'BASE '!#REF!,2,0)))-(G48*((VLOOKUP(S48,'BASE '!#REF!,2,0)+(VLOOKUP(H48,'BASE '!$I$112:$J$142,2,0))))))))))))))))</f>
        <v>0</v>
      </c>
      <c r="P48" s="52" t="b">
        <f t="shared" si="1"/>
        <v>0</v>
      </c>
      <c r="Q48" s="53" t="b">
        <f t="shared" si="2"/>
        <v>0</v>
      </c>
      <c r="R48" s="152" t="s">
        <v>175</v>
      </c>
      <c r="S48" s="184">
        <f t="shared" si="6"/>
        <v>0</v>
      </c>
      <c r="T48" s="124"/>
      <c r="U48" s="41" t="s">
        <v>175</v>
      </c>
      <c r="V48" s="70" t="e">
        <f>VLOOKUP(U48,'BASE '!$A$4:$H$144,2,0)</f>
        <v>#N/A</v>
      </c>
      <c r="W48" s="159"/>
      <c r="X48" s="159"/>
      <c r="Y48" s="160"/>
      <c r="Z48" s="158" t="e">
        <f>VLOOKUP(U48,'BASE '!$A$4:$H$144,3,0)</f>
        <v>#N/A</v>
      </c>
      <c r="AA48" s="94" t="e">
        <f t="shared" si="3"/>
        <v>#N/A</v>
      </c>
      <c r="AB48" s="95" t="e">
        <f>VLOOKUP(U48,'BASE '!$A$4:$H$144,6,0)*Y48/100</f>
        <v>#N/A</v>
      </c>
      <c r="AC48" s="95" t="e">
        <f>VLOOKUP(U48,'BASE '!$A$4:$H$144,7,0)*Y48/100</f>
        <v>#N/A</v>
      </c>
      <c r="AD48" s="95" t="e">
        <f>VLOOKUP(U48,'BASE '!$A$4:$H$144,8,0)*Y48/100</f>
        <v>#N/A</v>
      </c>
      <c r="AE48" s="96" t="e">
        <f t="shared" si="7"/>
        <v>#N/A</v>
      </c>
      <c r="AF48" s="431"/>
      <c r="AG48" s="1" t="s">
        <v>155</v>
      </c>
      <c r="AH48" s="36" t="e">
        <f>SUMIFS($H$6:$H$165,$D$6:$D$165,AF47,CHOIX,AG48)</f>
        <v>#NAME?</v>
      </c>
      <c r="AI48" s="36" t="e">
        <f>SUMIFS($I$6:$I$165,$D$6:$D$165,AF47,CHOIX,AG48)</f>
        <v>#NAME?</v>
      </c>
      <c r="AJ48" s="36" t="e">
        <f>SUMIFS($J$6:$J$165,$D$6:$D$165,AF47,CHOIX,AG48)</f>
        <v>#NAME?</v>
      </c>
      <c r="AK48" s="36" t="e">
        <f>SUMIFS($K$6:$K$165,$D$6:$D$165,AF47,CHOIX,AG48)</f>
        <v>#NAME?</v>
      </c>
      <c r="AL48" s="36" t="e">
        <f>SUMIFS($L$6:$L$165,$D$6:$D$165,AF47,CHOIX,AG48)</f>
        <v>#NAME?</v>
      </c>
      <c r="AM48" s="36" t="e">
        <f>SUMIFS($M$6:$M$165,$D$6:$D$165,AF47,CHOIX,AG48)</f>
        <v>#NAME?</v>
      </c>
      <c r="AN48" s="1" t="s">
        <v>155</v>
      </c>
      <c r="AO48" s="83"/>
      <c r="AP48" s="63"/>
      <c r="AQ48" s="63"/>
      <c r="AR48" s="63"/>
      <c r="AS48" s="79"/>
      <c r="AT48" s="79"/>
      <c r="AU48" s="55" t="e">
        <f>SUMIFS($O$6:$O$165,$D$6:$D$165,AF47,CHOIX,AG48)</f>
        <v>#NAME?</v>
      </c>
      <c r="AV48" s="80" t="e">
        <f>SUMIFS($Q$6:$Q$165,$D$6:$D$165,AF47,CHOIX,AG48)</f>
        <v>#NAME?</v>
      </c>
      <c r="AZ48" s="201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  <c r="BL48" s="63"/>
      <c r="BM48" s="147">
        <f t="shared" si="8"/>
        <v>0</v>
      </c>
      <c r="BN48" s="147">
        <f t="shared" si="9"/>
        <v>0</v>
      </c>
      <c r="BO48" s="149"/>
      <c r="DN48" s="116" t="e">
        <f>(($I$5*#REF!)/100)+((#REF!*$J$5)/100)+(($K$5*#REF!)/100)+($L$5*#REF!)+($M$5*#REF!)</f>
        <v>#REF!</v>
      </c>
    </row>
    <row r="49" spans="2:118" x14ac:dyDescent="0.3">
      <c r="B49" s="64"/>
      <c r="C49" s="148"/>
      <c r="D49" s="109"/>
      <c r="E49" s="63"/>
      <c r="F49" s="127"/>
      <c r="G49" s="50"/>
      <c r="H49" s="10"/>
      <c r="I49" s="10"/>
      <c r="J49" s="10"/>
      <c r="K49" s="10"/>
      <c r="L49" s="10"/>
      <c r="M49" s="39"/>
      <c r="N49" s="33">
        <f t="shared" si="0"/>
        <v>0</v>
      </c>
      <c r="O49" s="52" t="b">
        <f>IF(AND(E49="CLIENT S+L",F49="HUILE"),(S49*3333.33+(VLOOKUP(H49,'BASE '!$I$112:$J$142,2,0)))-((S49*3333.33)*G49),IF(AND(E49="CLIENT S+L",F49="LAIT"),((S49*952.4)-(S49*952.4)*G49),IF(E49="CLIENT O","OFFERT",IF(AND(F49="HUILE",E49="CLIENT L"),(((VLOOKUP(H49,'BASE '!$I$112:$J$142,2,0))+(VLOOKUP(S49,'BASE '!#REF!,2,0)))),IF(AND(F49="LAIT",E49="CLIENT L"),(S49*952.4),IF(AND(F49="HUILE",E49="CLIENT D"),(S49*3809.53+(VLOOKUP(H49,'BASE '!$I$112:$J$142,2,0))),IF(AND(F49="LAIT",E49="CLIENT D"),(S49*952.4),IF(AND(F49="HUILE",E49="CLIENT S+D"),((S49*3809.53+(VLOOKUP(H49,'BASE '!$I$112:$J$142,2,0)))-((S49*3809.53)*G49)),IF(AND(F49="LAIT",E49="CLIENT S+D"),((S49*952.4)-((S49*952.4)*G49)),IF(AND(E49="CLIENT S",F49="LAIT"),((S49*952.4)-((S49*952.4)*G49)),IF(AND(F49="HUILE",E49="CLIENT S"),(VLOOKUP(H49,'BASE '!$I$112:$J$142,2,0)+(VLOOKUP(S49,'BASE '!#REF!,2,0)))-(G49*((VLOOKUP(S49,'BASE '!#REF!,2,0)+(VLOOKUP(H49,'BASE '!$I$112:$J$142,2,0))))))))))))))))</f>
        <v>0</v>
      </c>
      <c r="P49" s="52" t="b">
        <f t="shared" si="1"/>
        <v>0</v>
      </c>
      <c r="Q49" s="53" t="b">
        <f t="shared" si="2"/>
        <v>0</v>
      </c>
      <c r="R49" s="152" t="s">
        <v>175</v>
      </c>
      <c r="S49" s="184">
        <f t="shared" si="6"/>
        <v>0</v>
      </c>
      <c r="T49" s="124"/>
      <c r="U49" s="41" t="s">
        <v>175</v>
      </c>
      <c r="V49" s="70" t="e">
        <f>VLOOKUP(U49,'BASE '!$A$4:$H$144,2,0)</f>
        <v>#N/A</v>
      </c>
      <c r="W49" s="159"/>
      <c r="X49" s="159"/>
      <c r="Y49" s="160"/>
      <c r="Z49" s="158" t="e">
        <f>VLOOKUP(U49,'BASE '!$A$4:$H$144,3,0)</f>
        <v>#N/A</v>
      </c>
      <c r="AA49" s="94" t="e">
        <f t="shared" si="3"/>
        <v>#N/A</v>
      </c>
      <c r="AB49" s="95" t="e">
        <f>VLOOKUP(U49,'BASE '!$A$4:$H$144,6,0)*Y49/100</f>
        <v>#N/A</v>
      </c>
      <c r="AC49" s="95" t="e">
        <f>VLOOKUP(U49,'BASE '!$A$4:$H$144,7,0)*Y49/100</f>
        <v>#N/A</v>
      </c>
      <c r="AD49" s="95" t="e">
        <f>VLOOKUP(U49,'BASE '!$A$4:$H$144,8,0)*Y49/100</f>
        <v>#N/A</v>
      </c>
      <c r="AE49" s="96" t="e">
        <f t="shared" si="7"/>
        <v>#N/A</v>
      </c>
      <c r="AF49" s="431"/>
      <c r="AG49" s="91" t="s">
        <v>157</v>
      </c>
      <c r="AH49" s="36" t="e">
        <f>SUMIFS($H$6:$H$165,$D$6:$D$165,AF49,CHOIX,AG49)</f>
        <v>#NAME?</v>
      </c>
      <c r="AI49" s="36" t="e">
        <f>SUMIFS($I$6:$I$165,$D$6:$D$165,AF49,CHOIX,AG49)</f>
        <v>#NAME?</v>
      </c>
      <c r="AJ49" s="36" t="e">
        <f>SUMIFS($J$6:$J$165,$D$6:$D$165,AF49,CHOIX,AG49)</f>
        <v>#NAME?</v>
      </c>
      <c r="AK49" s="36" t="e">
        <f>SUMIFS($K$6:$K$165,$D$6:$D$165,AF49,CHOIX,AG49)</f>
        <v>#NAME?</v>
      </c>
      <c r="AL49" s="36" t="e">
        <f>SUMIFS($L$6:$L$165,$D$6:$D$165,AF49,CHOIX,AG49)</f>
        <v>#NAME?</v>
      </c>
      <c r="AM49" s="36" t="e">
        <f>SUMIFS($M$6:$M$165,$D$6:$D$165,AF49,CHOIX,AG49)</f>
        <v>#NAME?</v>
      </c>
      <c r="AN49" s="91" t="s">
        <v>157</v>
      </c>
      <c r="AO49" s="83"/>
      <c r="AP49" s="63"/>
      <c r="AQ49" s="63"/>
      <c r="AR49" s="63"/>
      <c r="AS49" s="79"/>
      <c r="AT49" s="79"/>
      <c r="AU49" s="55" t="e">
        <f>SUMIFS($O$6:$O$165,$D$6:$D$165,AF49,CHOIX,AG49)</f>
        <v>#NAME?</v>
      </c>
      <c r="AV49" s="80" t="e">
        <f>SUMIFS($Q$6:$Q$165,$D$6:$D$165,AF49,CHOIX,AG49)</f>
        <v>#NAME?</v>
      </c>
      <c r="AZ49" s="201"/>
      <c r="BA49" s="63"/>
      <c r="BB49" s="63"/>
      <c r="BC49" s="63"/>
      <c r="BD49" s="63"/>
      <c r="BE49" s="63"/>
      <c r="BF49" s="63"/>
      <c r="BG49" s="63"/>
      <c r="BH49" s="63"/>
      <c r="BI49" s="63"/>
      <c r="BJ49" s="63"/>
      <c r="BK49" s="63"/>
      <c r="BL49" s="63"/>
      <c r="BM49" s="147">
        <f t="shared" si="8"/>
        <v>0</v>
      </c>
      <c r="BN49" s="147">
        <f t="shared" si="9"/>
        <v>0</v>
      </c>
      <c r="BO49" s="149"/>
      <c r="DN49" s="116" t="e">
        <f>(($I$5*#REF!)/100)+((#REF!*$J$5)/100)+(($K$5*#REF!)/100)+($L$5*#REF!)+($M$5*#REF!)</f>
        <v>#REF!</v>
      </c>
    </row>
    <row r="50" spans="2:118" x14ac:dyDescent="0.3">
      <c r="B50" s="64"/>
      <c r="C50" s="148"/>
      <c r="D50" s="109"/>
      <c r="E50" s="63"/>
      <c r="F50" s="127"/>
      <c r="G50" s="50"/>
      <c r="H50" s="10"/>
      <c r="I50" s="10"/>
      <c r="J50" s="10"/>
      <c r="K50" s="10"/>
      <c r="L50" s="10"/>
      <c r="M50" s="39"/>
      <c r="N50" s="33">
        <f t="shared" si="0"/>
        <v>0</v>
      </c>
      <c r="O50" s="52" t="b">
        <f>IF(AND(E50="CLIENT S+L",F50="HUILE"),(S50*3333.33+(VLOOKUP(H50,'BASE '!$I$112:$J$142,2,0)))-((S50*3333.33)*G50),IF(AND(E50="CLIENT S+L",F50="LAIT"),((S50*952.4)-(S50*952.4)*G50),IF(E50="CLIENT O","OFFERT",IF(AND(F50="HUILE",E50="CLIENT L"),(((VLOOKUP(H50,'BASE '!$I$112:$J$142,2,0))+(VLOOKUP(S50,'BASE '!#REF!,2,0)))),IF(AND(F50="LAIT",E50="CLIENT L"),(S50*952.4),IF(AND(F50="HUILE",E50="CLIENT D"),(S50*3809.53+(VLOOKUP(H50,'BASE '!$I$112:$J$142,2,0))),IF(AND(F50="LAIT",E50="CLIENT D"),(S50*952.4),IF(AND(F50="HUILE",E50="CLIENT S+D"),((S50*3809.53+(VLOOKUP(H50,'BASE '!$I$112:$J$142,2,0)))-((S50*3809.53)*G50)),IF(AND(F50="LAIT",E50="CLIENT S+D"),((S50*952.4)-((S50*952.4)*G50)),IF(AND(E50="CLIENT S",F50="LAIT"),((S50*952.4)-((S50*952.4)*G50)),IF(AND(F50="HUILE",E50="CLIENT S"),(VLOOKUP(H50,'BASE '!$I$112:$J$142,2,0)+(VLOOKUP(S50,'BASE '!#REF!,2,0)))-(G50*((VLOOKUP(S50,'BASE '!#REF!,2,0)+(VLOOKUP(H50,'BASE '!$I$112:$J$142,2,0))))))))))))))))</f>
        <v>0</v>
      </c>
      <c r="P50" s="52" t="b">
        <f t="shared" si="1"/>
        <v>0</v>
      </c>
      <c r="Q50" s="53" t="b">
        <f t="shared" si="2"/>
        <v>0</v>
      </c>
      <c r="R50" s="152" t="s">
        <v>175</v>
      </c>
      <c r="S50" s="184">
        <f t="shared" si="6"/>
        <v>0</v>
      </c>
      <c r="T50" s="124"/>
      <c r="U50" s="41" t="s">
        <v>175</v>
      </c>
      <c r="V50" s="70" t="e">
        <f>VLOOKUP(U50,'BASE '!$A$4:$H$144,2,0)</f>
        <v>#N/A</v>
      </c>
      <c r="W50" s="159"/>
      <c r="X50" s="159"/>
      <c r="Y50" s="160"/>
      <c r="Z50" s="158" t="e">
        <f>VLOOKUP(U50,'BASE '!$A$4:$H$144,3,0)</f>
        <v>#N/A</v>
      </c>
      <c r="AA50" s="94" t="e">
        <f t="shared" si="3"/>
        <v>#N/A</v>
      </c>
      <c r="AB50" s="95" t="e">
        <f>VLOOKUP(U50,'BASE '!$A$4:$H$144,6,0)*Y50/100</f>
        <v>#N/A</v>
      </c>
      <c r="AC50" s="95" t="e">
        <f>VLOOKUP(U50,'BASE '!$A$4:$H$144,7,0)*Y50/100</f>
        <v>#N/A</v>
      </c>
      <c r="AD50" s="95" t="e">
        <f>VLOOKUP(U50,'BASE '!$A$4:$H$144,8,0)*Y50/100</f>
        <v>#N/A</v>
      </c>
      <c r="AE50" s="96" t="e">
        <f t="shared" si="7"/>
        <v>#N/A</v>
      </c>
      <c r="AF50" s="431"/>
      <c r="AG50" s="1" t="s">
        <v>155</v>
      </c>
      <c r="AH50" s="36" t="e">
        <f>SUMIFS($H$6:$H$165,$D$6:$D$165,AF49,CHOIX,AG50)</f>
        <v>#NAME?</v>
      </c>
      <c r="AI50" s="36" t="e">
        <f>SUMIFS($I$6:$I$165,$D$6:$D$165,AF49,CHOIX,AG50)</f>
        <v>#NAME?</v>
      </c>
      <c r="AJ50" s="36" t="e">
        <f>SUMIFS($J$6:$J$165,$D$6:$D$165,AF49,CHOIX,AG50)</f>
        <v>#NAME?</v>
      </c>
      <c r="AK50" s="36" t="e">
        <f>SUMIFS($K$6:$K$165,$D$6:$D$165,AF49,CHOIX,AG50)</f>
        <v>#NAME?</v>
      </c>
      <c r="AL50" s="36" t="e">
        <f>SUMIFS($L$6:$L$165,$D$6:$D$165,AF49,CHOIX,AG50)</f>
        <v>#NAME?</v>
      </c>
      <c r="AM50" s="36" t="e">
        <f>SUMIFS($M$6:$M$165,$D$6:$D$165,AF49,CHOIX,AG50)</f>
        <v>#NAME?</v>
      </c>
      <c r="AN50" s="1" t="s">
        <v>155</v>
      </c>
      <c r="AO50" s="83"/>
      <c r="AP50" s="63"/>
      <c r="AQ50" s="63"/>
      <c r="AR50" s="63"/>
      <c r="AS50" s="79"/>
      <c r="AT50" s="79"/>
      <c r="AU50" s="55" t="e">
        <f>SUMIFS($O$6:$O$165,$D$6:$D$165,AF49,CHOIX,AG50)</f>
        <v>#NAME?</v>
      </c>
      <c r="AV50" s="80" t="e">
        <f>SUMIFS($Q$6:$Q$165,$D$6:$D$165,AF49,CHOIX,AG50)</f>
        <v>#NAME?</v>
      </c>
      <c r="AZ50" s="201"/>
      <c r="BA50" s="63"/>
      <c r="BB50" s="63"/>
      <c r="BC50" s="63"/>
      <c r="BD50" s="63"/>
      <c r="BE50" s="63"/>
      <c r="BF50" s="63"/>
      <c r="BG50" s="63"/>
      <c r="BH50" s="63"/>
      <c r="BI50" s="63"/>
      <c r="BJ50" s="63"/>
      <c r="BK50" s="63"/>
      <c r="BL50" s="63"/>
      <c r="BM50" s="147">
        <f t="shared" si="8"/>
        <v>0</v>
      </c>
      <c r="BN50" s="147">
        <f t="shared" si="9"/>
        <v>0</v>
      </c>
      <c r="BO50" s="149"/>
      <c r="DN50" s="116" t="e">
        <f>(($I$5*#REF!)/100)+((#REF!*$J$5)/100)+(($K$5*#REF!)/100)+($L$5*#REF!)+($M$5*#REF!)</f>
        <v>#REF!</v>
      </c>
    </row>
    <row r="51" spans="2:118" x14ac:dyDescent="0.3">
      <c r="B51" s="64"/>
      <c r="C51" s="148"/>
      <c r="D51" s="109"/>
      <c r="E51" s="63"/>
      <c r="F51" s="127"/>
      <c r="G51" s="50"/>
      <c r="H51" s="10"/>
      <c r="I51" s="10"/>
      <c r="J51" s="10"/>
      <c r="K51" s="10"/>
      <c r="L51" s="10"/>
      <c r="M51" s="39"/>
      <c r="N51" s="33">
        <f t="shared" si="0"/>
        <v>0</v>
      </c>
      <c r="O51" s="52" t="b">
        <f>IF(AND(E51="CLIENT S+L",F51="HUILE"),(S51*3333.33+(VLOOKUP(H51,'BASE '!$I$112:$J$142,2,0)))-((S51*3333.33)*G51),IF(AND(E51="CLIENT S+L",F51="LAIT"),((S51*952.4)-(S51*952.4)*G51),IF(E51="CLIENT O","OFFERT",IF(AND(F51="HUILE",E51="CLIENT L"),(((VLOOKUP(H51,'BASE '!$I$112:$J$142,2,0))+(VLOOKUP(S51,'BASE '!#REF!,2,0)))),IF(AND(F51="LAIT",E51="CLIENT L"),(S51*952.4),IF(AND(F51="HUILE",E51="CLIENT D"),(S51*3809.53+(VLOOKUP(H51,'BASE '!$I$112:$J$142,2,0))),IF(AND(F51="LAIT",E51="CLIENT D"),(S51*952.4),IF(AND(F51="HUILE",E51="CLIENT S+D"),((S51*3809.53+(VLOOKUP(H51,'BASE '!$I$112:$J$142,2,0)))-((S51*3809.53)*G51)),IF(AND(F51="LAIT",E51="CLIENT S+D"),((S51*952.4)-((S51*952.4)*G51)),IF(AND(E51="CLIENT S",F51="LAIT"),((S51*952.4)-((S51*952.4)*G51)),IF(AND(F51="HUILE",E51="CLIENT S"),(VLOOKUP(H51,'BASE '!$I$112:$J$142,2,0)+(VLOOKUP(S51,'BASE '!#REF!,2,0)))-(G51*((VLOOKUP(S51,'BASE '!#REF!,2,0)+(VLOOKUP(H51,'BASE '!$I$112:$J$142,2,0))))))))))))))))</f>
        <v>0</v>
      </c>
      <c r="P51" s="52" t="b">
        <f t="shared" si="1"/>
        <v>0</v>
      </c>
      <c r="Q51" s="53" t="b">
        <f t="shared" si="2"/>
        <v>0</v>
      </c>
      <c r="R51" s="152" t="s">
        <v>175</v>
      </c>
      <c r="S51" s="184">
        <f t="shared" si="6"/>
        <v>0</v>
      </c>
      <c r="T51" s="124"/>
      <c r="U51" s="41" t="s">
        <v>175</v>
      </c>
      <c r="V51" s="70" t="e">
        <f>VLOOKUP(U51,'BASE '!$A$4:$H$144,2,0)</f>
        <v>#N/A</v>
      </c>
      <c r="W51" s="159"/>
      <c r="X51" s="159"/>
      <c r="Y51" s="160"/>
      <c r="Z51" s="158" t="e">
        <f>VLOOKUP(U51,'BASE '!$A$4:$H$144,3,0)</f>
        <v>#N/A</v>
      </c>
      <c r="AA51" s="94" t="e">
        <f t="shared" si="3"/>
        <v>#N/A</v>
      </c>
      <c r="AB51" s="95" t="e">
        <f>VLOOKUP(U51,'BASE '!$A$4:$H$144,6,0)*Y51/100</f>
        <v>#N/A</v>
      </c>
      <c r="AC51" s="95" t="e">
        <f>VLOOKUP(U51,'BASE '!$A$4:$H$144,7,0)*Y51/100</f>
        <v>#N/A</v>
      </c>
      <c r="AD51" s="95" t="e">
        <f>VLOOKUP(U51,'BASE '!$A$4:$H$144,8,0)*Y51/100</f>
        <v>#N/A</v>
      </c>
      <c r="AE51" s="96" t="e">
        <f t="shared" si="7"/>
        <v>#N/A</v>
      </c>
      <c r="AF51" s="431"/>
      <c r="AG51" s="91" t="s">
        <v>157</v>
      </c>
      <c r="AH51" s="36" t="e">
        <f>SUMIFS($H$6:$H$165,$D$6:$D$165,AF51,CHOIX,AG51)</f>
        <v>#NAME?</v>
      </c>
      <c r="AI51" s="36" t="e">
        <f>SUMIFS($I$6:$I$165,$D$6:$D$165,AF51,CHOIX,AG51)</f>
        <v>#NAME?</v>
      </c>
      <c r="AJ51" s="36" t="e">
        <f>SUMIFS($J$6:$J$165,$D$6:$D$165,AF51,CHOIX,AG51)</f>
        <v>#NAME?</v>
      </c>
      <c r="AK51" s="36" t="e">
        <f>SUMIFS($K$6:$K$165,$D$6:$D$165,AF51,CHOIX,AG51)</f>
        <v>#NAME?</v>
      </c>
      <c r="AL51" s="36" t="e">
        <f>SUMIFS($L$6:$L$165,$D$6:$D$165,AF51,CHOIX,AG51)</f>
        <v>#NAME?</v>
      </c>
      <c r="AM51" s="36" t="e">
        <f>SUMIFS($M$6:$M$165,$D$6:$D$165,AF51,CHOIX,AG51)</f>
        <v>#NAME?</v>
      </c>
      <c r="AN51" s="91" t="s">
        <v>157</v>
      </c>
      <c r="AO51" s="83"/>
      <c r="AP51" s="63"/>
      <c r="AQ51" s="63"/>
      <c r="AR51" s="63"/>
      <c r="AS51" s="79"/>
      <c r="AT51" s="79"/>
      <c r="AU51" s="55" t="e">
        <f>SUMIFS($O$6:$O$165,$D$6:$D$165,AF51,CHOIX,AG51)</f>
        <v>#NAME?</v>
      </c>
      <c r="AV51" s="80" t="e">
        <f>SUMIFS($Q$6:$Q$165,$D$6:$D$165,AF51,CHOIX,AG51)</f>
        <v>#NAME?</v>
      </c>
      <c r="AZ51" s="201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147">
        <f t="shared" si="8"/>
        <v>0</v>
      </c>
      <c r="BN51" s="147">
        <f t="shared" si="9"/>
        <v>0</v>
      </c>
      <c r="BO51" s="149"/>
      <c r="DN51" s="116" t="e">
        <f>(($I$5*#REF!)/100)+((#REF!*$J$5)/100)+(($K$5*#REF!)/100)+($L$5*#REF!)+($M$5*#REF!)</f>
        <v>#REF!</v>
      </c>
    </row>
    <row r="52" spans="2:118" x14ac:dyDescent="0.3">
      <c r="B52" s="64"/>
      <c r="C52" s="148"/>
      <c r="D52" s="109"/>
      <c r="E52" s="63"/>
      <c r="F52" s="127"/>
      <c r="G52" s="50"/>
      <c r="H52" s="10"/>
      <c r="I52" s="10"/>
      <c r="J52" s="10"/>
      <c r="K52" s="10"/>
      <c r="L52" s="10"/>
      <c r="M52" s="39"/>
      <c r="N52" s="33">
        <f t="shared" si="0"/>
        <v>0</v>
      </c>
      <c r="O52" s="52" t="b">
        <f>IF(AND(E52="CLIENT S+L",F52="HUILE"),(S52*3333.33+(VLOOKUP(H52,'BASE '!$I$112:$J$142,2,0)))-((S52*3333.33)*G52),IF(AND(E52="CLIENT S+L",F52="LAIT"),((S52*952.4)-(S52*952.4)*G52),IF(E52="CLIENT O","OFFERT",IF(AND(F52="HUILE",E52="CLIENT L"),(((VLOOKUP(H52,'BASE '!$I$112:$J$142,2,0))+(VLOOKUP(S52,'BASE '!#REF!,2,0)))),IF(AND(F52="LAIT",E52="CLIENT L"),(S52*952.4),IF(AND(F52="HUILE",E52="CLIENT D"),(S52*3809.53+(VLOOKUP(H52,'BASE '!$I$112:$J$142,2,0))),IF(AND(F52="LAIT",E52="CLIENT D"),(S52*952.4),IF(AND(F52="HUILE",E52="CLIENT S+D"),((S52*3809.53+(VLOOKUP(H52,'BASE '!$I$112:$J$142,2,0)))-((S52*3809.53)*G52)),IF(AND(F52="LAIT",E52="CLIENT S+D"),((S52*952.4)-((S52*952.4)*G52)),IF(AND(E52="CLIENT S",F52="LAIT"),((S52*952.4)-((S52*952.4)*G52)),IF(AND(F52="HUILE",E52="CLIENT S"),(VLOOKUP(H52,'BASE '!$I$112:$J$142,2,0)+(VLOOKUP(S52,'BASE '!#REF!,2,0)))-(G52*((VLOOKUP(S52,'BASE '!#REF!,2,0)+(VLOOKUP(H52,'BASE '!$I$112:$J$142,2,0))))))))))))))))</f>
        <v>0</v>
      </c>
      <c r="P52" s="52" t="b">
        <f t="shared" si="1"/>
        <v>0</v>
      </c>
      <c r="Q52" s="53" t="b">
        <f t="shared" si="2"/>
        <v>0</v>
      </c>
      <c r="R52" s="152" t="s">
        <v>175</v>
      </c>
      <c r="S52" s="184">
        <f t="shared" si="6"/>
        <v>0</v>
      </c>
      <c r="T52" s="124"/>
      <c r="U52" s="41" t="s">
        <v>175</v>
      </c>
      <c r="V52" s="70" t="e">
        <f>VLOOKUP(U52,'BASE '!$A$4:$H$144,2,0)</f>
        <v>#N/A</v>
      </c>
      <c r="W52" s="159"/>
      <c r="X52" s="159"/>
      <c r="Y52" s="160"/>
      <c r="Z52" s="158" t="e">
        <f>VLOOKUP(U52,'BASE '!$A$4:$H$144,3,0)</f>
        <v>#N/A</v>
      </c>
      <c r="AA52" s="94" t="e">
        <f t="shared" si="3"/>
        <v>#N/A</v>
      </c>
      <c r="AB52" s="95" t="e">
        <f>VLOOKUP(U52,'BASE '!$A$4:$H$144,6,0)*Y52/100</f>
        <v>#N/A</v>
      </c>
      <c r="AC52" s="95" t="e">
        <f>VLOOKUP(U52,'BASE '!$A$4:$H$144,7,0)*Y52/100</f>
        <v>#N/A</v>
      </c>
      <c r="AD52" s="95" t="e">
        <f>VLOOKUP(U52,'BASE '!$A$4:$H$144,8,0)*Y52/100</f>
        <v>#N/A</v>
      </c>
      <c r="AE52" s="96" t="e">
        <f t="shared" si="7"/>
        <v>#N/A</v>
      </c>
      <c r="AF52" s="431"/>
      <c r="AG52" s="1" t="s">
        <v>155</v>
      </c>
      <c r="AH52" s="36" t="e">
        <f>SUMIFS($H$6:$H$165,$D$6:$D$165,AF51,CHOIX,AG52)</f>
        <v>#NAME?</v>
      </c>
      <c r="AI52" s="36" t="e">
        <f>SUMIFS($I$6:$I$165,$D$6:$D$165,AF51,CHOIX,AG52)</f>
        <v>#NAME?</v>
      </c>
      <c r="AJ52" s="36" t="e">
        <f>SUMIFS($J$6:$J$165,$D$6:$D$165,AF51,CHOIX,AG52)</f>
        <v>#NAME?</v>
      </c>
      <c r="AK52" s="36" t="e">
        <f>SUMIFS($K$6:$K$165,$D$6:$D$165,AF51,CHOIX,AG52)</f>
        <v>#NAME?</v>
      </c>
      <c r="AL52" s="36" t="e">
        <f>SUMIFS($L$6:$L$165,$D$6:$D$165,AF51,CHOIX,AG52)</f>
        <v>#NAME?</v>
      </c>
      <c r="AM52" s="36" t="e">
        <f>SUMIFS($M$6:$M$165,$D$6:$D$165,AF51,CHOIX,AG52)</f>
        <v>#NAME?</v>
      </c>
      <c r="AN52" s="1" t="s">
        <v>155</v>
      </c>
      <c r="AO52" s="83"/>
      <c r="AP52" s="63"/>
      <c r="AQ52" s="63"/>
      <c r="AR52" s="63"/>
      <c r="AS52" s="79"/>
      <c r="AT52" s="79"/>
      <c r="AU52" s="55" t="e">
        <f>SUMIFS($O$6:$O$165,$D$6:$D$165,AF51,CHOIX,AG52)</f>
        <v>#NAME?</v>
      </c>
      <c r="AV52" s="80" t="e">
        <f>SUMIFS($Q$6:$Q$165,$D$6:$D$165,AF51,CHOIX,AG52)</f>
        <v>#NAME?</v>
      </c>
      <c r="AZ52" s="201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147">
        <f t="shared" si="8"/>
        <v>0</v>
      </c>
      <c r="BN52" s="147">
        <f t="shared" si="9"/>
        <v>0</v>
      </c>
      <c r="BO52" s="149"/>
      <c r="DN52" s="116" t="e">
        <f>(($I$5*#REF!)/100)+((#REF!*$J$5)/100)+(($K$5*#REF!)/100)+($L$5*#REF!)+($M$5*#REF!)</f>
        <v>#REF!</v>
      </c>
    </row>
    <row r="53" spans="2:118" x14ac:dyDescent="0.3">
      <c r="B53" s="64"/>
      <c r="C53" s="148"/>
      <c r="D53" s="109"/>
      <c r="E53" s="63"/>
      <c r="F53" s="127"/>
      <c r="G53" s="50"/>
      <c r="H53" s="10"/>
      <c r="I53" s="10"/>
      <c r="J53" s="10"/>
      <c r="K53" s="10"/>
      <c r="L53" s="10"/>
      <c r="M53" s="39"/>
      <c r="N53" s="33">
        <f t="shared" si="0"/>
        <v>0</v>
      </c>
      <c r="O53" s="52" t="b">
        <f>IF(AND(E53="CLIENT S+L",F53="HUILE"),(S53*3333.33+(VLOOKUP(H53,'BASE '!$I$112:$J$142,2,0)))-((S53*3333.33)*G53),IF(AND(E53="CLIENT S+L",F53="LAIT"),((S53*952.4)-(S53*952.4)*G53),IF(E53="CLIENT O","OFFERT",IF(AND(F53="HUILE",E53="CLIENT L"),(((VLOOKUP(H53,'BASE '!$I$112:$J$142,2,0))+(VLOOKUP(S53,'BASE '!#REF!,2,0)))),IF(AND(F53="LAIT",E53="CLIENT L"),(S53*952.4),IF(AND(F53="HUILE",E53="CLIENT D"),(S53*3809.53+(VLOOKUP(H53,'BASE '!$I$112:$J$142,2,0))),IF(AND(F53="LAIT",E53="CLIENT D"),(S53*952.4),IF(AND(F53="HUILE",E53="CLIENT S+D"),((S53*3809.53+(VLOOKUP(H53,'BASE '!$I$112:$J$142,2,0)))-((S53*3809.53)*G53)),IF(AND(F53="LAIT",E53="CLIENT S+D"),((S53*952.4)-((S53*952.4)*G53)),IF(AND(E53="CLIENT S",F53="LAIT"),((S53*952.4)-((S53*952.4)*G53)),IF(AND(F53="HUILE",E53="CLIENT S"),(VLOOKUP(H53,'BASE '!$I$112:$J$142,2,0)+(VLOOKUP(S53,'BASE '!#REF!,2,0)))-(G53*((VLOOKUP(S53,'BASE '!#REF!,2,0)+(VLOOKUP(H53,'BASE '!$I$112:$J$142,2,0))))))))))))))))</f>
        <v>0</v>
      </c>
      <c r="P53" s="52" t="b">
        <f t="shared" si="1"/>
        <v>0</v>
      </c>
      <c r="Q53" s="53" t="b">
        <f t="shared" si="2"/>
        <v>0</v>
      </c>
      <c r="R53" s="152" t="s">
        <v>175</v>
      </c>
      <c r="S53" s="184">
        <f t="shared" si="6"/>
        <v>0</v>
      </c>
      <c r="T53" s="124"/>
      <c r="U53" s="41" t="s">
        <v>175</v>
      </c>
      <c r="V53" s="70" t="e">
        <f>VLOOKUP(U53,'BASE '!$A$4:$H$144,2,0)</f>
        <v>#N/A</v>
      </c>
      <c r="W53" s="159"/>
      <c r="X53" s="159"/>
      <c r="Y53" s="160"/>
      <c r="Z53" s="158" t="e">
        <f>VLOOKUP(U53,'BASE '!$A$4:$H$144,3,0)</f>
        <v>#N/A</v>
      </c>
      <c r="AA53" s="94" t="e">
        <f t="shared" si="3"/>
        <v>#N/A</v>
      </c>
      <c r="AB53" s="95" t="e">
        <f>VLOOKUP(U53,'BASE '!$A$4:$H$144,6,0)*Y53/100</f>
        <v>#N/A</v>
      </c>
      <c r="AC53" s="95" t="e">
        <f>VLOOKUP(U53,'BASE '!$A$4:$H$144,7,0)*Y53/100</f>
        <v>#N/A</v>
      </c>
      <c r="AD53" s="95" t="e">
        <f>VLOOKUP(U53,'BASE '!$A$4:$H$144,8,0)*Y53/100</f>
        <v>#N/A</v>
      </c>
      <c r="AE53" s="96" t="e">
        <f t="shared" si="7"/>
        <v>#N/A</v>
      </c>
      <c r="AF53" s="431"/>
      <c r="AG53" s="91" t="s">
        <v>157</v>
      </c>
      <c r="AH53" s="36" t="e">
        <f>SUMIFS($H$6:$H$165,$D$6:$D$165,AF53,CHOIX,AG53)</f>
        <v>#NAME?</v>
      </c>
      <c r="AI53" s="36" t="e">
        <f>SUMIFS($I$6:$I$165,$D$6:$D$165,AF53,CHOIX,AG53)</f>
        <v>#NAME?</v>
      </c>
      <c r="AJ53" s="36" t="e">
        <f>SUMIFS($J$6:$J$165,$D$6:$D$165,AF53,CHOIX,AG53)</f>
        <v>#NAME?</v>
      </c>
      <c r="AK53" s="36" t="e">
        <f>SUMIFS($K$6:$K$165,$D$6:$D$165,AF53,CHOIX,AG53)</f>
        <v>#NAME?</v>
      </c>
      <c r="AL53" s="36" t="e">
        <f>SUMIFS($L$6:$L$165,$D$6:$D$165,AF53,CHOIX,AG53)</f>
        <v>#NAME?</v>
      </c>
      <c r="AM53" s="36" t="e">
        <f>SUMIFS($M$6:$M$165,$D$6:$D$165,AF53,CHOIX,AG53)</f>
        <v>#NAME?</v>
      </c>
      <c r="AN53" s="91" t="s">
        <v>157</v>
      </c>
      <c r="AO53" s="83"/>
      <c r="AP53" s="63"/>
      <c r="AQ53" s="63"/>
      <c r="AR53" s="63"/>
      <c r="AS53" s="79"/>
      <c r="AT53" s="79"/>
      <c r="AU53" s="55" t="e">
        <f>SUMIFS($O$6:$O$165,$D$6:$D$165,AF53,CHOIX,AG53)</f>
        <v>#NAME?</v>
      </c>
      <c r="AV53" s="80" t="e">
        <f>SUMIFS($Q$6:$Q$165,$D$6:$D$165,AF53,CHOIX,AG53)</f>
        <v>#NAME?</v>
      </c>
      <c r="AZ53" s="201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147">
        <f t="shared" si="8"/>
        <v>0</v>
      </c>
      <c r="BN53" s="147">
        <f t="shared" si="9"/>
        <v>0</v>
      </c>
      <c r="BO53" s="149"/>
      <c r="DN53" s="116" t="e">
        <f>(($I$5*#REF!)/100)+((#REF!*$J$5)/100)+(($K$5*#REF!)/100)+($L$5*#REF!)+($M$5*#REF!)</f>
        <v>#REF!</v>
      </c>
    </row>
    <row r="54" spans="2:118" x14ac:dyDescent="0.3">
      <c r="B54" s="64"/>
      <c r="C54" s="148"/>
      <c r="D54" s="109"/>
      <c r="E54" s="63"/>
      <c r="F54" s="127"/>
      <c r="G54" s="50"/>
      <c r="H54" s="10"/>
      <c r="I54" s="10"/>
      <c r="J54" s="10"/>
      <c r="K54" s="10"/>
      <c r="L54" s="10"/>
      <c r="M54" s="39"/>
      <c r="N54" s="33">
        <f t="shared" si="0"/>
        <v>0</v>
      </c>
      <c r="O54" s="52" t="b">
        <f>IF(AND(E54="CLIENT S+L",F54="HUILE"),(S54*3333.33+(VLOOKUP(H54,'BASE '!$I$112:$J$142,2,0)))-((S54*3333.33)*G54),IF(AND(E54="CLIENT S+L",F54="LAIT"),((S54*952.4)-(S54*952.4)*G54),IF(E54="CLIENT O","OFFERT",IF(AND(F54="HUILE",E54="CLIENT L"),(((VLOOKUP(H54,'BASE '!$I$112:$J$142,2,0))+(VLOOKUP(S54,'BASE '!#REF!,2,0)))),IF(AND(F54="LAIT",E54="CLIENT L"),(S54*952.4),IF(AND(F54="HUILE",E54="CLIENT D"),(S54*3809.53+(VLOOKUP(H54,'BASE '!$I$112:$J$142,2,0))),IF(AND(F54="LAIT",E54="CLIENT D"),(S54*952.4),IF(AND(F54="HUILE",E54="CLIENT S+D"),((S54*3809.53+(VLOOKUP(H54,'BASE '!$I$112:$J$142,2,0)))-((S54*3809.53)*G54)),IF(AND(F54="LAIT",E54="CLIENT S+D"),((S54*952.4)-((S54*952.4)*G54)),IF(AND(E54="CLIENT S",F54="LAIT"),((S54*952.4)-((S54*952.4)*G54)),IF(AND(F54="HUILE",E54="CLIENT S"),(VLOOKUP(H54,'BASE '!$I$112:$J$142,2,0)+(VLOOKUP(S54,'BASE '!#REF!,2,0)))-(G54*((VLOOKUP(S54,'BASE '!#REF!,2,0)+(VLOOKUP(H54,'BASE '!$I$112:$J$142,2,0))))))))))))))))</f>
        <v>0</v>
      </c>
      <c r="P54" s="52" t="b">
        <f t="shared" si="1"/>
        <v>0</v>
      </c>
      <c r="Q54" s="53" t="b">
        <f t="shared" si="2"/>
        <v>0</v>
      </c>
      <c r="R54" s="152" t="s">
        <v>175</v>
      </c>
      <c r="S54" s="184">
        <f t="shared" si="6"/>
        <v>0</v>
      </c>
      <c r="T54" s="124"/>
      <c r="U54" s="41" t="s">
        <v>175</v>
      </c>
      <c r="V54" s="70" t="e">
        <f>VLOOKUP(U54,'BASE '!$A$4:$H$144,2,0)</f>
        <v>#N/A</v>
      </c>
      <c r="W54" s="159"/>
      <c r="X54" s="159"/>
      <c r="Y54" s="160"/>
      <c r="Z54" s="158" t="e">
        <f>VLOOKUP(U54,'BASE '!$A$4:$H$144,3,0)</f>
        <v>#N/A</v>
      </c>
      <c r="AA54" s="94" t="e">
        <f t="shared" si="3"/>
        <v>#N/A</v>
      </c>
      <c r="AB54" s="95" t="e">
        <f>VLOOKUP(U54,'BASE '!$A$4:$H$144,6,0)*Y54/100</f>
        <v>#N/A</v>
      </c>
      <c r="AC54" s="95" t="e">
        <f>VLOOKUP(U54,'BASE '!$A$4:$H$144,7,0)*Y54/100</f>
        <v>#N/A</v>
      </c>
      <c r="AD54" s="95" t="e">
        <f>VLOOKUP(U54,'BASE '!$A$4:$H$144,8,0)*Y54/100</f>
        <v>#N/A</v>
      </c>
      <c r="AE54" s="96" t="e">
        <f t="shared" si="7"/>
        <v>#N/A</v>
      </c>
      <c r="AF54" s="431"/>
      <c r="AG54" s="1" t="s">
        <v>155</v>
      </c>
      <c r="AH54" s="36" t="e">
        <f>SUMIFS($H$6:$H$165,$D$6:$D$165,AF53,CHOIX,AG54)</f>
        <v>#NAME?</v>
      </c>
      <c r="AI54" s="36" t="e">
        <f>SUMIFS($I$6:$I$165,$D$6:$D$165,AF53,CHOIX,AG54)</f>
        <v>#NAME?</v>
      </c>
      <c r="AJ54" s="36" t="e">
        <f>SUMIFS($J$6:$J$165,$D$6:$D$165,AF53,CHOIX,AG54)</f>
        <v>#NAME?</v>
      </c>
      <c r="AK54" s="36" t="e">
        <f>SUMIFS($K$6:$K$165,$D$6:$D$165,AF53,CHOIX,AG54)</f>
        <v>#NAME?</v>
      </c>
      <c r="AL54" s="36" t="e">
        <f>SUMIFS($L$6:$L$165,$D$6:$D$165,AF53,CHOIX,AG54)</f>
        <v>#NAME?</v>
      </c>
      <c r="AM54" s="36" t="e">
        <f>SUMIFS($M$6:$M$165,$D$6:$D$165,AF53,CHOIX,AG54)</f>
        <v>#NAME?</v>
      </c>
      <c r="AN54" s="1" t="s">
        <v>155</v>
      </c>
      <c r="AO54" s="83"/>
      <c r="AP54" s="63"/>
      <c r="AQ54" s="63"/>
      <c r="AR54" s="63"/>
      <c r="AS54" s="79"/>
      <c r="AT54" s="79"/>
      <c r="AU54" s="55" t="e">
        <f>SUMIFS($O$6:$O$165,$D$6:$D$165,AF53,CHOIX,AG54)</f>
        <v>#NAME?</v>
      </c>
      <c r="AV54" s="80" t="e">
        <f>SUMIFS($Q$6:$Q$165,$D$6:$D$165,AF53,CHOIX,AG54)</f>
        <v>#NAME?</v>
      </c>
      <c r="AZ54" s="201"/>
      <c r="BA54" s="63"/>
      <c r="BB54" s="63"/>
      <c r="BC54" s="63"/>
      <c r="BD54" s="63"/>
      <c r="BE54" s="63"/>
      <c r="BF54" s="63"/>
      <c r="BG54" s="63"/>
      <c r="BH54" s="63"/>
      <c r="BI54" s="63"/>
      <c r="BJ54" s="63"/>
      <c r="BK54" s="63"/>
      <c r="BL54" s="63"/>
      <c r="BM54" s="147">
        <f t="shared" si="8"/>
        <v>0</v>
      </c>
      <c r="BN54" s="147">
        <f t="shared" si="9"/>
        <v>0</v>
      </c>
      <c r="BO54" s="149"/>
      <c r="DN54" s="116" t="e">
        <f>(($I$5*#REF!)/100)+((#REF!*$J$5)/100)+(($K$5*#REF!)/100)+($L$5*#REF!)+($M$5*#REF!)</f>
        <v>#REF!</v>
      </c>
    </row>
    <row r="55" spans="2:118" x14ac:dyDescent="0.3">
      <c r="B55" s="64"/>
      <c r="C55" s="148"/>
      <c r="D55" s="109"/>
      <c r="E55" s="63"/>
      <c r="F55" s="127"/>
      <c r="G55" s="50"/>
      <c r="H55" s="10"/>
      <c r="I55" s="10"/>
      <c r="J55" s="10"/>
      <c r="K55" s="10"/>
      <c r="L55" s="10"/>
      <c r="M55" s="39"/>
      <c r="N55" s="33">
        <f t="shared" si="0"/>
        <v>0</v>
      </c>
      <c r="O55" s="52" t="b">
        <f>IF(AND(E55="CLIENT S+L",F55="HUILE"),(S55*3333.33+(VLOOKUP(H55,'BASE '!$I$112:$J$142,2,0)))-((S55*3333.33)*G55),IF(AND(E55="CLIENT S+L",F55="LAIT"),((S55*952.4)-(S55*952.4)*G55),IF(E55="CLIENT O","OFFERT",IF(AND(F55="HUILE",E55="CLIENT L"),(((VLOOKUP(H55,'BASE '!$I$112:$J$142,2,0))+(VLOOKUP(S55,'BASE '!#REF!,2,0)))),IF(AND(F55="LAIT",E55="CLIENT L"),(S55*952.4),IF(AND(F55="HUILE",E55="CLIENT D"),(S55*3809.53+(VLOOKUP(H55,'BASE '!$I$112:$J$142,2,0))),IF(AND(F55="LAIT",E55="CLIENT D"),(S55*952.4),IF(AND(F55="HUILE",E55="CLIENT S+D"),((S55*3809.53+(VLOOKUP(H55,'BASE '!$I$112:$J$142,2,0)))-((S55*3809.53)*G55)),IF(AND(F55="LAIT",E55="CLIENT S+D"),((S55*952.4)-((S55*952.4)*G55)),IF(AND(E55="CLIENT S",F55="LAIT"),((S55*952.4)-((S55*952.4)*G55)),IF(AND(F55="HUILE",E55="CLIENT S"),(VLOOKUP(H55,'BASE '!$I$112:$J$142,2,0)+(VLOOKUP(S55,'BASE '!#REF!,2,0)))-(G55*((VLOOKUP(S55,'BASE '!#REF!,2,0)+(VLOOKUP(H55,'BASE '!$I$112:$J$142,2,0))))))))))))))))</f>
        <v>0</v>
      </c>
      <c r="P55" s="52" t="b">
        <f t="shared" si="1"/>
        <v>0</v>
      </c>
      <c r="Q55" s="53" t="b">
        <f t="shared" si="2"/>
        <v>0</v>
      </c>
      <c r="R55" s="152" t="s">
        <v>175</v>
      </c>
      <c r="S55" s="184">
        <f t="shared" si="6"/>
        <v>0</v>
      </c>
      <c r="T55" s="124"/>
      <c r="U55" s="41" t="s">
        <v>175</v>
      </c>
      <c r="V55" s="70" t="e">
        <f>VLOOKUP(U55,'BASE '!$A$4:$H$144,2,0)</f>
        <v>#N/A</v>
      </c>
      <c r="W55" s="159"/>
      <c r="X55" s="159"/>
      <c r="Y55" s="160"/>
      <c r="Z55" s="158" t="e">
        <f>VLOOKUP(U55,'BASE '!$A$4:$H$144,3,0)</f>
        <v>#N/A</v>
      </c>
      <c r="AA55" s="94" t="e">
        <f t="shared" si="3"/>
        <v>#N/A</v>
      </c>
      <c r="AB55" s="95" t="e">
        <f>VLOOKUP(U55,'BASE '!$A$4:$H$144,6,0)*Y55/100</f>
        <v>#N/A</v>
      </c>
      <c r="AC55" s="95" t="e">
        <f>VLOOKUP(U55,'BASE '!$A$4:$H$144,7,0)*Y55/100</f>
        <v>#N/A</v>
      </c>
      <c r="AD55" s="95" t="e">
        <f>VLOOKUP(U55,'BASE '!$A$4:$H$144,8,0)*Y55/100</f>
        <v>#N/A</v>
      </c>
      <c r="AE55" s="96" t="e">
        <f t="shared" si="7"/>
        <v>#N/A</v>
      </c>
      <c r="AF55" s="431"/>
      <c r="AG55" s="91" t="s">
        <v>157</v>
      </c>
      <c r="AH55" s="36" t="e">
        <f>SUMIFS($H$6:$H$165,$D$6:$D$165,AF55,CHOIX,AG55)</f>
        <v>#NAME?</v>
      </c>
      <c r="AI55" s="36" t="e">
        <f>SUMIFS($I$6:$I$165,$D$6:$D$165,AF55,CHOIX,AG55)</f>
        <v>#NAME?</v>
      </c>
      <c r="AJ55" s="36" t="e">
        <f>SUMIFS($J$6:$J$165,$D$6:$D$165,AF55,CHOIX,AG55)</f>
        <v>#NAME?</v>
      </c>
      <c r="AK55" s="36" t="e">
        <f>SUMIFS($K$6:$K$165,$D$6:$D$165,AF55,CHOIX,AG55)</f>
        <v>#NAME?</v>
      </c>
      <c r="AL55" s="36" t="e">
        <f>SUMIFS($L$6:$L$165,$D$6:$D$165,AF55,CHOIX,AG55)</f>
        <v>#NAME?</v>
      </c>
      <c r="AM55" s="36" t="e">
        <f>SUMIFS($M$6:$M$165,$D$6:$D$165,AF55,CHOIX,AG55)</f>
        <v>#NAME?</v>
      </c>
      <c r="AN55" s="91" t="s">
        <v>157</v>
      </c>
      <c r="AO55" s="83"/>
      <c r="AP55" s="63"/>
      <c r="AQ55" s="63"/>
      <c r="AR55" s="63"/>
      <c r="AS55" s="79"/>
      <c r="AT55" s="79"/>
      <c r="AU55" s="55" t="e">
        <f>SUMIFS($O$6:$O$165,$D$6:$D$165,AF55,CHOIX,AG55)</f>
        <v>#NAME?</v>
      </c>
      <c r="AV55" s="80" t="e">
        <f>SUMIFS($Q$6:$Q$165,$D$6:$D$165,AF55,CHOIX,AG55)</f>
        <v>#NAME?</v>
      </c>
      <c r="AZ55" s="201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147">
        <f t="shared" si="8"/>
        <v>0</v>
      </c>
      <c r="BN55" s="147">
        <f t="shared" si="9"/>
        <v>0</v>
      </c>
      <c r="BO55" s="149"/>
      <c r="DN55" s="116" t="e">
        <f>(($I$5*#REF!)/100)+((#REF!*$J$5)/100)+(($K$5*#REF!)/100)+($L$5*#REF!)+($M$5*#REF!)</f>
        <v>#REF!</v>
      </c>
    </row>
    <row r="56" spans="2:118" x14ac:dyDescent="0.3">
      <c r="B56" s="64"/>
      <c r="C56" s="148"/>
      <c r="D56" s="109"/>
      <c r="E56" s="63"/>
      <c r="F56" s="127"/>
      <c r="G56" s="50"/>
      <c r="H56" s="10"/>
      <c r="I56" s="10"/>
      <c r="J56" s="10"/>
      <c r="K56" s="10"/>
      <c r="L56" s="10"/>
      <c r="M56" s="39"/>
      <c r="N56" s="33">
        <f t="shared" si="0"/>
        <v>0</v>
      </c>
      <c r="O56" s="52" t="b">
        <f>IF(AND(E56="CLIENT S+L",F56="HUILE"),(S56*3333.33+(VLOOKUP(H56,'BASE '!$I$112:$J$142,2,0)))-((S56*3333.33)*G56),IF(AND(E56="CLIENT S+L",F56="LAIT"),((S56*952.4)-(S56*952.4)*G56),IF(E56="CLIENT O","OFFERT",IF(AND(F56="HUILE",E56="CLIENT L"),(((VLOOKUP(H56,'BASE '!$I$112:$J$142,2,0))+(VLOOKUP(S56,'BASE '!#REF!,2,0)))),IF(AND(F56="LAIT",E56="CLIENT L"),(S56*952.4),IF(AND(F56="HUILE",E56="CLIENT D"),(S56*3809.53+(VLOOKUP(H56,'BASE '!$I$112:$J$142,2,0))),IF(AND(F56="LAIT",E56="CLIENT D"),(S56*952.4),IF(AND(F56="HUILE",E56="CLIENT S+D"),((S56*3809.53+(VLOOKUP(H56,'BASE '!$I$112:$J$142,2,0)))-((S56*3809.53)*G56)),IF(AND(F56="LAIT",E56="CLIENT S+D"),((S56*952.4)-((S56*952.4)*G56)),IF(AND(E56="CLIENT S",F56="LAIT"),((S56*952.4)-((S56*952.4)*G56)),IF(AND(F56="HUILE",E56="CLIENT S"),(VLOOKUP(H56,'BASE '!$I$112:$J$142,2,0)+(VLOOKUP(S56,'BASE '!#REF!,2,0)))-(G56*((VLOOKUP(S56,'BASE '!#REF!,2,0)+(VLOOKUP(H56,'BASE '!$I$112:$J$142,2,0))))))))))))))))</f>
        <v>0</v>
      </c>
      <c r="P56" s="52" t="b">
        <f t="shared" si="1"/>
        <v>0</v>
      </c>
      <c r="Q56" s="53" t="b">
        <f t="shared" si="2"/>
        <v>0</v>
      </c>
      <c r="R56" s="152" t="s">
        <v>175</v>
      </c>
      <c r="S56" s="184">
        <f t="shared" si="6"/>
        <v>0</v>
      </c>
      <c r="T56" s="124"/>
      <c r="U56" s="41" t="s">
        <v>175</v>
      </c>
      <c r="V56" s="70" t="e">
        <f>VLOOKUP(U56,'BASE '!$A$4:$H$144,2,0)</f>
        <v>#N/A</v>
      </c>
      <c r="W56" s="159"/>
      <c r="X56" s="159"/>
      <c r="Y56" s="160"/>
      <c r="Z56" s="158" t="e">
        <f>VLOOKUP(U56,'BASE '!$A$4:$H$144,3,0)</f>
        <v>#N/A</v>
      </c>
      <c r="AA56" s="94" t="e">
        <f t="shared" si="3"/>
        <v>#N/A</v>
      </c>
      <c r="AB56" s="95" t="e">
        <f>VLOOKUP(U56,'BASE '!$A$4:$H$144,6,0)*Y56/100</f>
        <v>#N/A</v>
      </c>
      <c r="AC56" s="95" t="e">
        <f>VLOOKUP(U56,'BASE '!$A$4:$H$144,7,0)*Y56/100</f>
        <v>#N/A</v>
      </c>
      <c r="AD56" s="95" t="e">
        <f>VLOOKUP(U56,'BASE '!$A$4:$H$144,8,0)*Y56/100</f>
        <v>#N/A</v>
      </c>
      <c r="AE56" s="96" t="e">
        <f t="shared" si="7"/>
        <v>#N/A</v>
      </c>
      <c r="AF56" s="431"/>
      <c r="AG56" s="1" t="s">
        <v>155</v>
      </c>
      <c r="AH56" s="36" t="e">
        <f>SUMIFS($H$6:$H$165,$D$6:$D$165,AF55,CHOIX,AG56)</f>
        <v>#NAME?</v>
      </c>
      <c r="AI56" s="36" t="e">
        <f>SUMIFS($I$6:$I$165,$D$6:$D$165,AF55,CHOIX,AG56)</f>
        <v>#NAME?</v>
      </c>
      <c r="AJ56" s="36" t="e">
        <f>SUMIFS($J$6:$J$165,$D$6:$D$165,AF55,CHOIX,AG56)</f>
        <v>#NAME?</v>
      </c>
      <c r="AK56" s="36" t="e">
        <f>SUMIFS($K$6:$K$165,$D$6:$D$165,AF55,CHOIX,AG56)</f>
        <v>#NAME?</v>
      </c>
      <c r="AL56" s="36" t="e">
        <f>SUMIFS($L$6:$L$165,$D$6:$D$165,AF55,CHOIX,AG56)</f>
        <v>#NAME?</v>
      </c>
      <c r="AM56" s="36" t="e">
        <f>SUMIFS($M$6:$M$165,$D$6:$D$165,AF55,CHOIX,AG56)</f>
        <v>#NAME?</v>
      </c>
      <c r="AN56" s="1" t="s">
        <v>155</v>
      </c>
      <c r="AO56" s="83"/>
      <c r="AP56" s="63"/>
      <c r="AQ56" s="63"/>
      <c r="AR56" s="63"/>
      <c r="AS56" s="79"/>
      <c r="AT56" s="79"/>
      <c r="AU56" s="55" t="e">
        <f>SUMIFS($O$6:$O$165,$D$6:$D$165,AF55,CHOIX,AG56)</f>
        <v>#NAME?</v>
      </c>
      <c r="AV56" s="80" t="e">
        <f>SUMIFS($Q$6:$Q$165,$D$6:$D$165,AF55,CHOIX,AG56)</f>
        <v>#NAME?</v>
      </c>
      <c r="AZ56" s="201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147">
        <f t="shared" si="8"/>
        <v>0</v>
      </c>
      <c r="BN56" s="147">
        <f t="shared" si="9"/>
        <v>0</v>
      </c>
      <c r="BO56" s="149"/>
      <c r="DN56" s="116" t="e">
        <f>(($I$5*#REF!)/100)+((#REF!*$J$5)/100)+(($K$5*#REF!)/100)+($L$5*#REF!)+($M$5*#REF!)</f>
        <v>#REF!</v>
      </c>
    </row>
    <row r="57" spans="2:118" x14ac:dyDescent="0.3">
      <c r="B57" s="64"/>
      <c r="C57" s="148"/>
      <c r="D57" s="109"/>
      <c r="E57" s="63"/>
      <c r="F57" s="127"/>
      <c r="G57" s="50"/>
      <c r="H57" s="10"/>
      <c r="I57" s="10"/>
      <c r="J57" s="10"/>
      <c r="K57" s="10"/>
      <c r="L57" s="10"/>
      <c r="M57" s="39"/>
      <c r="N57" s="33">
        <f t="shared" si="0"/>
        <v>0</v>
      </c>
      <c r="O57" s="52" t="b">
        <f>IF(AND(E57="CLIENT S+L",F57="HUILE"),(S57*3333.33+(VLOOKUP(H57,'BASE '!$I$112:$J$142,2,0)))-((S57*3333.33)*G57),IF(AND(E57="CLIENT S+L",F57="LAIT"),((S57*952.4)-(S57*952.4)*G57),IF(E57="CLIENT O","OFFERT",IF(AND(F57="HUILE",E57="CLIENT L"),(((VLOOKUP(H57,'BASE '!$I$112:$J$142,2,0))+(VLOOKUP(S57,'BASE '!#REF!,2,0)))),IF(AND(F57="LAIT",E57="CLIENT L"),(S57*952.4),IF(AND(F57="HUILE",E57="CLIENT D"),(S57*3809.53+(VLOOKUP(H57,'BASE '!$I$112:$J$142,2,0))),IF(AND(F57="LAIT",E57="CLIENT D"),(S57*952.4),IF(AND(F57="HUILE",E57="CLIENT S+D"),((S57*3809.53+(VLOOKUP(H57,'BASE '!$I$112:$J$142,2,0)))-((S57*3809.53)*G57)),IF(AND(F57="LAIT",E57="CLIENT S+D"),((S57*952.4)-((S57*952.4)*G57)),IF(AND(E57="CLIENT S",F57="LAIT"),((S57*952.4)-((S57*952.4)*G57)),IF(AND(F57="HUILE",E57="CLIENT S"),(VLOOKUP(H57,'BASE '!$I$112:$J$142,2,0)+(VLOOKUP(S57,'BASE '!#REF!,2,0)))-(G57*((VLOOKUP(S57,'BASE '!#REF!,2,0)+(VLOOKUP(H57,'BASE '!$I$112:$J$142,2,0))))))))))))))))</f>
        <v>0</v>
      </c>
      <c r="P57" s="52" t="b">
        <f t="shared" si="1"/>
        <v>0</v>
      </c>
      <c r="Q57" s="53" t="b">
        <f t="shared" si="2"/>
        <v>0</v>
      </c>
      <c r="R57" s="152" t="s">
        <v>175</v>
      </c>
      <c r="S57" s="184">
        <f t="shared" si="6"/>
        <v>0</v>
      </c>
      <c r="T57" s="124"/>
      <c r="U57" s="41" t="s">
        <v>175</v>
      </c>
      <c r="V57" s="70" t="e">
        <f>VLOOKUP(U57,'BASE '!$A$4:$H$144,2,0)</f>
        <v>#N/A</v>
      </c>
      <c r="W57" s="159"/>
      <c r="X57" s="159"/>
      <c r="Y57" s="160"/>
      <c r="Z57" s="158" t="e">
        <f>VLOOKUP(U57,'BASE '!$A$4:$H$144,3,0)</f>
        <v>#N/A</v>
      </c>
      <c r="AA57" s="94" t="e">
        <f t="shared" si="3"/>
        <v>#N/A</v>
      </c>
      <c r="AB57" s="95" t="e">
        <f>VLOOKUP(U57,'BASE '!$A$4:$H$144,6,0)*Y57/100</f>
        <v>#N/A</v>
      </c>
      <c r="AC57" s="95" t="e">
        <f>VLOOKUP(U57,'BASE '!$A$4:$H$144,7,0)*Y57/100</f>
        <v>#N/A</v>
      </c>
      <c r="AD57" s="95" t="e">
        <f>VLOOKUP(U57,'BASE '!$A$4:$H$144,8,0)*Y57/100</f>
        <v>#N/A</v>
      </c>
      <c r="AE57" s="96" t="e">
        <f t="shared" si="7"/>
        <v>#N/A</v>
      </c>
      <c r="AF57" s="431"/>
      <c r="AG57" s="91" t="s">
        <v>157</v>
      </c>
      <c r="AH57" s="36" t="e">
        <f>SUMIFS($H$6:$H$165,$D$6:$D$165,AF57,CHOIX,AG57)</f>
        <v>#NAME?</v>
      </c>
      <c r="AI57" s="36" t="e">
        <f>SUMIFS($I$6:$I$165,$D$6:$D$165,AF57,CHOIX,AG57)</f>
        <v>#NAME?</v>
      </c>
      <c r="AJ57" s="36" t="e">
        <f>SUMIFS($J$6:$J$165,$D$6:$D$165,AF57,CHOIX,AG57)</f>
        <v>#NAME?</v>
      </c>
      <c r="AK57" s="36" t="e">
        <f>SUMIFS($K$6:$K$165,$D$6:$D$165,AF57,CHOIX,AG57)</f>
        <v>#NAME?</v>
      </c>
      <c r="AL57" s="36" t="e">
        <f>SUMIFS($L$6:$L$165,$D$6:$D$165,AF57,CHOIX,AG57)</f>
        <v>#NAME?</v>
      </c>
      <c r="AM57" s="36" t="e">
        <f>SUMIFS($M$6:$M$165,$D$6:$D$165,AF57,CHOIX,AG57)</f>
        <v>#NAME?</v>
      </c>
      <c r="AN57" s="91" t="s">
        <v>157</v>
      </c>
      <c r="AO57" s="83"/>
      <c r="AP57" s="63"/>
      <c r="AQ57" s="63"/>
      <c r="AR57" s="63"/>
      <c r="AS57" s="79"/>
      <c r="AT57" s="79"/>
      <c r="AU57" s="55" t="e">
        <f>SUMIFS($O$6:$O$165,$D$6:$D$165,AF57,CHOIX,AG57)</f>
        <v>#NAME?</v>
      </c>
      <c r="AV57" s="80" t="e">
        <f>SUMIFS($Q$6:$Q$165,$D$6:$D$165,AF57,CHOIX,AG57)</f>
        <v>#NAME?</v>
      </c>
      <c r="AZ57" s="201"/>
      <c r="BA57" s="63"/>
      <c r="BB57" s="63"/>
      <c r="BC57" s="63"/>
      <c r="BD57" s="63"/>
      <c r="BE57" s="63"/>
      <c r="BF57" s="63"/>
      <c r="BG57" s="63"/>
      <c r="BH57" s="63"/>
      <c r="BI57" s="63"/>
      <c r="BJ57" s="63"/>
      <c r="BK57" s="63"/>
      <c r="BL57" s="63"/>
      <c r="BM57" s="147">
        <f t="shared" si="8"/>
        <v>0</v>
      </c>
      <c r="BN57" s="147">
        <f t="shared" si="9"/>
        <v>0</v>
      </c>
      <c r="BO57" s="149"/>
      <c r="DN57" s="116" t="e">
        <f>(($I$5*#REF!)/100)+((#REF!*$J$5)/100)+(($K$5*#REF!)/100)+($L$5*#REF!)+($M$5*#REF!)</f>
        <v>#REF!</v>
      </c>
    </row>
    <row r="58" spans="2:118" x14ac:dyDescent="0.3">
      <c r="B58" s="64"/>
      <c r="C58" s="148"/>
      <c r="D58" s="109"/>
      <c r="E58" s="63"/>
      <c r="F58" s="127"/>
      <c r="G58" s="50"/>
      <c r="H58" s="10"/>
      <c r="I58" s="10"/>
      <c r="J58" s="10"/>
      <c r="K58" s="10"/>
      <c r="L58" s="10"/>
      <c r="M58" s="39"/>
      <c r="N58" s="33">
        <f t="shared" si="0"/>
        <v>0</v>
      </c>
      <c r="O58" s="52" t="b">
        <f>IF(AND(E58="CLIENT S+L",F58="HUILE"),(S58*3333.33+(VLOOKUP(H58,'BASE '!$I$112:$J$142,2,0)))-((S58*3333.33)*G58),IF(AND(E58="CLIENT S+L",F58="LAIT"),((S58*952.4)-(S58*952.4)*G58),IF(E58="CLIENT O","OFFERT",IF(AND(F58="HUILE",E58="CLIENT L"),(((VLOOKUP(H58,'BASE '!$I$112:$J$142,2,0))+(VLOOKUP(S58,'BASE '!#REF!,2,0)))),IF(AND(F58="LAIT",E58="CLIENT L"),(S58*952.4),IF(AND(F58="HUILE",E58="CLIENT D"),(S58*3809.53+(VLOOKUP(H58,'BASE '!$I$112:$J$142,2,0))),IF(AND(F58="LAIT",E58="CLIENT D"),(S58*952.4),IF(AND(F58="HUILE",E58="CLIENT S+D"),((S58*3809.53+(VLOOKUP(H58,'BASE '!$I$112:$J$142,2,0)))-((S58*3809.53)*G58)),IF(AND(F58="LAIT",E58="CLIENT S+D"),((S58*952.4)-((S58*952.4)*G58)),IF(AND(E58="CLIENT S",F58="LAIT"),((S58*952.4)-((S58*952.4)*G58)),IF(AND(F58="HUILE",E58="CLIENT S"),(VLOOKUP(H58,'BASE '!$I$112:$J$142,2,0)+(VLOOKUP(S58,'BASE '!#REF!,2,0)))-(G58*((VLOOKUP(S58,'BASE '!#REF!,2,0)+(VLOOKUP(H58,'BASE '!$I$112:$J$142,2,0))))))))))))))))</f>
        <v>0</v>
      </c>
      <c r="P58" s="52" t="b">
        <f t="shared" si="1"/>
        <v>0</v>
      </c>
      <c r="Q58" s="53" t="b">
        <f t="shared" si="2"/>
        <v>0</v>
      </c>
      <c r="R58" s="152" t="s">
        <v>175</v>
      </c>
      <c r="S58" s="184">
        <f t="shared" si="6"/>
        <v>0</v>
      </c>
      <c r="T58" s="124"/>
      <c r="U58" s="41" t="s">
        <v>175</v>
      </c>
      <c r="V58" s="70" t="e">
        <f>VLOOKUP(U58,'BASE '!$A$4:$H$144,2,0)</f>
        <v>#N/A</v>
      </c>
      <c r="W58" s="159"/>
      <c r="X58" s="159"/>
      <c r="Y58" s="160"/>
      <c r="Z58" s="158" t="e">
        <f>VLOOKUP(U58,'BASE '!$A$4:$H$144,3,0)</f>
        <v>#N/A</v>
      </c>
      <c r="AA58" s="94" t="e">
        <f t="shared" si="3"/>
        <v>#N/A</v>
      </c>
      <c r="AB58" s="95" t="e">
        <f>VLOOKUP(U58,'BASE '!$A$4:$H$144,6,0)*Y58/100</f>
        <v>#N/A</v>
      </c>
      <c r="AC58" s="95" t="e">
        <f>VLOOKUP(U58,'BASE '!$A$4:$H$144,7,0)*Y58/100</f>
        <v>#N/A</v>
      </c>
      <c r="AD58" s="95" t="e">
        <f>VLOOKUP(U58,'BASE '!$A$4:$H$144,8,0)*Y58/100</f>
        <v>#N/A</v>
      </c>
      <c r="AE58" s="96" t="e">
        <f t="shared" si="7"/>
        <v>#N/A</v>
      </c>
      <c r="AF58" s="431"/>
      <c r="AG58" s="1" t="s">
        <v>155</v>
      </c>
      <c r="AH58" s="36" t="e">
        <f>SUMIFS($H$6:$H$165,$D$6:$D$165,AF57,CHOIX,AG58)</f>
        <v>#NAME?</v>
      </c>
      <c r="AI58" s="36" t="e">
        <f>SUMIFS($I$6:$I$165,$D$6:$D$165,AF57,CHOIX,AG58)</f>
        <v>#NAME?</v>
      </c>
      <c r="AJ58" s="36" t="e">
        <f>SUMIFS($J$6:$J$165,$D$6:$D$165,AF57,CHOIX,AG58)</f>
        <v>#NAME?</v>
      </c>
      <c r="AK58" s="36" t="e">
        <f>SUMIFS($K$6:$K$165,$D$6:$D$165,AF57,CHOIX,AG58)</f>
        <v>#NAME?</v>
      </c>
      <c r="AL58" s="36" t="e">
        <f>SUMIFS($L$6:$L$165,$D$6:$D$165,AF57,CHOIX,AG58)</f>
        <v>#NAME?</v>
      </c>
      <c r="AM58" s="36" t="e">
        <f>SUMIFS($M$6:$M$165,$D$6:$D$165,AF57,CHOIX,AG58)</f>
        <v>#NAME?</v>
      </c>
      <c r="AN58" s="1" t="s">
        <v>155</v>
      </c>
      <c r="AO58" s="83"/>
      <c r="AP58" s="63"/>
      <c r="AQ58" s="63"/>
      <c r="AR58" s="63"/>
      <c r="AS58" s="79"/>
      <c r="AT58" s="79"/>
      <c r="AU58" s="55" t="e">
        <f>SUMIFS($O$6:$O$165,$D$6:$D$165,AF57,CHOIX,AG58)</f>
        <v>#NAME?</v>
      </c>
      <c r="AV58" s="80" t="e">
        <f>SUMIFS($Q$6:$Q$165,$D$6:$D$165,AF57,CHOIX,AG58)</f>
        <v>#NAME?</v>
      </c>
      <c r="AZ58" s="201"/>
      <c r="BA58" s="63"/>
      <c r="BB58" s="63"/>
      <c r="BC58" s="63"/>
      <c r="BD58" s="63"/>
      <c r="BE58" s="63"/>
      <c r="BF58" s="63"/>
      <c r="BG58" s="63"/>
      <c r="BH58" s="63"/>
      <c r="BI58" s="63"/>
      <c r="BJ58" s="63"/>
      <c r="BK58" s="63"/>
      <c r="BL58" s="63"/>
      <c r="BM58" s="147">
        <f t="shared" si="8"/>
        <v>0</v>
      </c>
      <c r="BN58" s="147">
        <f t="shared" si="9"/>
        <v>0</v>
      </c>
      <c r="BO58" s="149"/>
      <c r="DN58" s="116" t="e">
        <f>(($I$5*#REF!)/100)+((#REF!*$J$5)/100)+(($K$5*#REF!)/100)+($L$5*#REF!)+($M$5*#REF!)</f>
        <v>#REF!</v>
      </c>
    </row>
    <row r="59" spans="2:118" x14ac:dyDescent="0.3">
      <c r="B59" s="64"/>
      <c r="C59" s="148"/>
      <c r="D59" s="109"/>
      <c r="E59" s="63"/>
      <c r="F59" s="127"/>
      <c r="G59" s="50"/>
      <c r="H59" s="10"/>
      <c r="I59" s="10"/>
      <c r="J59" s="10"/>
      <c r="K59" s="10"/>
      <c r="L59" s="10"/>
      <c r="M59" s="39"/>
      <c r="N59" s="33">
        <f t="shared" si="0"/>
        <v>0</v>
      </c>
      <c r="O59" s="52" t="b">
        <f>IF(AND(E59="CLIENT S+L",F59="HUILE"),(S59*3333.33+(VLOOKUP(H59,'BASE '!$I$112:$J$142,2,0)))-((S59*3333.33)*G59),IF(AND(E59="CLIENT S+L",F59="LAIT"),((S59*952.4)-(S59*952.4)*G59),IF(E59="CLIENT O","OFFERT",IF(AND(F59="HUILE",E59="CLIENT L"),(((VLOOKUP(H59,'BASE '!$I$112:$J$142,2,0))+(VLOOKUP(S59,'BASE '!#REF!,2,0)))),IF(AND(F59="LAIT",E59="CLIENT L"),(S59*952.4),IF(AND(F59="HUILE",E59="CLIENT D"),(S59*3809.53+(VLOOKUP(H59,'BASE '!$I$112:$J$142,2,0))),IF(AND(F59="LAIT",E59="CLIENT D"),(S59*952.4),IF(AND(F59="HUILE",E59="CLIENT S+D"),((S59*3809.53+(VLOOKUP(H59,'BASE '!$I$112:$J$142,2,0)))-((S59*3809.53)*G59)),IF(AND(F59="LAIT",E59="CLIENT S+D"),((S59*952.4)-((S59*952.4)*G59)),IF(AND(E59="CLIENT S",F59="LAIT"),((S59*952.4)-((S59*952.4)*G59)),IF(AND(F59="HUILE",E59="CLIENT S"),(VLOOKUP(H59,'BASE '!$I$112:$J$142,2,0)+(VLOOKUP(S59,'BASE '!#REF!,2,0)))-(G59*((VLOOKUP(S59,'BASE '!#REF!,2,0)+(VLOOKUP(H59,'BASE '!$I$112:$J$142,2,0))))))))))))))))</f>
        <v>0</v>
      </c>
      <c r="P59" s="52" t="b">
        <f t="shared" si="1"/>
        <v>0</v>
      </c>
      <c r="Q59" s="53" t="b">
        <f t="shared" si="2"/>
        <v>0</v>
      </c>
      <c r="R59" s="152" t="s">
        <v>175</v>
      </c>
      <c r="S59" s="184">
        <f t="shared" si="6"/>
        <v>0</v>
      </c>
      <c r="T59" s="124"/>
      <c r="U59" s="41" t="s">
        <v>175</v>
      </c>
      <c r="V59" s="70" t="e">
        <f>VLOOKUP(U59,'BASE '!$A$4:$H$144,2,0)</f>
        <v>#N/A</v>
      </c>
      <c r="W59" s="159"/>
      <c r="X59" s="159"/>
      <c r="Y59" s="160"/>
      <c r="Z59" s="158" t="e">
        <f>VLOOKUP(U59,'BASE '!$A$4:$H$144,3,0)</f>
        <v>#N/A</v>
      </c>
      <c r="AA59" s="94" t="e">
        <f t="shared" si="3"/>
        <v>#N/A</v>
      </c>
      <c r="AB59" s="95" t="e">
        <f>VLOOKUP(U59,'BASE '!$A$4:$H$144,6,0)*Y59/100</f>
        <v>#N/A</v>
      </c>
      <c r="AC59" s="95" t="e">
        <f>VLOOKUP(U59,'BASE '!$A$4:$H$144,7,0)*Y59/100</f>
        <v>#N/A</v>
      </c>
      <c r="AD59" s="95" t="e">
        <f>VLOOKUP(U59,'BASE '!$A$4:$H$144,8,0)*Y59/100</f>
        <v>#N/A</v>
      </c>
      <c r="AE59" s="96" t="e">
        <f t="shared" si="7"/>
        <v>#N/A</v>
      </c>
      <c r="AF59" s="431"/>
      <c r="AG59" s="91" t="s">
        <v>157</v>
      </c>
      <c r="AH59" s="36" t="e">
        <f>SUMIFS($H$6:$H$165,$D$6:$D$165,AF59,CHOIX,AG59)</f>
        <v>#NAME?</v>
      </c>
      <c r="AI59" s="36" t="e">
        <f>SUMIFS($I$6:$I$165,$D$6:$D$165,AF59,CHOIX,AG59)</f>
        <v>#NAME?</v>
      </c>
      <c r="AJ59" s="36" t="e">
        <f>SUMIFS($J$6:$J$165,$D$6:$D$165,AF59,CHOIX,AG59)</f>
        <v>#NAME?</v>
      </c>
      <c r="AK59" s="36" t="e">
        <f>SUMIFS($K$6:$K$165,$D$6:$D$165,AF59,CHOIX,AG59)</f>
        <v>#NAME?</v>
      </c>
      <c r="AL59" s="36" t="e">
        <f>SUMIFS($L$6:$L$165,$D$6:$D$165,AF59,CHOIX,AG59)</f>
        <v>#NAME?</v>
      </c>
      <c r="AM59" s="36" t="e">
        <f>SUMIFS($M$6:$M$165,$D$6:$D$165,AF59,CHOIX,AG59)</f>
        <v>#NAME?</v>
      </c>
      <c r="AN59" s="91" t="s">
        <v>157</v>
      </c>
      <c r="AO59" s="83"/>
      <c r="AP59" s="63"/>
      <c r="AQ59" s="63"/>
      <c r="AR59" s="63"/>
      <c r="AS59" s="79"/>
      <c r="AT59" s="79"/>
      <c r="AU59" s="55" t="e">
        <f>SUMIFS($O$6:$O$165,$D$6:$D$165,AF59,CHOIX,AG59)</f>
        <v>#NAME?</v>
      </c>
      <c r="AV59" s="80" t="e">
        <f>SUMIFS($Q$6:$Q$165,$D$6:$D$165,AF59,CHOIX,AG59)</f>
        <v>#NAME?</v>
      </c>
      <c r="AZ59" s="201"/>
      <c r="BA59" s="63"/>
      <c r="BB59" s="63"/>
      <c r="BC59" s="63"/>
      <c r="BD59" s="63"/>
      <c r="BE59" s="63"/>
      <c r="BF59" s="63"/>
      <c r="BG59" s="63"/>
      <c r="BH59" s="63"/>
      <c r="BI59" s="63"/>
      <c r="BJ59" s="63"/>
      <c r="BK59" s="63"/>
      <c r="BL59" s="63"/>
      <c r="BM59" s="147">
        <f t="shared" si="8"/>
        <v>0</v>
      </c>
      <c r="BN59" s="147">
        <f t="shared" si="9"/>
        <v>0</v>
      </c>
      <c r="BO59" s="149"/>
      <c r="DN59" s="116" t="e">
        <f>(($I$5*#REF!)/100)+((#REF!*$J$5)/100)+(($K$5*#REF!)/100)+($L$5*#REF!)+($M$5*#REF!)</f>
        <v>#REF!</v>
      </c>
    </row>
    <row r="60" spans="2:118" x14ac:dyDescent="0.3">
      <c r="B60" s="64"/>
      <c r="C60" s="148"/>
      <c r="D60" s="109"/>
      <c r="E60" s="63"/>
      <c r="F60" s="127"/>
      <c r="G60" s="50"/>
      <c r="H60" s="10"/>
      <c r="I60" s="10"/>
      <c r="J60" s="10"/>
      <c r="K60" s="10"/>
      <c r="L60" s="10"/>
      <c r="M60" s="39"/>
      <c r="N60" s="33">
        <f t="shared" si="0"/>
        <v>0</v>
      </c>
      <c r="O60" s="52" t="b">
        <f>IF(AND(E60="CLIENT S+L",F60="HUILE"),(S60*3333.33+(VLOOKUP(H60,'BASE '!$I$112:$J$142,2,0)))-((S60*3333.33)*G60),IF(AND(E60="CLIENT S+L",F60="LAIT"),((S60*952.4)-(S60*952.4)*G60),IF(E60="CLIENT O","OFFERT",IF(AND(F60="HUILE",E60="CLIENT L"),(((VLOOKUP(H60,'BASE '!$I$112:$J$142,2,0))+(VLOOKUP(S60,'BASE '!#REF!,2,0)))),IF(AND(F60="LAIT",E60="CLIENT L"),(S60*952.4),IF(AND(F60="HUILE",E60="CLIENT D"),(S60*3809.53+(VLOOKUP(H60,'BASE '!$I$112:$J$142,2,0))),IF(AND(F60="LAIT",E60="CLIENT D"),(S60*952.4),IF(AND(F60="HUILE",E60="CLIENT S+D"),((S60*3809.53+(VLOOKUP(H60,'BASE '!$I$112:$J$142,2,0)))-((S60*3809.53)*G60)),IF(AND(F60="LAIT",E60="CLIENT S+D"),((S60*952.4)-((S60*952.4)*G60)),IF(AND(E60="CLIENT S",F60="LAIT"),((S60*952.4)-((S60*952.4)*G60)),IF(AND(F60="HUILE",E60="CLIENT S"),(VLOOKUP(H60,'BASE '!$I$112:$J$142,2,0)+(VLOOKUP(S60,'BASE '!#REF!,2,0)))-(G60*((VLOOKUP(S60,'BASE '!#REF!,2,0)+(VLOOKUP(H60,'BASE '!$I$112:$J$142,2,0))))))))))))))))</f>
        <v>0</v>
      </c>
      <c r="P60" s="52" t="b">
        <f t="shared" si="1"/>
        <v>0</v>
      </c>
      <c r="Q60" s="53" t="b">
        <f t="shared" si="2"/>
        <v>0</v>
      </c>
      <c r="R60" s="152" t="s">
        <v>175</v>
      </c>
      <c r="S60" s="184">
        <f t="shared" si="6"/>
        <v>0</v>
      </c>
      <c r="T60" s="124"/>
      <c r="U60" s="41" t="s">
        <v>175</v>
      </c>
      <c r="V60" s="70" t="e">
        <f>VLOOKUP(U60,'BASE '!$A$4:$H$144,2,0)</f>
        <v>#N/A</v>
      </c>
      <c r="W60" s="159"/>
      <c r="X60" s="159"/>
      <c r="Y60" s="160"/>
      <c r="Z60" s="158" t="e">
        <f>VLOOKUP(U60,'BASE '!$A$4:$H$144,3,0)</f>
        <v>#N/A</v>
      </c>
      <c r="AA60" s="94" t="e">
        <f t="shared" si="3"/>
        <v>#N/A</v>
      </c>
      <c r="AB60" s="95" t="e">
        <f>VLOOKUP(U60,'BASE '!$A$4:$H$144,6,0)*Y60/100</f>
        <v>#N/A</v>
      </c>
      <c r="AC60" s="95" t="e">
        <f>VLOOKUP(U60,'BASE '!$A$4:$H$144,7,0)*Y60/100</f>
        <v>#N/A</v>
      </c>
      <c r="AD60" s="95" t="e">
        <f>VLOOKUP(U60,'BASE '!$A$4:$H$144,8,0)*Y60/100</f>
        <v>#N/A</v>
      </c>
      <c r="AE60" s="96" t="e">
        <f t="shared" si="7"/>
        <v>#N/A</v>
      </c>
      <c r="AF60" s="431"/>
      <c r="AG60" s="1" t="s">
        <v>155</v>
      </c>
      <c r="AH60" s="36" t="e">
        <f>SUMIFS($H$6:$H$165,$D$6:$D$165,AF59,CHOIX,AG60)</f>
        <v>#NAME?</v>
      </c>
      <c r="AI60" s="36" t="e">
        <f>SUMIFS($I$6:$I$165,$D$6:$D$165,AF59,CHOIX,AG60)</f>
        <v>#NAME?</v>
      </c>
      <c r="AJ60" s="36" t="e">
        <f>SUMIFS($J$6:$J$165,$D$6:$D$165,AF59,CHOIX,AG60)</f>
        <v>#NAME?</v>
      </c>
      <c r="AK60" s="36" t="e">
        <f>SUMIFS($K$6:$K$165,$D$6:$D$165,AF59,CHOIX,AG60)</f>
        <v>#NAME?</v>
      </c>
      <c r="AL60" s="36" t="e">
        <f>SUMIFS($L$6:$L$165,$D$6:$D$165,AF59,CHOIX,AG60)</f>
        <v>#NAME?</v>
      </c>
      <c r="AM60" s="36" t="e">
        <f>SUMIFS($M$6:$M$165,$D$6:$D$165,AF59,CHOIX,AG60)</f>
        <v>#NAME?</v>
      </c>
      <c r="AN60" s="1" t="s">
        <v>155</v>
      </c>
      <c r="AO60" s="83"/>
      <c r="AP60" s="63"/>
      <c r="AQ60" s="63"/>
      <c r="AR60" s="63"/>
      <c r="AS60" s="79"/>
      <c r="AT60" s="79"/>
      <c r="AU60" s="55" t="e">
        <f>SUMIFS($O$6:$O$165,$D$6:$D$165,AF59,CHOIX,AG60)</f>
        <v>#NAME?</v>
      </c>
      <c r="AV60" s="80" t="e">
        <f>SUMIFS($Q$6:$Q$165,$D$6:$D$165,AF59,CHOIX,AG60)</f>
        <v>#NAME?</v>
      </c>
      <c r="AZ60" s="201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147">
        <f t="shared" si="8"/>
        <v>0</v>
      </c>
      <c r="BN60" s="147">
        <f t="shared" si="9"/>
        <v>0</v>
      </c>
      <c r="BO60" s="149"/>
      <c r="DN60" s="116" t="e">
        <f>(($I$5*#REF!)/100)+((#REF!*$J$5)/100)+(($K$5*#REF!)/100)+($L$5*#REF!)+($M$5*#REF!)</f>
        <v>#REF!</v>
      </c>
    </row>
    <row r="61" spans="2:118" ht="15" thickBot="1" x14ac:dyDescent="0.35">
      <c r="B61" s="64"/>
      <c r="C61" s="148"/>
      <c r="D61" s="109"/>
      <c r="E61" s="63"/>
      <c r="F61" s="127"/>
      <c r="G61" s="50"/>
      <c r="H61" s="10"/>
      <c r="I61" s="10"/>
      <c r="J61" s="10"/>
      <c r="K61" s="10"/>
      <c r="L61" s="10"/>
      <c r="M61" s="39"/>
      <c r="N61" s="33">
        <f t="shared" si="0"/>
        <v>0</v>
      </c>
      <c r="O61" s="52" t="b">
        <f>IF(AND(E61="CLIENT S+L",F61="HUILE"),(S61*3333.33+(VLOOKUP(H61,'BASE '!$I$112:$J$142,2,0)))-((S61*3333.33)*G61),IF(AND(E61="CLIENT S+L",F61="LAIT"),((S61*952.4)-(S61*952.4)*G61),IF(E61="CLIENT O","OFFERT",IF(AND(F61="HUILE",E61="CLIENT L"),(((VLOOKUP(H61,'BASE '!$I$112:$J$142,2,0))+(VLOOKUP(S61,'BASE '!#REF!,2,0)))),IF(AND(F61="LAIT",E61="CLIENT L"),(S61*952.4),IF(AND(F61="HUILE",E61="CLIENT D"),(S61*3809.53+(VLOOKUP(H61,'BASE '!$I$112:$J$142,2,0))),IF(AND(F61="LAIT",E61="CLIENT D"),(S61*952.4),IF(AND(F61="HUILE",E61="CLIENT S+D"),((S61*3809.53+(VLOOKUP(H61,'BASE '!$I$112:$J$142,2,0)))-((S61*3809.53)*G61)),IF(AND(F61="LAIT",E61="CLIENT S+D"),((S61*952.4)-((S61*952.4)*G61)),IF(AND(E61="CLIENT S",F61="LAIT"),((S61*952.4)-((S61*952.4)*G61)),IF(AND(F61="HUILE",E61="CLIENT S"),(VLOOKUP(H61,'BASE '!$I$112:$J$142,2,0)+(VLOOKUP(S61,'BASE '!#REF!,2,0)))-(G61*((VLOOKUP(S61,'BASE '!#REF!,2,0)+(VLOOKUP(H61,'BASE '!$I$112:$J$142,2,0))))))))))))))))</f>
        <v>0</v>
      </c>
      <c r="P61" s="52" t="b">
        <f t="shared" si="1"/>
        <v>0</v>
      </c>
      <c r="Q61" s="53" t="b">
        <f t="shared" si="2"/>
        <v>0</v>
      </c>
      <c r="R61" s="152" t="s">
        <v>175</v>
      </c>
      <c r="S61" s="184">
        <f t="shared" si="6"/>
        <v>0</v>
      </c>
      <c r="T61" s="124"/>
      <c r="U61" s="41" t="s">
        <v>175</v>
      </c>
      <c r="V61" s="70" t="e">
        <f>VLOOKUP(U61,'BASE '!$A$4:$H$144,2,0)</f>
        <v>#N/A</v>
      </c>
      <c r="W61" s="159"/>
      <c r="X61" s="159"/>
      <c r="Y61" s="160"/>
      <c r="Z61" s="158" t="e">
        <f>VLOOKUP(U61,'BASE '!$A$4:$H$144,3,0)</f>
        <v>#N/A</v>
      </c>
      <c r="AA61" s="94" t="e">
        <f t="shared" si="3"/>
        <v>#N/A</v>
      </c>
      <c r="AB61" s="95" t="e">
        <f>VLOOKUP(U61,'BASE '!$A$4:$H$144,6,0)*Y61/100</f>
        <v>#N/A</v>
      </c>
      <c r="AC61" s="95" t="e">
        <f>VLOOKUP(U61,'BASE '!$A$4:$H$144,7,0)*Y61/100</f>
        <v>#N/A</v>
      </c>
      <c r="AD61" s="95" t="e">
        <f>VLOOKUP(U61,'BASE '!$A$4:$H$144,8,0)*Y61/100</f>
        <v>#N/A</v>
      </c>
      <c r="AE61" s="96" t="e">
        <f t="shared" si="7"/>
        <v>#N/A</v>
      </c>
      <c r="AF61" s="431"/>
      <c r="AG61" s="91" t="s">
        <v>157</v>
      </c>
      <c r="AH61" s="36" t="e">
        <f>SUMIFS($H$6:$H$165,$D$6:$D$165,AF61,CHOIX,AG61)</f>
        <v>#NAME?</v>
      </c>
      <c r="AI61" s="36" t="e">
        <f>SUMIFS($I$6:$I$165,$D$6:$D$165,AF61,CHOIX,AG61)</f>
        <v>#NAME?</v>
      </c>
      <c r="AJ61" s="36" t="e">
        <f>SUMIFS($J$6:$J$165,$D$6:$D$165,AF61,CHOIX,AG61)</f>
        <v>#NAME?</v>
      </c>
      <c r="AK61" s="36" t="e">
        <f>SUMIFS($K$6:$K$165,$D$6:$D$165,AF61,CHOIX,AG61)</f>
        <v>#NAME?</v>
      </c>
      <c r="AL61" s="36" t="e">
        <f>SUMIFS($L$6:$L$165,$D$6:$D$165,AF61,CHOIX,AG61)</f>
        <v>#NAME?</v>
      </c>
      <c r="AM61" s="36" t="e">
        <f>SUMIFS($M$6:$M$165,$D$6:$D$165,AF61,CHOIX,AG61)</f>
        <v>#NAME?</v>
      </c>
      <c r="AN61" s="91" t="s">
        <v>157</v>
      </c>
      <c r="AO61" s="83"/>
      <c r="AP61" s="63"/>
      <c r="AQ61" s="63"/>
      <c r="AR61" s="63"/>
      <c r="AS61" s="79"/>
      <c r="AT61" s="79"/>
      <c r="AU61" s="55" t="e">
        <f>SUMIFS($O$6:$O$165,$D$6:$D$165,AF61,CHOIX,AG61)</f>
        <v>#NAME?</v>
      </c>
      <c r="AV61" s="80" t="e">
        <f>SUMIFS($Q$6:$Q$165,$D$6:$D$165,AF61,CHOIX,AG61)</f>
        <v>#NAME?</v>
      </c>
      <c r="AZ61" s="218"/>
      <c r="BA61" s="217"/>
      <c r="BB61" s="217"/>
      <c r="BC61" s="217"/>
      <c r="BD61" s="217"/>
      <c r="BE61" s="217"/>
      <c r="BF61" s="217"/>
      <c r="BG61" s="217"/>
      <c r="BH61" s="217"/>
      <c r="BI61" s="217"/>
      <c r="BJ61" s="217"/>
      <c r="BK61" s="217"/>
      <c r="BL61" s="217"/>
      <c r="BM61" s="155">
        <f t="shared" si="8"/>
        <v>0</v>
      </c>
      <c r="BN61" s="106">
        <f t="shared" si="9"/>
        <v>0</v>
      </c>
      <c r="BO61" s="157"/>
      <c r="DN61" s="116" t="e">
        <f>(($I$5*#REF!)/100)+((#REF!*$J$5)/100)+(($K$5*#REF!)/100)+($L$5*#REF!)+($M$5*#REF!)</f>
        <v>#REF!</v>
      </c>
    </row>
    <row r="62" spans="2:118" ht="15.6" thickTop="1" thickBot="1" x14ac:dyDescent="0.35">
      <c r="B62" s="64"/>
      <c r="C62" s="148"/>
      <c r="D62" s="109"/>
      <c r="E62" s="63"/>
      <c r="F62" s="127"/>
      <c r="G62" s="50"/>
      <c r="H62" s="10"/>
      <c r="I62" s="10"/>
      <c r="J62" s="10"/>
      <c r="K62" s="10"/>
      <c r="L62" s="10"/>
      <c r="M62" s="39"/>
      <c r="N62" s="33">
        <f t="shared" si="0"/>
        <v>0</v>
      </c>
      <c r="O62" s="52" t="b">
        <f>IF(AND(E62="CLIENT S+L",F62="HUILE"),(S62*3333.33+(VLOOKUP(H62,'BASE '!$I$112:$J$142,2,0)))-((S62*3333.33)*G62),IF(AND(E62="CLIENT S+L",F62="LAIT"),((S62*952.4)-(S62*952.4)*G62),IF(E62="CLIENT O","OFFERT",IF(AND(F62="HUILE",E62="CLIENT L"),(((VLOOKUP(H62,'BASE '!$I$112:$J$142,2,0))+(VLOOKUP(S62,'BASE '!#REF!,2,0)))),IF(AND(F62="LAIT",E62="CLIENT L"),(S62*952.4),IF(AND(F62="HUILE",E62="CLIENT D"),(S62*3809.53+(VLOOKUP(H62,'BASE '!$I$112:$J$142,2,0))),IF(AND(F62="LAIT",E62="CLIENT D"),(S62*952.4),IF(AND(F62="HUILE",E62="CLIENT S+D"),((S62*3809.53+(VLOOKUP(H62,'BASE '!$I$112:$J$142,2,0)))-((S62*3809.53)*G62)),IF(AND(F62="LAIT",E62="CLIENT S+D"),((S62*952.4)-((S62*952.4)*G62)),IF(AND(E62="CLIENT S",F62="LAIT"),((S62*952.4)-((S62*952.4)*G62)),IF(AND(F62="HUILE",E62="CLIENT S"),(VLOOKUP(H62,'BASE '!$I$112:$J$142,2,0)+(VLOOKUP(S62,'BASE '!#REF!,2,0)))-(G62*((VLOOKUP(S62,'BASE '!#REF!,2,0)+(VLOOKUP(H62,'BASE '!$I$112:$J$142,2,0))))))))))))))))</f>
        <v>0</v>
      </c>
      <c r="P62" s="52" t="b">
        <f t="shared" si="1"/>
        <v>0</v>
      </c>
      <c r="Q62" s="53" t="b">
        <f t="shared" si="2"/>
        <v>0</v>
      </c>
      <c r="R62" s="152" t="s">
        <v>175</v>
      </c>
      <c r="S62" s="184">
        <f t="shared" si="6"/>
        <v>0</v>
      </c>
      <c r="T62" s="124"/>
      <c r="U62" s="41" t="s">
        <v>175</v>
      </c>
      <c r="V62" s="70" t="e">
        <f>VLOOKUP(U62,'BASE '!$A$4:$H$144,2,0)</f>
        <v>#N/A</v>
      </c>
      <c r="W62" s="159"/>
      <c r="X62" s="159"/>
      <c r="Y62" s="160"/>
      <c r="Z62" s="158" t="e">
        <f>VLOOKUP(U62,'BASE '!$A$4:$H$144,3,0)</f>
        <v>#N/A</v>
      </c>
      <c r="AA62" s="94" t="e">
        <f t="shared" si="3"/>
        <v>#N/A</v>
      </c>
      <c r="AB62" s="95" t="e">
        <f>VLOOKUP(U62,'BASE '!$A$4:$H$144,6,0)*Y62/100</f>
        <v>#N/A</v>
      </c>
      <c r="AC62" s="95" t="e">
        <f>VLOOKUP(U62,'BASE '!$A$4:$H$144,7,0)*Y62/100</f>
        <v>#N/A</v>
      </c>
      <c r="AD62" s="95" t="e">
        <f>VLOOKUP(U62,'BASE '!$A$4:$H$144,8,0)*Y62/100</f>
        <v>#N/A</v>
      </c>
      <c r="AE62" s="96" t="e">
        <f t="shared" si="7"/>
        <v>#N/A</v>
      </c>
      <c r="AF62" s="431"/>
      <c r="AG62" s="1" t="s">
        <v>155</v>
      </c>
      <c r="AH62" s="36" t="e">
        <f>SUMIFS($H$6:$H$165,$D$6:$D$165,AF61,CHOIX,AG62)</f>
        <v>#NAME?</v>
      </c>
      <c r="AI62" s="36" t="e">
        <f>SUMIFS($I$6:$I$165,$D$6:$D$165,AF61,CHOIX,AG62)</f>
        <v>#NAME?</v>
      </c>
      <c r="AJ62" s="36" t="e">
        <f>SUMIFS($J$6:$J$165,$D$6:$D$165,AF61,CHOIX,AG62)</f>
        <v>#NAME?</v>
      </c>
      <c r="AK62" s="36" t="e">
        <f>SUMIFS($K$6:$K$165,$D$6:$D$165,AF61,CHOIX,AG62)</f>
        <v>#NAME?</v>
      </c>
      <c r="AL62" s="36" t="e">
        <f>SUMIFS($L$6:$L$165,$D$6:$D$165,AF61,CHOIX,AG62)</f>
        <v>#NAME?</v>
      </c>
      <c r="AM62" s="36" t="e">
        <f>SUMIFS($M$6:$M$165,$D$6:$D$165,AF61,CHOIX,AG62)</f>
        <v>#NAME?</v>
      </c>
      <c r="AN62" s="1" t="s">
        <v>155</v>
      </c>
      <c r="AO62" s="83"/>
      <c r="AP62" s="63"/>
      <c r="AQ62" s="63"/>
      <c r="AR62" s="63"/>
      <c r="AS62" s="79"/>
      <c r="AT62" s="79"/>
      <c r="AU62" s="55" t="e">
        <f>SUMIFS($O$6:$O$165,$D$6:$D$165,AF61,CHOIX,AG62)</f>
        <v>#NAME?</v>
      </c>
      <c r="AV62" s="80" t="e">
        <f>SUMIFS($Q$6:$Q$165,$D$6:$D$165,AF61,CHOIX,AG62)</f>
        <v>#NAME?</v>
      </c>
      <c r="AZ62" s="13" t="s">
        <v>62</v>
      </c>
      <c r="BA62" s="469">
        <f>SUM(BA6:BA61)</f>
        <v>0</v>
      </c>
      <c r="BB62" s="469"/>
      <c r="BC62" s="469"/>
      <c r="BD62" s="469"/>
      <c r="BE62" s="469"/>
      <c r="BF62" s="469"/>
      <c r="BG62" s="469"/>
      <c r="BH62" s="469"/>
      <c r="BI62" s="469"/>
      <c r="BJ62" s="469"/>
      <c r="BK62" s="469"/>
      <c r="BL62" s="469"/>
      <c r="BM62" s="469"/>
      <c r="BN62" s="469"/>
      <c r="BO62" s="469"/>
      <c r="DN62" s="116" t="e">
        <f>(($I$5*#REF!)/100)+((#REF!*$J$5)/100)+(($K$5*#REF!)/100)+($L$5*#REF!)+($M$5*#REF!)</f>
        <v>#REF!</v>
      </c>
    </row>
    <row r="63" spans="2:118" ht="15" thickBot="1" x14ac:dyDescent="0.35">
      <c r="B63" s="64"/>
      <c r="C63" s="148"/>
      <c r="D63" s="109"/>
      <c r="E63" s="63"/>
      <c r="F63" s="127"/>
      <c r="G63" s="50"/>
      <c r="H63" s="10"/>
      <c r="I63" s="10"/>
      <c r="J63" s="10"/>
      <c r="K63" s="10"/>
      <c r="L63" s="10"/>
      <c r="M63" s="39"/>
      <c r="N63" s="33">
        <f t="shared" si="0"/>
        <v>0</v>
      </c>
      <c r="O63" s="52" t="b">
        <f>IF(AND(E63="CLIENT S+L",F63="HUILE"),(S63*3333.33+(VLOOKUP(H63,'BASE '!$I$112:$J$142,2,0)))-((S63*3333.33)*G63),IF(AND(E63="CLIENT S+L",F63="LAIT"),((S63*952.4)-(S63*952.4)*G63),IF(E63="CLIENT O","OFFERT",IF(AND(F63="HUILE",E63="CLIENT L"),(((VLOOKUP(H63,'BASE '!$I$112:$J$142,2,0))+(VLOOKUP(S63,'BASE '!#REF!,2,0)))),IF(AND(F63="LAIT",E63="CLIENT L"),(S63*952.4),IF(AND(F63="HUILE",E63="CLIENT D"),(S63*3809.53+(VLOOKUP(H63,'BASE '!$I$112:$J$142,2,0))),IF(AND(F63="LAIT",E63="CLIENT D"),(S63*952.4),IF(AND(F63="HUILE",E63="CLIENT S+D"),((S63*3809.53+(VLOOKUP(H63,'BASE '!$I$112:$J$142,2,0)))-((S63*3809.53)*G63)),IF(AND(F63="LAIT",E63="CLIENT S+D"),((S63*952.4)-((S63*952.4)*G63)),IF(AND(E63="CLIENT S",F63="LAIT"),((S63*952.4)-((S63*952.4)*G63)),IF(AND(F63="HUILE",E63="CLIENT S"),(VLOOKUP(H63,'BASE '!$I$112:$J$142,2,0)+(VLOOKUP(S63,'BASE '!#REF!,2,0)))-(G63*((VLOOKUP(S63,'BASE '!#REF!,2,0)+(VLOOKUP(H63,'BASE '!$I$112:$J$142,2,0))))))))))))))))</f>
        <v>0</v>
      </c>
      <c r="P63" s="52" t="b">
        <f t="shared" si="1"/>
        <v>0</v>
      </c>
      <c r="Q63" s="53" t="b">
        <f t="shared" si="2"/>
        <v>0</v>
      </c>
      <c r="R63" s="152" t="s">
        <v>175</v>
      </c>
      <c r="S63" s="184">
        <f t="shared" si="6"/>
        <v>0</v>
      </c>
      <c r="T63" s="124"/>
      <c r="U63" s="41" t="s">
        <v>175</v>
      </c>
      <c r="V63" s="70" t="e">
        <f>VLOOKUP(U63,'BASE '!$A$4:$H$144,2,0)</f>
        <v>#N/A</v>
      </c>
      <c r="W63" s="159"/>
      <c r="X63" s="159"/>
      <c r="Y63" s="160"/>
      <c r="Z63" s="158" t="e">
        <f>VLOOKUP(U63,'BASE '!$A$4:$H$144,3,0)</f>
        <v>#N/A</v>
      </c>
      <c r="AA63" s="94" t="e">
        <f t="shared" si="3"/>
        <v>#N/A</v>
      </c>
      <c r="AB63" s="95" t="e">
        <f>VLOOKUP(U63,'BASE '!$A$4:$H$144,6,0)*Y63/100</f>
        <v>#N/A</v>
      </c>
      <c r="AC63" s="95" t="e">
        <f>VLOOKUP(U63,'BASE '!$A$4:$H$144,7,0)*Y63/100</f>
        <v>#N/A</v>
      </c>
      <c r="AD63" s="95" t="e">
        <f>VLOOKUP(U63,'BASE '!$A$4:$H$144,8,0)*Y63/100</f>
        <v>#N/A</v>
      </c>
      <c r="AE63" s="96" t="e">
        <f t="shared" si="7"/>
        <v>#N/A</v>
      </c>
      <c r="AF63" s="431"/>
      <c r="AG63" s="91" t="s">
        <v>157</v>
      </c>
      <c r="AH63" s="36" t="e">
        <f>SUMIFS($H$6:$H$165,$D$6:$D$165,AF63,CHOIX,AG63)</f>
        <v>#NAME?</v>
      </c>
      <c r="AI63" s="36" t="e">
        <f>SUMIFS($I$6:$I$165,$D$6:$D$165,AF63,CHOIX,AG63)</f>
        <v>#NAME?</v>
      </c>
      <c r="AJ63" s="36" t="e">
        <f>SUMIFS($J$6:$J$165,$D$6:$D$165,AF63,CHOIX,AG63)</f>
        <v>#NAME?</v>
      </c>
      <c r="AK63" s="36" t="e">
        <f>SUMIFS($K$6:$K$165,$D$6:$D$165,AF63,CHOIX,AG63)</f>
        <v>#NAME?</v>
      </c>
      <c r="AL63" s="36" t="e">
        <f>SUMIFS($L$6:$L$165,$D$6:$D$165,AF63,CHOIX,AG63)</f>
        <v>#NAME?</v>
      </c>
      <c r="AM63" s="36" t="e">
        <f>SUMIFS($M$6:$M$165,$D$6:$D$165,AF63,CHOIX,AG63)</f>
        <v>#NAME?</v>
      </c>
      <c r="AN63" s="91" t="s">
        <v>157</v>
      </c>
      <c r="AO63" s="83"/>
      <c r="AP63" s="63"/>
      <c r="AQ63" s="63"/>
      <c r="AR63" s="63"/>
      <c r="AS63" s="79"/>
      <c r="AT63" s="79"/>
      <c r="AU63" s="55" t="e">
        <f>SUMIFS($O$6:$O$165,$D$6:$D$165,AF63,CHOIX,AG63)</f>
        <v>#NAME?</v>
      </c>
      <c r="AV63" s="80" t="e">
        <f>SUMIFS($Q$6:$Q$165,$D$6:$D$165,AF63,CHOIX,AG63)</f>
        <v>#NAME?</v>
      </c>
      <c r="AZ63" s="470" t="s">
        <v>61</v>
      </c>
      <c r="BA63" s="470"/>
      <c r="BB63" s="470">
        <f>SUM(BB6:BB61)</f>
        <v>0</v>
      </c>
      <c r="BC63" s="470"/>
      <c r="BD63" s="470"/>
      <c r="BE63" s="470"/>
      <c r="BF63" s="470"/>
      <c r="BG63" s="470"/>
      <c r="BH63" s="470"/>
      <c r="BI63" s="470"/>
      <c r="BJ63" s="470"/>
      <c r="BK63" s="470"/>
      <c r="BL63" s="470"/>
      <c r="BM63" s="470"/>
      <c r="BN63" s="470"/>
      <c r="BO63" s="470"/>
      <c r="DN63" s="116" t="e">
        <f>(($I$5*#REF!)/100)+((#REF!*$J$5)/100)+(($K$5*#REF!)/100)+($L$5*#REF!)+($M$5*#REF!)</f>
        <v>#REF!</v>
      </c>
    </row>
    <row r="64" spans="2:118" ht="15" thickBot="1" x14ac:dyDescent="0.35">
      <c r="B64" s="64"/>
      <c r="C64" s="148"/>
      <c r="D64" s="109"/>
      <c r="E64" s="63"/>
      <c r="F64" s="127"/>
      <c r="G64" s="50"/>
      <c r="H64" s="10"/>
      <c r="I64" s="10"/>
      <c r="J64" s="10"/>
      <c r="K64" s="10"/>
      <c r="L64" s="10"/>
      <c r="M64" s="39"/>
      <c r="N64" s="33">
        <f t="shared" si="0"/>
        <v>0</v>
      </c>
      <c r="O64" s="52" t="b">
        <f>IF(AND(E64="CLIENT S+L",F64="HUILE"),(S64*3333.33+(VLOOKUP(H64,'BASE '!$I$112:$J$142,2,0)))-((S64*3333.33)*G64),IF(AND(E64="CLIENT S+L",F64="LAIT"),((S64*952.4)-(S64*952.4)*G64),IF(E64="CLIENT O","OFFERT",IF(AND(F64="HUILE",E64="CLIENT L"),(((VLOOKUP(H64,'BASE '!$I$112:$J$142,2,0))+(VLOOKUP(S64,'BASE '!#REF!,2,0)))),IF(AND(F64="LAIT",E64="CLIENT L"),(S64*952.4),IF(AND(F64="HUILE",E64="CLIENT D"),(S64*3809.53+(VLOOKUP(H64,'BASE '!$I$112:$J$142,2,0))),IF(AND(F64="LAIT",E64="CLIENT D"),(S64*952.4),IF(AND(F64="HUILE",E64="CLIENT S+D"),((S64*3809.53+(VLOOKUP(H64,'BASE '!$I$112:$J$142,2,0)))-((S64*3809.53)*G64)),IF(AND(F64="LAIT",E64="CLIENT S+D"),((S64*952.4)-((S64*952.4)*G64)),IF(AND(E64="CLIENT S",F64="LAIT"),((S64*952.4)-((S64*952.4)*G64)),IF(AND(F64="HUILE",E64="CLIENT S"),(VLOOKUP(H64,'BASE '!$I$112:$J$142,2,0)+(VLOOKUP(S64,'BASE '!#REF!,2,0)))-(G64*((VLOOKUP(S64,'BASE '!#REF!,2,0)+(VLOOKUP(H64,'BASE '!$I$112:$J$142,2,0))))))))))))))))</f>
        <v>0</v>
      </c>
      <c r="P64" s="52" t="b">
        <f t="shared" si="1"/>
        <v>0</v>
      </c>
      <c r="Q64" s="53" t="b">
        <f t="shared" si="2"/>
        <v>0</v>
      </c>
      <c r="R64" s="152" t="s">
        <v>175</v>
      </c>
      <c r="S64" s="184">
        <f t="shared" si="6"/>
        <v>0</v>
      </c>
      <c r="T64" s="124"/>
      <c r="U64" s="41" t="s">
        <v>175</v>
      </c>
      <c r="V64" s="70" t="e">
        <f>VLOOKUP(U64,'BASE '!$A$4:$H$144,2,0)</f>
        <v>#N/A</v>
      </c>
      <c r="W64" s="159"/>
      <c r="X64" s="159"/>
      <c r="Y64" s="160"/>
      <c r="Z64" s="158" t="e">
        <f>VLOOKUP(U64,'BASE '!$A$4:$H$144,3,0)</f>
        <v>#N/A</v>
      </c>
      <c r="AA64" s="94" t="e">
        <f t="shared" si="3"/>
        <v>#N/A</v>
      </c>
      <c r="AB64" s="95" t="e">
        <f>VLOOKUP(U64,'BASE '!$A$4:$H$144,6,0)*Y64/100</f>
        <v>#N/A</v>
      </c>
      <c r="AC64" s="95" t="e">
        <f>VLOOKUP(U64,'BASE '!$A$4:$H$144,7,0)*Y64/100</f>
        <v>#N/A</v>
      </c>
      <c r="AD64" s="95" t="e">
        <f>VLOOKUP(U64,'BASE '!$A$4:$H$144,8,0)*Y64/100</f>
        <v>#N/A</v>
      </c>
      <c r="AE64" s="96" t="e">
        <f t="shared" si="7"/>
        <v>#N/A</v>
      </c>
      <c r="AF64" s="431"/>
      <c r="AG64" s="1" t="s">
        <v>155</v>
      </c>
      <c r="AH64" s="36" t="e">
        <f>SUMIFS($H$6:$H$165,$D$6:$D$165,AF63,CHOIX,AG64)</f>
        <v>#NAME?</v>
      </c>
      <c r="AI64" s="36" t="e">
        <f>SUMIFS($I$6:$I$165,$D$6:$D$165,AF63,CHOIX,AG64)</f>
        <v>#NAME?</v>
      </c>
      <c r="AJ64" s="36" t="e">
        <f>SUMIFS($J$6:$J$165,$D$6:$D$165,AF63,CHOIX,AG64)</f>
        <v>#NAME?</v>
      </c>
      <c r="AK64" s="36" t="e">
        <f>SUMIFS($K$6:$K$165,$D$6:$D$165,AF63,CHOIX,AG64)</f>
        <v>#NAME?</v>
      </c>
      <c r="AL64" s="36" t="e">
        <f>SUMIFS($L$6:$L$165,$D$6:$D$165,AF63,CHOIX,AG64)</f>
        <v>#NAME?</v>
      </c>
      <c r="AM64" s="36" t="e">
        <f>SUMIFS($M$6:$M$165,$D$6:$D$165,AF63,CHOIX,AG64)</f>
        <v>#NAME?</v>
      </c>
      <c r="AN64" s="1" t="s">
        <v>155</v>
      </c>
      <c r="AO64" s="83"/>
      <c r="AP64" s="63"/>
      <c r="AQ64" s="63"/>
      <c r="AR64" s="63"/>
      <c r="AS64" s="79"/>
      <c r="AT64" s="79"/>
      <c r="AU64" s="55" t="e">
        <f>SUMIFS($O$6:$O$165,$D$6:$D$165,AF63,CHOIX,AG64)</f>
        <v>#NAME?</v>
      </c>
      <c r="AV64" s="80" t="e">
        <f>SUMIFS($Q$6:$Q$165,$D$6:$D$165,AF63,CHOIX,AG64)</f>
        <v>#NAME?</v>
      </c>
      <c r="AZ64" s="470" t="s">
        <v>60</v>
      </c>
      <c r="BA64" s="470"/>
      <c r="BB64" s="470"/>
      <c r="BC64" s="470">
        <f>SUM(BC6:BC61)</f>
        <v>0</v>
      </c>
      <c r="BD64" s="470"/>
      <c r="BE64" s="470"/>
      <c r="BF64" s="470"/>
      <c r="BG64" s="470"/>
      <c r="BH64" s="470"/>
      <c r="BI64" s="470"/>
      <c r="BJ64" s="470"/>
      <c r="BK64" s="470"/>
      <c r="BL64" s="470"/>
      <c r="BM64" s="470"/>
      <c r="BN64" s="470"/>
      <c r="BO64" s="470"/>
      <c r="DN64" s="116" t="e">
        <f>(($I$5*#REF!)/100)+((#REF!*$J$5)/100)+(($K$5*#REF!)/100)+($L$5*#REF!)+($M$5*#REF!)</f>
        <v>#REF!</v>
      </c>
    </row>
    <row r="65" spans="2:118" ht="15" thickBot="1" x14ac:dyDescent="0.35">
      <c r="B65" s="64"/>
      <c r="C65" s="148"/>
      <c r="D65" s="109"/>
      <c r="E65" s="63"/>
      <c r="F65" s="127"/>
      <c r="G65" s="50"/>
      <c r="H65" s="10"/>
      <c r="I65" s="10"/>
      <c r="J65" s="10"/>
      <c r="K65" s="10"/>
      <c r="L65" s="10"/>
      <c r="M65" s="39"/>
      <c r="N65" s="33">
        <f t="shared" si="0"/>
        <v>0</v>
      </c>
      <c r="O65" s="52" t="b">
        <f>IF(AND(E65="CLIENT S+L",F65="HUILE"),(S65*3333.33+(VLOOKUP(H65,'BASE '!$I$112:$J$142,2,0)))-((S65*3333.33)*G65),IF(AND(E65="CLIENT S+L",F65="LAIT"),((S65*952.4)-(S65*952.4)*G65),IF(E65="CLIENT O","OFFERT",IF(AND(F65="HUILE",E65="CLIENT L"),(((VLOOKUP(H65,'BASE '!$I$112:$J$142,2,0))+(VLOOKUP(S65,'BASE '!#REF!,2,0)))),IF(AND(F65="LAIT",E65="CLIENT L"),(S65*952.4),IF(AND(F65="HUILE",E65="CLIENT D"),(S65*3809.53+(VLOOKUP(H65,'BASE '!$I$112:$J$142,2,0))),IF(AND(F65="LAIT",E65="CLIENT D"),(S65*952.4),IF(AND(F65="HUILE",E65="CLIENT S+D"),((S65*3809.53+(VLOOKUP(H65,'BASE '!$I$112:$J$142,2,0)))-((S65*3809.53)*G65)),IF(AND(F65="LAIT",E65="CLIENT S+D"),((S65*952.4)-((S65*952.4)*G65)),IF(AND(E65="CLIENT S",F65="LAIT"),((S65*952.4)-((S65*952.4)*G65)),IF(AND(F65="HUILE",E65="CLIENT S"),(VLOOKUP(H65,'BASE '!$I$112:$J$142,2,0)+(VLOOKUP(S65,'BASE '!#REF!,2,0)))-(G65*((VLOOKUP(S65,'BASE '!#REF!,2,0)+(VLOOKUP(H65,'BASE '!$I$112:$J$142,2,0))))))))))))))))</f>
        <v>0</v>
      </c>
      <c r="P65" s="52" t="b">
        <f t="shared" si="1"/>
        <v>0</v>
      </c>
      <c r="Q65" s="53" t="b">
        <f t="shared" si="2"/>
        <v>0</v>
      </c>
      <c r="R65" s="152" t="s">
        <v>175</v>
      </c>
      <c r="S65" s="184">
        <f t="shared" si="6"/>
        <v>0</v>
      </c>
      <c r="T65" s="124"/>
      <c r="U65" s="41" t="s">
        <v>175</v>
      </c>
      <c r="V65" s="70" t="e">
        <f>VLOOKUP(U65,'BASE '!$A$4:$H$144,2,0)</f>
        <v>#N/A</v>
      </c>
      <c r="W65" s="159"/>
      <c r="X65" s="159"/>
      <c r="Y65" s="160"/>
      <c r="Z65" s="158" t="e">
        <f>VLOOKUP(U65,'BASE '!$A$4:$H$144,3,0)</f>
        <v>#N/A</v>
      </c>
      <c r="AA65" s="94" t="e">
        <f t="shared" si="3"/>
        <v>#N/A</v>
      </c>
      <c r="AB65" s="95" t="e">
        <f>VLOOKUP(U65,'BASE '!$A$4:$H$144,6,0)*Y65/100</f>
        <v>#N/A</v>
      </c>
      <c r="AC65" s="95" t="e">
        <f>VLOOKUP(U65,'BASE '!$A$4:$H$144,7,0)*Y65/100</f>
        <v>#N/A</v>
      </c>
      <c r="AD65" s="95" t="e">
        <f>VLOOKUP(U65,'BASE '!$A$4:$H$144,8,0)*Y65/100</f>
        <v>#N/A</v>
      </c>
      <c r="AE65" s="96" t="e">
        <f t="shared" si="7"/>
        <v>#N/A</v>
      </c>
      <c r="AF65" s="431"/>
      <c r="AG65" s="91" t="s">
        <v>157</v>
      </c>
      <c r="AH65" s="36" t="e">
        <f>SUMIFS($H$6:$H$165,$D$6:$D$165,AF65,CHOIX,AG65)</f>
        <v>#NAME?</v>
      </c>
      <c r="AI65" s="36" t="e">
        <f>SUMIFS($I$6:$I$165,$D$6:$D$165,AF65,CHOIX,AG65)</f>
        <v>#NAME?</v>
      </c>
      <c r="AJ65" s="36" t="e">
        <f>SUMIFS($J$6:$J$165,$D$6:$D$165,AF65,CHOIX,AG65)</f>
        <v>#NAME?</v>
      </c>
      <c r="AK65" s="36" t="e">
        <f>SUMIFS($K$6:$K$165,$D$6:$D$165,AF65,CHOIX,AG65)</f>
        <v>#NAME?</v>
      </c>
      <c r="AL65" s="36" t="e">
        <f>SUMIFS($L$6:$L$165,$D$6:$D$165,AF65,CHOIX,AG65)</f>
        <v>#NAME?</v>
      </c>
      <c r="AM65" s="36" t="e">
        <f>SUMIFS($M$6:$M$165,$D$6:$D$165,AF65,CHOIX,AG65)</f>
        <v>#NAME?</v>
      </c>
      <c r="AN65" s="91" t="s">
        <v>157</v>
      </c>
      <c r="AO65" s="83"/>
      <c r="AP65" s="63"/>
      <c r="AQ65" s="63"/>
      <c r="AR65" s="63"/>
      <c r="AS65" s="79"/>
      <c r="AT65" s="79"/>
      <c r="AU65" s="55" t="e">
        <f>SUMIFS($O$6:$O$165,$D$6:$D$165,AF65,CHOIX,AG65)</f>
        <v>#NAME?</v>
      </c>
      <c r="AV65" s="80" t="e">
        <f>SUMIFS($Q$6:$Q$165,$D$6:$D$165,AF65,CHOIX,AG65)</f>
        <v>#NAME?</v>
      </c>
      <c r="AZ65" s="478" t="s">
        <v>165</v>
      </c>
      <c r="BA65" s="478"/>
      <c r="BB65" s="478"/>
      <c r="BC65" s="478"/>
      <c r="BD65" s="470">
        <f>SUM(BD6:BD61)</f>
        <v>0</v>
      </c>
      <c r="BE65" s="470"/>
      <c r="BF65" s="470"/>
      <c r="BG65" s="470"/>
      <c r="BH65" s="470"/>
      <c r="BI65" s="470"/>
      <c r="BJ65" s="470"/>
      <c r="BK65" s="470"/>
      <c r="BL65" s="470"/>
      <c r="BM65" s="470"/>
      <c r="BN65" s="470"/>
      <c r="BO65" s="470"/>
      <c r="DN65" s="116" t="e">
        <f>(($I$5*#REF!)/100)+((#REF!*$J$5)/100)+(($K$5*#REF!)/100)+($L$5*#REF!)+($M$5*#REF!)</f>
        <v>#REF!</v>
      </c>
    </row>
    <row r="66" spans="2:118" ht="15" thickBot="1" x14ac:dyDescent="0.35">
      <c r="B66" s="64"/>
      <c r="C66" s="148"/>
      <c r="D66" s="109"/>
      <c r="E66" s="63"/>
      <c r="F66" s="127"/>
      <c r="G66" s="50"/>
      <c r="H66" s="10"/>
      <c r="I66" s="10"/>
      <c r="J66" s="10"/>
      <c r="K66" s="10"/>
      <c r="L66" s="10"/>
      <c r="M66" s="39"/>
      <c r="N66" s="33">
        <f t="shared" si="0"/>
        <v>0</v>
      </c>
      <c r="O66" s="52" t="b">
        <f>IF(AND(E66="CLIENT S+L",F66="HUILE"),(S66*3333.33+(VLOOKUP(H66,'BASE '!$I$112:$J$142,2,0)))-((S66*3333.33)*G66),IF(AND(E66="CLIENT S+L",F66="LAIT"),((S66*952.4)-(S66*952.4)*G66),IF(E66="CLIENT O","OFFERT",IF(AND(F66="HUILE",E66="CLIENT L"),(((VLOOKUP(H66,'BASE '!$I$112:$J$142,2,0))+(VLOOKUP(S66,'BASE '!#REF!,2,0)))),IF(AND(F66="LAIT",E66="CLIENT L"),(S66*952.4),IF(AND(F66="HUILE",E66="CLIENT D"),(S66*3809.53+(VLOOKUP(H66,'BASE '!$I$112:$J$142,2,0))),IF(AND(F66="LAIT",E66="CLIENT D"),(S66*952.4),IF(AND(F66="HUILE",E66="CLIENT S+D"),((S66*3809.53+(VLOOKUP(H66,'BASE '!$I$112:$J$142,2,0)))-((S66*3809.53)*G66)),IF(AND(F66="LAIT",E66="CLIENT S+D"),((S66*952.4)-((S66*952.4)*G66)),IF(AND(E66="CLIENT S",F66="LAIT"),((S66*952.4)-((S66*952.4)*G66)),IF(AND(F66="HUILE",E66="CLIENT S"),(VLOOKUP(H66,'BASE '!$I$112:$J$142,2,0)+(VLOOKUP(S66,'BASE '!#REF!,2,0)))-(G66*((VLOOKUP(S66,'BASE '!#REF!,2,0)+(VLOOKUP(H66,'BASE '!$I$112:$J$142,2,0))))))))))))))))</f>
        <v>0</v>
      </c>
      <c r="P66" s="52" t="b">
        <f t="shared" si="1"/>
        <v>0</v>
      </c>
      <c r="Q66" s="53" t="b">
        <f t="shared" si="2"/>
        <v>0</v>
      </c>
      <c r="R66" s="152" t="s">
        <v>175</v>
      </c>
      <c r="S66" s="184">
        <f t="shared" si="6"/>
        <v>0</v>
      </c>
      <c r="T66" s="124"/>
      <c r="U66" s="41" t="s">
        <v>175</v>
      </c>
      <c r="V66" s="70" t="e">
        <f>VLOOKUP(U66,'BASE '!$A$4:$H$144,2,0)</f>
        <v>#N/A</v>
      </c>
      <c r="W66" s="159"/>
      <c r="X66" s="159"/>
      <c r="Y66" s="160"/>
      <c r="Z66" s="158" t="e">
        <f>VLOOKUP(U66,'BASE '!$A$4:$H$144,3,0)</f>
        <v>#N/A</v>
      </c>
      <c r="AA66" s="94" t="e">
        <f t="shared" si="3"/>
        <v>#N/A</v>
      </c>
      <c r="AB66" s="95" t="e">
        <f>VLOOKUP(U66,'BASE '!$A$4:$H$144,6,0)*Y66/100</f>
        <v>#N/A</v>
      </c>
      <c r="AC66" s="95" t="e">
        <f>VLOOKUP(U66,'BASE '!$A$4:$H$144,7,0)*Y66/100</f>
        <v>#N/A</v>
      </c>
      <c r="AD66" s="95" t="e">
        <f>VLOOKUP(U66,'BASE '!$A$4:$H$144,8,0)*Y66/100</f>
        <v>#N/A</v>
      </c>
      <c r="AE66" s="96" t="e">
        <f t="shared" si="7"/>
        <v>#N/A</v>
      </c>
      <c r="AF66" s="431"/>
      <c r="AG66" s="1" t="s">
        <v>155</v>
      </c>
      <c r="AH66" s="36" t="e">
        <f>SUMIFS($H$6:$H$165,$D$6:$D$165,AF65,CHOIX,AG66)</f>
        <v>#NAME?</v>
      </c>
      <c r="AI66" s="36" t="e">
        <f>SUMIFS($I$6:$I$165,$D$6:$D$165,AF65,CHOIX,AG66)</f>
        <v>#NAME?</v>
      </c>
      <c r="AJ66" s="36" t="e">
        <f>SUMIFS($J$6:$J$165,$D$6:$D$165,AF65,CHOIX,AG66)</f>
        <v>#NAME?</v>
      </c>
      <c r="AK66" s="36" t="e">
        <f>SUMIFS($K$6:$K$165,$D$6:$D$165,AF65,CHOIX,AG66)</f>
        <v>#NAME?</v>
      </c>
      <c r="AL66" s="36" t="e">
        <f>SUMIFS($L$6:$L$165,$D$6:$D$165,AF65,CHOIX,AG66)</f>
        <v>#NAME?</v>
      </c>
      <c r="AM66" s="36" t="e">
        <f>SUMIFS($M$6:$M$165,$D$6:$D$165,AF65,CHOIX,AG66)</f>
        <v>#NAME?</v>
      </c>
      <c r="AN66" s="1" t="s">
        <v>155</v>
      </c>
      <c r="AO66" s="83"/>
      <c r="AP66" s="63"/>
      <c r="AQ66" s="63"/>
      <c r="AR66" s="63"/>
      <c r="AS66" s="79"/>
      <c r="AT66" s="79"/>
      <c r="AU66" s="55" t="e">
        <f>SUMIFS($O$6:$O$165,$D$6:$D$165,AF65,CHOIX,AG66)</f>
        <v>#NAME?</v>
      </c>
      <c r="AV66" s="80" t="e">
        <f>SUMIFS($Q$6:$Q$165,$D$6:$D$165,AF65,CHOIX,AG66)</f>
        <v>#NAME?</v>
      </c>
      <c r="AZ66" s="470" t="s">
        <v>166</v>
      </c>
      <c r="BA66" s="470"/>
      <c r="BB66" s="470"/>
      <c r="BC66" s="470"/>
      <c r="BD66" s="470"/>
      <c r="BE66" s="470">
        <f>SUM(BE6:BE61)</f>
        <v>0</v>
      </c>
      <c r="BF66" s="470"/>
      <c r="BG66" s="470"/>
      <c r="BH66" s="470"/>
      <c r="BI66" s="470"/>
      <c r="BJ66" s="470"/>
      <c r="BK66" s="470"/>
      <c r="BL66" s="470"/>
      <c r="BM66" s="470"/>
      <c r="BN66" s="470"/>
      <c r="BO66" s="470"/>
      <c r="DN66" s="116" t="e">
        <f>(($I$5*#REF!)/100)+((#REF!*$J$5)/100)+(($K$5*#REF!)/100)+($L$5*#REF!)+($M$5*#REF!)</f>
        <v>#REF!</v>
      </c>
    </row>
    <row r="67" spans="2:118" ht="15" thickBot="1" x14ac:dyDescent="0.35">
      <c r="B67" s="64"/>
      <c r="C67" s="148"/>
      <c r="D67" s="109"/>
      <c r="E67" s="63"/>
      <c r="F67" s="127"/>
      <c r="G67" s="50"/>
      <c r="H67" s="10"/>
      <c r="I67" s="10"/>
      <c r="J67" s="10"/>
      <c r="K67" s="10"/>
      <c r="L67" s="10"/>
      <c r="M67" s="39"/>
      <c r="N67" s="33">
        <f t="shared" si="0"/>
        <v>0</v>
      </c>
      <c r="O67" s="52" t="b">
        <f>IF(AND(E67="CLIENT S+L",F67="HUILE"),(S67*3333.33+(VLOOKUP(H67,'BASE '!$I$112:$J$142,2,0)))-((S67*3333.33)*G67),IF(AND(E67="CLIENT S+L",F67="LAIT"),((S67*952.4)-(S67*952.4)*G67),IF(E67="CLIENT O","OFFERT",IF(AND(F67="HUILE",E67="CLIENT L"),(((VLOOKUP(H67,'BASE '!$I$112:$J$142,2,0))+(VLOOKUP(S67,'BASE '!#REF!,2,0)))),IF(AND(F67="LAIT",E67="CLIENT L"),(S67*952.4),IF(AND(F67="HUILE",E67="CLIENT D"),(S67*3809.53+(VLOOKUP(H67,'BASE '!$I$112:$J$142,2,0))),IF(AND(F67="LAIT",E67="CLIENT D"),(S67*952.4),IF(AND(F67="HUILE",E67="CLIENT S+D"),((S67*3809.53+(VLOOKUP(H67,'BASE '!$I$112:$J$142,2,0)))-((S67*3809.53)*G67)),IF(AND(F67="LAIT",E67="CLIENT S+D"),((S67*952.4)-((S67*952.4)*G67)),IF(AND(E67="CLIENT S",F67="LAIT"),((S67*952.4)-((S67*952.4)*G67)),IF(AND(F67="HUILE",E67="CLIENT S"),(VLOOKUP(H67,'BASE '!$I$112:$J$142,2,0)+(VLOOKUP(S67,'BASE '!#REF!,2,0)))-(G67*((VLOOKUP(S67,'BASE '!#REF!,2,0)+(VLOOKUP(H67,'BASE '!$I$112:$J$142,2,0))))))))))))))))</f>
        <v>0</v>
      </c>
      <c r="P67" s="52" t="b">
        <f t="shared" si="1"/>
        <v>0</v>
      </c>
      <c r="Q67" s="53" t="b">
        <f t="shared" si="2"/>
        <v>0</v>
      </c>
      <c r="R67" s="152" t="s">
        <v>175</v>
      </c>
      <c r="S67" s="184">
        <f t="shared" si="6"/>
        <v>0</v>
      </c>
      <c r="T67" s="124"/>
      <c r="U67" s="41" t="s">
        <v>175</v>
      </c>
      <c r="V67" s="70" t="e">
        <f>VLOOKUP(U67,'BASE '!$A$4:$H$144,2,0)</f>
        <v>#N/A</v>
      </c>
      <c r="W67" s="159"/>
      <c r="X67" s="159"/>
      <c r="Y67" s="160"/>
      <c r="Z67" s="158" t="e">
        <f>VLOOKUP(U67,'BASE '!$A$4:$H$144,3,0)</f>
        <v>#N/A</v>
      </c>
      <c r="AA67" s="94" t="e">
        <f t="shared" si="3"/>
        <v>#N/A</v>
      </c>
      <c r="AB67" s="95" t="e">
        <f>VLOOKUP(U67,'BASE '!$A$4:$H$144,6,0)*Y67/100</f>
        <v>#N/A</v>
      </c>
      <c r="AC67" s="95" t="e">
        <f>VLOOKUP(U67,'BASE '!$A$4:$H$144,7,0)*Y67/100</f>
        <v>#N/A</v>
      </c>
      <c r="AD67" s="95" t="e">
        <f>VLOOKUP(U67,'BASE '!$A$4:$H$144,8,0)*Y67/100</f>
        <v>#N/A</v>
      </c>
      <c r="AE67" s="96" t="e">
        <f t="shared" si="7"/>
        <v>#N/A</v>
      </c>
      <c r="AF67" s="431"/>
      <c r="AG67" s="91" t="s">
        <v>157</v>
      </c>
      <c r="AH67" s="36" t="e">
        <f>SUMIFS($H$6:$H$165,$D$6:$D$165,AF67,CHOIX,AG67)</f>
        <v>#NAME?</v>
      </c>
      <c r="AI67" s="36" t="e">
        <f>SUMIFS($I$6:$I$165,$D$6:$D$165,AF67,CHOIX,AG67)</f>
        <v>#NAME?</v>
      </c>
      <c r="AJ67" s="36" t="e">
        <f>SUMIFS($J$6:$J$165,$D$6:$D$165,AF67,CHOIX,AG67)</f>
        <v>#NAME?</v>
      </c>
      <c r="AK67" s="36" t="e">
        <f>SUMIFS($K$6:$K$165,$D$6:$D$165,AF67,CHOIX,AG67)</f>
        <v>#NAME?</v>
      </c>
      <c r="AL67" s="36" t="e">
        <f>SUMIFS($L$6:$L$165,$D$6:$D$165,AF67,CHOIX,AG67)</f>
        <v>#NAME?</v>
      </c>
      <c r="AM67" s="36" t="e">
        <f>SUMIFS($M$6:$M$165,$D$6:$D$165,AF67,CHOIX,AG67)</f>
        <v>#NAME?</v>
      </c>
      <c r="AN67" s="91" t="s">
        <v>157</v>
      </c>
      <c r="AO67" s="83"/>
      <c r="AP67" s="63"/>
      <c r="AQ67" s="63"/>
      <c r="AR67" s="63"/>
      <c r="AS67" s="79"/>
      <c r="AT67" s="79"/>
      <c r="AU67" s="55" t="e">
        <f>SUMIFS($O$6:$O$165,$D$6:$D$165,AF67,CHOIX,AG67)</f>
        <v>#NAME?</v>
      </c>
      <c r="AV67" s="80" t="e">
        <f>SUMIFS($Q$6:$Q$165,$D$6:$D$165,AF67,CHOIX,AG67)</f>
        <v>#NAME?</v>
      </c>
      <c r="AZ67" s="470" t="s">
        <v>167</v>
      </c>
      <c r="BA67" s="470"/>
      <c r="BB67" s="470"/>
      <c r="BC67" s="470"/>
      <c r="BD67" s="470"/>
      <c r="BE67" s="470"/>
      <c r="BF67" s="470">
        <f>SUM(BF6:BF61)</f>
        <v>0</v>
      </c>
      <c r="BG67" s="470"/>
      <c r="BH67" s="470"/>
      <c r="BI67" s="470"/>
      <c r="BJ67" s="470"/>
      <c r="BK67" s="470"/>
      <c r="BL67" s="470"/>
      <c r="BM67" s="470"/>
      <c r="BN67" s="470"/>
      <c r="BO67" s="470"/>
      <c r="DN67" s="116" t="e">
        <f>(($I$5*#REF!)/100)+((#REF!*$J$5)/100)+(($K$5*#REF!)/100)+($L$5*#REF!)+($M$5*#REF!)</f>
        <v>#REF!</v>
      </c>
    </row>
    <row r="68" spans="2:118" ht="15" customHeight="1" thickBot="1" x14ac:dyDescent="0.35">
      <c r="B68" s="64"/>
      <c r="C68" s="148"/>
      <c r="D68" s="109"/>
      <c r="E68" s="63"/>
      <c r="F68" s="127"/>
      <c r="G68" s="50"/>
      <c r="H68" s="10"/>
      <c r="I68" s="10"/>
      <c r="J68" s="10"/>
      <c r="K68" s="10"/>
      <c r="L68" s="10"/>
      <c r="M68" s="39"/>
      <c r="N68" s="33">
        <f t="shared" si="0"/>
        <v>0</v>
      </c>
      <c r="O68" s="52" t="b">
        <f>IF(AND(E68="CLIENT S+L",F68="HUILE"),(S68*3333.33+(VLOOKUP(H68,'BASE '!$I$112:$J$142,2,0)))-((S68*3333.33)*G68),IF(AND(E68="CLIENT S+L",F68="LAIT"),((S68*952.4)-(S68*952.4)*G68),IF(E68="CLIENT O","OFFERT",IF(AND(F68="HUILE",E68="CLIENT L"),(((VLOOKUP(H68,'BASE '!$I$112:$J$142,2,0))+(VLOOKUP(S68,'BASE '!#REF!,2,0)))),IF(AND(F68="LAIT",E68="CLIENT L"),(S68*952.4),IF(AND(F68="HUILE",E68="CLIENT D"),(S68*3809.53+(VLOOKUP(H68,'BASE '!$I$112:$J$142,2,0))),IF(AND(F68="LAIT",E68="CLIENT D"),(S68*952.4),IF(AND(F68="HUILE",E68="CLIENT S+D"),((S68*3809.53+(VLOOKUP(H68,'BASE '!$I$112:$J$142,2,0)))-((S68*3809.53)*G68)),IF(AND(F68="LAIT",E68="CLIENT S+D"),((S68*952.4)-((S68*952.4)*G68)),IF(AND(E68="CLIENT S",F68="LAIT"),((S68*952.4)-((S68*952.4)*G68)),IF(AND(F68="HUILE",E68="CLIENT S"),(VLOOKUP(H68,'BASE '!$I$112:$J$142,2,0)+(VLOOKUP(S68,'BASE '!#REF!,2,0)))-(G68*((VLOOKUP(S68,'BASE '!#REF!,2,0)+(VLOOKUP(H68,'BASE '!$I$112:$J$142,2,0))))))))))))))))</f>
        <v>0</v>
      </c>
      <c r="P68" s="52" t="b">
        <f t="shared" si="1"/>
        <v>0</v>
      </c>
      <c r="Q68" s="53" t="b">
        <f t="shared" si="2"/>
        <v>0</v>
      </c>
      <c r="R68" s="152" t="s">
        <v>175</v>
      </c>
      <c r="S68" s="184">
        <f t="shared" si="6"/>
        <v>0</v>
      </c>
      <c r="T68" s="124"/>
      <c r="U68" s="41" t="s">
        <v>175</v>
      </c>
      <c r="V68" s="70" t="e">
        <f>VLOOKUP(U68,'BASE '!$A$4:$H$144,2,0)</f>
        <v>#N/A</v>
      </c>
      <c r="W68" s="159"/>
      <c r="X68" s="159"/>
      <c r="Y68" s="160"/>
      <c r="Z68" s="158" t="e">
        <f>VLOOKUP(U68,'BASE '!$A$4:$H$144,3,0)</f>
        <v>#N/A</v>
      </c>
      <c r="AA68" s="94" t="e">
        <f t="shared" si="3"/>
        <v>#N/A</v>
      </c>
      <c r="AB68" s="95" t="e">
        <f>VLOOKUP(U68,'BASE '!$A$4:$H$144,6,0)*Y68/100</f>
        <v>#N/A</v>
      </c>
      <c r="AC68" s="95" t="e">
        <f>VLOOKUP(U68,'BASE '!$A$4:$H$144,7,0)*Y68/100</f>
        <v>#N/A</v>
      </c>
      <c r="AD68" s="95" t="e">
        <f>VLOOKUP(U68,'BASE '!$A$4:$H$144,8,0)*Y68/100</f>
        <v>#N/A</v>
      </c>
      <c r="AE68" s="96" t="e">
        <f t="shared" si="7"/>
        <v>#N/A</v>
      </c>
      <c r="AF68" s="432"/>
      <c r="AG68" s="92" t="s">
        <v>155</v>
      </c>
      <c r="AH68" s="37" t="e">
        <f>SUMIFS($H$6:$H$165,$D$6:$D$165,AF67,CHOIX,AG68)</f>
        <v>#NAME?</v>
      </c>
      <c r="AI68" s="37" t="e">
        <f>SUMIFS($I$6:$I$165,$D$6:$D$165,AF67,CHOIX,AG68)</f>
        <v>#NAME?</v>
      </c>
      <c r="AJ68" s="37" t="e">
        <f>SUMIFS($J$6:$J$165,$D$6:$D$165,AF67,CHOIX,AG68)</f>
        <v>#NAME?</v>
      </c>
      <c r="AK68" s="37" t="e">
        <f>SUMIFS($K$6:$K$165,$D$6:$D$165,AF67,CHOIX,AG68)</f>
        <v>#NAME?</v>
      </c>
      <c r="AL68" s="37" t="e">
        <f>SUMIFS($L$6:$L$165,$D$6:$D$165,AF67,CHOIX,AG68)</f>
        <v>#NAME?</v>
      </c>
      <c r="AM68" s="37" t="e">
        <f>SUMIFS($M$6:$M$165,$D$6:$D$165,AF67,CHOIX,AG68)</f>
        <v>#NAME?</v>
      </c>
      <c r="AN68" s="92" t="s">
        <v>155</v>
      </c>
      <c r="AO68" s="84"/>
      <c r="AP68" s="44"/>
      <c r="AQ68" s="44"/>
      <c r="AR68" s="44"/>
      <c r="AS68" s="85"/>
      <c r="AT68" s="85"/>
      <c r="AU68" s="56" t="e">
        <f>SUMIFS($O$6:$O$165,$D$6:$D$165,AF67,CHOIX,AG68)</f>
        <v>#NAME?</v>
      </c>
      <c r="AV68" s="86" t="e">
        <f>SUMIFS($Q$6:$Q$165,$D$6:$D$165,AF67,CHOIX,AG68)</f>
        <v>#NAME?</v>
      </c>
      <c r="AZ68" s="470" t="s">
        <v>168</v>
      </c>
      <c r="BA68" s="470"/>
      <c r="BB68" s="470"/>
      <c r="BC68" s="470"/>
      <c r="BD68" s="470"/>
      <c r="BE68" s="470"/>
      <c r="BF68" s="470"/>
      <c r="BG68" s="470">
        <f>SUM(BG6:BG61)</f>
        <v>0</v>
      </c>
      <c r="BH68" s="470"/>
      <c r="BI68" s="470"/>
      <c r="BJ68" s="470"/>
      <c r="BK68" s="470"/>
      <c r="BL68" s="470"/>
      <c r="BM68" s="470"/>
      <c r="BN68" s="470"/>
      <c r="BO68" s="470"/>
      <c r="DN68" s="116" t="e">
        <f>(($I$5*#REF!)/100)+((#REF!*$J$5)/100)+(($K$5*#REF!)/100)+($L$5*#REF!)+($M$5*#REF!)</f>
        <v>#REF!</v>
      </c>
    </row>
    <row r="69" spans="2:118" ht="15" customHeight="1" thickBot="1" x14ac:dyDescent="0.35">
      <c r="B69" s="64"/>
      <c r="C69" s="148"/>
      <c r="D69" s="109"/>
      <c r="E69" s="63"/>
      <c r="F69" s="127"/>
      <c r="G69" s="50"/>
      <c r="H69" s="10"/>
      <c r="I69" s="10"/>
      <c r="J69" s="10"/>
      <c r="K69" s="10"/>
      <c r="L69" s="10"/>
      <c r="M69" s="39"/>
      <c r="N69" s="33">
        <f t="shared" si="0"/>
        <v>0</v>
      </c>
      <c r="O69" s="52" t="b">
        <f>IF(AND(E69="CLIENT S+L",F69="HUILE"),(S69*3333.33+(VLOOKUP(H69,'BASE '!$I$112:$J$142,2,0)))-((S69*3333.33)*G69),IF(AND(E69="CLIENT S+L",F69="LAIT"),((S69*952.4)-(S69*952.4)*G69),IF(E69="CLIENT O","OFFERT",IF(AND(F69="HUILE",E69="CLIENT L"),(((VLOOKUP(H69,'BASE '!$I$112:$J$142,2,0))+(VLOOKUP(S69,'BASE '!#REF!,2,0)))),IF(AND(F69="LAIT",E69="CLIENT L"),(S69*952.4),IF(AND(F69="HUILE",E69="CLIENT D"),(S69*3809.53+(VLOOKUP(H69,'BASE '!$I$112:$J$142,2,0))),IF(AND(F69="LAIT",E69="CLIENT D"),(S69*952.4),IF(AND(F69="HUILE",E69="CLIENT S+D"),((S69*3809.53+(VLOOKUP(H69,'BASE '!$I$112:$J$142,2,0)))-((S69*3809.53)*G69)),IF(AND(F69="LAIT",E69="CLIENT S+D"),((S69*952.4)-((S69*952.4)*G69)),IF(AND(E69="CLIENT S",F69="LAIT"),((S69*952.4)-((S69*952.4)*G69)),IF(AND(F69="HUILE",E69="CLIENT S"),(VLOOKUP(H69,'BASE '!$I$112:$J$142,2,0)+(VLOOKUP(S69,'BASE '!#REF!,2,0)))-(G69*((VLOOKUP(S69,'BASE '!#REF!,2,0)+(VLOOKUP(H69,'BASE '!$I$112:$J$142,2,0))))))))))))))))</f>
        <v>0</v>
      </c>
      <c r="P69" s="52" t="b">
        <f t="shared" si="1"/>
        <v>0</v>
      </c>
      <c r="Q69" s="53" t="b">
        <f t="shared" si="2"/>
        <v>0</v>
      </c>
      <c r="R69" s="152" t="s">
        <v>175</v>
      </c>
      <c r="S69" s="184">
        <f t="shared" si="6"/>
        <v>0</v>
      </c>
      <c r="T69" s="124"/>
      <c r="U69" s="41" t="s">
        <v>175</v>
      </c>
      <c r="V69" s="70" t="e">
        <f>VLOOKUP(U69,'BASE '!$A$4:$H$144,2,0)</f>
        <v>#N/A</v>
      </c>
      <c r="W69" s="159"/>
      <c r="X69" s="159"/>
      <c r="Y69" s="160"/>
      <c r="Z69" s="158" t="e">
        <f>VLOOKUP(U69,'BASE '!$A$4:$H$144,3,0)</f>
        <v>#N/A</v>
      </c>
      <c r="AA69" s="94" t="e">
        <f t="shared" si="3"/>
        <v>#N/A</v>
      </c>
      <c r="AB69" s="95" t="e">
        <f>VLOOKUP(U69,'BASE '!$A$4:$H$144,6,0)*Y69/100</f>
        <v>#N/A</v>
      </c>
      <c r="AC69" s="95" t="e">
        <f>VLOOKUP(U69,'BASE '!$A$4:$H$144,7,0)*Y69/100</f>
        <v>#N/A</v>
      </c>
      <c r="AD69" s="95" t="e">
        <f>VLOOKUP(U69,'BASE '!$A$4:$H$144,8,0)*Y69/100</f>
        <v>#N/A</v>
      </c>
      <c r="AE69" s="96" t="e">
        <f t="shared" si="7"/>
        <v>#N/A</v>
      </c>
      <c r="AF69" s="455" t="s">
        <v>63</v>
      </c>
      <c r="AG69" s="91" t="s">
        <v>157</v>
      </c>
      <c r="AH69" s="87" t="e">
        <f>SUM(AH7,AH9,AH11,AH13,AH15,AH17,AH19,AH21,AH23,AH25,AH27,AH29,AH31,AH33,AH35,AH37,AH39,AH41,AH43,AH45,AH47,AH49,AH51,AH53,AH55,AH57,AH59,AH61,AH63,AH65,AH67)</f>
        <v>#NAME?</v>
      </c>
      <c r="AI69" s="87" t="e">
        <f>SUM(AI7,AI9,AI11,AI13,AI15,AI17,AI19,AI21,AI23,AI25,AI27,AI29,AI31,AI33,AI35,AI37,AI39,AI41,AI43,AI45,AI47,AI49,AI51,AI53,AI55,AI57,AI59,AI61,AI63,AI65,AI67)</f>
        <v>#NAME?</v>
      </c>
      <c r="AJ69" s="87" t="e">
        <f t="shared" ref="AJ69:AT70" si="30">SUM(AJ7,AJ9,AJ11,AJ13,AJ15,AJ17,AJ19,AJ21,AJ23,AJ25,AJ27,AJ29,AJ31,AJ33,AJ35,AJ37,AJ39,AJ41,AJ43,AJ45,AJ47,AJ49,AJ51,AJ53,AJ55,AJ57,AJ59,AJ61,AJ63,AJ65,AJ67)</f>
        <v>#NAME?</v>
      </c>
      <c r="AK69" s="87" t="e">
        <f t="shared" si="30"/>
        <v>#NAME?</v>
      </c>
      <c r="AL69" s="87" t="e">
        <f t="shared" si="30"/>
        <v>#NAME?</v>
      </c>
      <c r="AM69" s="87" t="e">
        <f t="shared" si="30"/>
        <v>#NAME?</v>
      </c>
      <c r="AN69" s="91" t="s">
        <v>157</v>
      </c>
      <c r="AO69" s="87">
        <f t="shared" si="30"/>
        <v>0</v>
      </c>
      <c r="AP69" s="87">
        <f t="shared" si="30"/>
        <v>0</v>
      </c>
      <c r="AQ69" s="87">
        <f t="shared" si="30"/>
        <v>0</v>
      </c>
      <c r="AR69" s="87">
        <f t="shared" si="30"/>
        <v>0</v>
      </c>
      <c r="AS69" s="87">
        <f t="shared" si="30"/>
        <v>0</v>
      </c>
      <c r="AT69" s="87">
        <f t="shared" si="30"/>
        <v>0</v>
      </c>
      <c r="AU69" s="472" t="e">
        <f>SUMIF(AU7:AU68,"&lt;&gt;#N/A")</f>
        <v>#NAME?</v>
      </c>
      <c r="AV69" s="472" t="e">
        <f>SUMIF(AV7:AV68,"&lt;&gt;#N/A")</f>
        <v>#NAME?</v>
      </c>
      <c r="AZ69" s="470" t="s">
        <v>169</v>
      </c>
      <c r="BA69" s="470"/>
      <c r="BB69" s="470"/>
      <c r="BC69" s="470"/>
      <c r="BD69" s="470"/>
      <c r="BE69" s="470"/>
      <c r="BF69" s="470"/>
      <c r="BG69" s="470"/>
      <c r="BH69" s="470">
        <f>SUM(BH6:BH61)</f>
        <v>0</v>
      </c>
      <c r="BI69" s="470"/>
      <c r="BJ69" s="470"/>
      <c r="BK69" s="470"/>
      <c r="BL69" s="470"/>
      <c r="BM69" s="470"/>
      <c r="BN69" s="470"/>
      <c r="BO69" s="470"/>
      <c r="DN69" s="116" t="e">
        <f>(($I$5*#REF!)/100)+((#REF!*$J$5)/100)+(($K$5*#REF!)/100)+($L$5*#REF!)+($M$5*#REF!)</f>
        <v>#REF!</v>
      </c>
    </row>
    <row r="70" spans="2:118" ht="15" customHeight="1" thickBot="1" x14ac:dyDescent="0.35">
      <c r="B70" s="64"/>
      <c r="C70" s="148"/>
      <c r="D70" s="109"/>
      <c r="E70" s="63"/>
      <c r="F70" s="127"/>
      <c r="G70" s="50"/>
      <c r="H70" s="10"/>
      <c r="I70" s="10"/>
      <c r="J70" s="10"/>
      <c r="K70" s="10"/>
      <c r="L70" s="10"/>
      <c r="M70" s="39"/>
      <c r="N70" s="33">
        <f t="shared" ref="N70:N133" si="31">((($H$5*H70)/100)+($I$5*I70)/100)+((J70*$J$5)/100)+(($K$5*K70)/100)+($L$5*L70)+($M$5*M70)</f>
        <v>0</v>
      </c>
      <c r="O70" s="52" t="b">
        <f>IF(AND(E70="CLIENT S+L",F70="HUILE"),(S70*3333.33+(VLOOKUP(H70,'BASE '!$I$112:$J$142,2,0)))-((S70*3333.33)*G70),IF(AND(E70="CLIENT S+L",F70="LAIT"),((S70*952.4)-(S70*952.4)*G70),IF(E70="CLIENT O","OFFERT",IF(AND(F70="HUILE",E70="CLIENT L"),(((VLOOKUP(H70,'BASE '!$I$112:$J$142,2,0))+(VLOOKUP(S70,'BASE '!#REF!,2,0)))),IF(AND(F70="LAIT",E70="CLIENT L"),(S70*952.4),IF(AND(F70="HUILE",E70="CLIENT D"),(S70*3809.53+(VLOOKUP(H70,'BASE '!$I$112:$J$142,2,0))),IF(AND(F70="LAIT",E70="CLIENT D"),(S70*952.4),IF(AND(F70="HUILE",E70="CLIENT S+D"),((S70*3809.53+(VLOOKUP(H70,'BASE '!$I$112:$J$142,2,0)))-((S70*3809.53)*G70)),IF(AND(F70="LAIT",E70="CLIENT S+D"),((S70*952.4)-((S70*952.4)*G70)),IF(AND(E70="CLIENT S",F70="LAIT"),((S70*952.4)-((S70*952.4)*G70)),IF(AND(F70="HUILE",E70="CLIENT S"),(VLOOKUP(H70,'BASE '!$I$112:$J$142,2,0)+(VLOOKUP(S70,'BASE '!#REF!,2,0)))-(G70*((VLOOKUP(S70,'BASE '!#REF!,2,0)+(VLOOKUP(H70,'BASE '!$I$112:$J$142,2,0))))))))))))))))</f>
        <v>0</v>
      </c>
      <c r="P70" s="52" t="b">
        <f t="shared" ref="P70:P133" si="32">IF(E70="CLIENT S+L",(O70*0.05),IF(E70="CLIENT S",(O70*0.05),IF(E70="CLIENT D",(O70*5/100),IF(E70="CLIENT L",(O70*5)/100,IF(E70="CLIENT S+D",(O70*0.05),IF(E70="CLIENT O",O70))))))</f>
        <v>0</v>
      </c>
      <c r="Q70" s="53" t="b">
        <f t="shared" ref="Q70:Q133" si="33">IF(E70="CLIENT S+L",(O70+P70),IF(E70="CLIENT D",O70+P70,IF(E70="CLIENT S",(O70+P70),IF(E70="CLIENT L",O70+P70,IF(E70="CLIENT S+D",(O70+P70),IF(E70="CLIENT O",P70))))))</f>
        <v>0</v>
      </c>
      <c r="R70" s="152" t="s">
        <v>175</v>
      </c>
      <c r="S70" s="184">
        <f t="shared" si="6"/>
        <v>0</v>
      </c>
      <c r="T70" s="124"/>
      <c r="U70" s="41" t="s">
        <v>175</v>
      </c>
      <c r="V70" s="70" t="e">
        <f>VLOOKUP(U70,'BASE '!$A$4:$H$144,2,0)</f>
        <v>#N/A</v>
      </c>
      <c r="W70" s="159"/>
      <c r="X70" s="159"/>
      <c r="Y70" s="160"/>
      <c r="Z70" s="158" t="e">
        <f>VLOOKUP(U70,'BASE '!$A$4:$H$144,3,0)</f>
        <v>#N/A</v>
      </c>
      <c r="AA70" s="94" t="e">
        <f t="shared" ref="AA70:AA133" si="34">(Y70*Z70)/100</f>
        <v>#N/A</v>
      </c>
      <c r="AB70" s="95" t="e">
        <f>VLOOKUP(U70,'BASE '!$A$4:$H$144,6,0)*Y70/100</f>
        <v>#N/A</v>
      </c>
      <c r="AC70" s="95" t="e">
        <f>VLOOKUP(U70,'BASE '!$A$4:$H$144,7,0)*Y70/100</f>
        <v>#N/A</v>
      </c>
      <c r="AD70" s="95" t="e">
        <f>VLOOKUP(U70,'BASE '!$A$4:$H$144,8,0)*Y70/100</f>
        <v>#N/A</v>
      </c>
      <c r="AE70" s="96" t="e">
        <f t="shared" si="7"/>
        <v>#N/A</v>
      </c>
      <c r="AF70" s="456"/>
      <c r="AG70" s="92" t="s">
        <v>155</v>
      </c>
      <c r="AH70" s="87" t="e">
        <f>SUM(AH8,AH10,AH12,AH14,AH16,AH18,AH20,AH22,AH24,AH26,AH28,AH30,AH32,AH34,AH36,AH38,AH40,AH42,AH44,AH46,AH48,AH50,AH52,AH54,AH56,AH58,AH60,AH62,AH64,AH66,AH68)</f>
        <v>#NAME?</v>
      </c>
      <c r="AI70" s="87" t="e">
        <f>SUM(AI8,AI10,AI12,AI14,AI16,AI18,AI20,AI22,AI24,AI26,AI28,AI30,AI32,AI34,AI36,AI38,AI40,AI42,AI44,AI46,AI48,AI50,AI52,AI54,AI56,AI58,AI60,AI62,AI64,AI66,AI68)</f>
        <v>#NAME?</v>
      </c>
      <c r="AJ70" s="87" t="e">
        <f t="shared" si="30"/>
        <v>#NAME?</v>
      </c>
      <c r="AK70" s="87" t="e">
        <f t="shared" si="30"/>
        <v>#NAME?</v>
      </c>
      <c r="AL70" s="87" t="e">
        <f t="shared" si="30"/>
        <v>#NAME?</v>
      </c>
      <c r="AM70" s="87" t="e">
        <f t="shared" si="30"/>
        <v>#NAME?</v>
      </c>
      <c r="AN70" s="92" t="s">
        <v>155</v>
      </c>
      <c r="AO70" s="87">
        <f t="shared" si="30"/>
        <v>0</v>
      </c>
      <c r="AP70" s="87">
        <f t="shared" si="30"/>
        <v>0</v>
      </c>
      <c r="AQ70" s="87">
        <f t="shared" si="30"/>
        <v>0</v>
      </c>
      <c r="AR70" s="87">
        <f t="shared" si="30"/>
        <v>0</v>
      </c>
      <c r="AS70" s="87">
        <f t="shared" si="30"/>
        <v>0</v>
      </c>
      <c r="AT70" s="87">
        <f t="shared" si="30"/>
        <v>0</v>
      </c>
      <c r="AU70" s="473"/>
      <c r="AV70" s="473"/>
      <c r="AZ70" s="471" t="s">
        <v>170</v>
      </c>
      <c r="BA70" s="471"/>
      <c r="BB70" s="471"/>
      <c r="BC70" s="471"/>
      <c r="BD70" s="471"/>
      <c r="BE70" s="471"/>
      <c r="BF70" s="471"/>
      <c r="BG70" s="471"/>
      <c r="BH70" s="471"/>
      <c r="BI70" s="471">
        <f>SUM(BI6:BI61)</f>
        <v>0</v>
      </c>
      <c r="BJ70" s="471"/>
      <c r="BK70" s="471"/>
      <c r="BL70" s="471"/>
      <c r="BM70" s="471"/>
      <c r="BN70" s="471"/>
      <c r="BO70" s="471"/>
      <c r="DN70" s="116" t="e">
        <f>(($I$5*#REF!)/100)+((#REF!*$J$5)/100)+(($K$5*#REF!)/100)+($L$5*#REF!)+($M$5*#REF!)</f>
        <v>#REF!</v>
      </c>
    </row>
    <row r="71" spans="2:118" ht="15" customHeight="1" thickBot="1" x14ac:dyDescent="0.35">
      <c r="B71" s="64"/>
      <c r="C71" s="148"/>
      <c r="D71" s="109"/>
      <c r="E71" s="63"/>
      <c r="F71" s="127"/>
      <c r="G71" s="50"/>
      <c r="H71" s="10"/>
      <c r="I71" s="10"/>
      <c r="J71" s="10"/>
      <c r="K71" s="10"/>
      <c r="L71" s="10"/>
      <c r="M71" s="39"/>
      <c r="N71" s="33">
        <f t="shared" si="31"/>
        <v>0</v>
      </c>
      <c r="O71" s="52" t="b">
        <f>IF(AND(E71="CLIENT S+L",F71="HUILE"),(S71*3333.33+(VLOOKUP(H71,'BASE '!$I$112:$J$142,2,0)))-((S71*3333.33)*G71),IF(AND(E71="CLIENT S+L",F71="LAIT"),((S71*952.4)-(S71*952.4)*G71),IF(E71="CLIENT O","OFFERT",IF(AND(F71="HUILE",E71="CLIENT L"),(((VLOOKUP(H71,'BASE '!$I$112:$J$142,2,0))+(VLOOKUP(S71,'BASE '!#REF!,2,0)))),IF(AND(F71="LAIT",E71="CLIENT L"),(S71*952.4),IF(AND(F71="HUILE",E71="CLIENT D"),(S71*3809.53+(VLOOKUP(H71,'BASE '!$I$112:$J$142,2,0))),IF(AND(F71="LAIT",E71="CLIENT D"),(S71*952.4),IF(AND(F71="HUILE",E71="CLIENT S+D"),((S71*3809.53+(VLOOKUP(H71,'BASE '!$I$112:$J$142,2,0)))-((S71*3809.53)*G71)),IF(AND(F71="LAIT",E71="CLIENT S+D"),((S71*952.4)-((S71*952.4)*G71)),IF(AND(E71="CLIENT S",F71="LAIT"),((S71*952.4)-((S71*952.4)*G71)),IF(AND(F71="HUILE",E71="CLIENT S"),(VLOOKUP(H71,'BASE '!$I$112:$J$142,2,0)+(VLOOKUP(S71,'BASE '!#REF!,2,0)))-(G71*((VLOOKUP(S71,'BASE '!#REF!,2,0)+(VLOOKUP(H71,'BASE '!$I$112:$J$142,2,0))))))))))))))))</f>
        <v>0</v>
      </c>
      <c r="P71" s="52" t="b">
        <f t="shared" si="32"/>
        <v>0</v>
      </c>
      <c r="Q71" s="53" t="b">
        <f t="shared" si="33"/>
        <v>0</v>
      </c>
      <c r="R71" s="152" t="s">
        <v>175</v>
      </c>
      <c r="S71" s="184">
        <f t="shared" ref="S71:S134" si="35">(($I$5*I71)/100)+((J71*$J$5)/100)+(($K$5*K71)/100)+($L$5*L71)+($M$5*M71)</f>
        <v>0</v>
      </c>
      <c r="T71" s="124"/>
      <c r="U71" s="41" t="s">
        <v>175</v>
      </c>
      <c r="V71" s="70" t="e">
        <f>VLOOKUP(U71,'BASE '!$A$4:$H$144,2,0)</f>
        <v>#N/A</v>
      </c>
      <c r="W71" s="159"/>
      <c r="X71" s="159"/>
      <c r="Y71" s="160"/>
      <c r="Z71" s="158" t="e">
        <f>VLOOKUP(U71,'BASE '!$A$4:$H$144,3,0)</f>
        <v>#N/A</v>
      </c>
      <c r="AA71" s="94" t="e">
        <f t="shared" si="34"/>
        <v>#N/A</v>
      </c>
      <c r="AB71" s="95" t="e">
        <f>VLOOKUP(U71,'BASE '!$A$4:$H$144,6,0)*Y71/100</f>
        <v>#N/A</v>
      </c>
      <c r="AC71" s="95" t="e">
        <f>VLOOKUP(U71,'BASE '!$A$4:$H$144,7,0)*Y71/100</f>
        <v>#N/A</v>
      </c>
      <c r="AD71" s="95" t="e">
        <f>VLOOKUP(U71,'BASE '!$A$4:$H$144,8,0)*Y71/100</f>
        <v>#N/A</v>
      </c>
      <c r="AE71" s="96" t="e">
        <f t="shared" ref="AE71:AE134" si="36">AA71+AB71+AC71+AD71</f>
        <v>#N/A</v>
      </c>
      <c r="AF71" s="457" t="s">
        <v>64</v>
      </c>
      <c r="AG71" s="451"/>
      <c r="AH71" s="458"/>
      <c r="AI71" s="462" t="e">
        <f>AV69</f>
        <v>#NAME?</v>
      </c>
      <c r="AJ71" s="463"/>
      <c r="AK71" s="463"/>
      <c r="AL71" s="464"/>
      <c r="AM71" s="88"/>
      <c r="AN71" s="88"/>
      <c r="AO71" s="88"/>
      <c r="AP71" s="88"/>
      <c r="AQ71" s="88"/>
      <c r="AR71" s="88"/>
      <c r="AS71" s="104"/>
      <c r="AT71" s="104"/>
      <c r="AU71" s="105"/>
      <c r="AV71" s="105"/>
      <c r="AZ71" s="471" t="s">
        <v>162</v>
      </c>
      <c r="BA71" s="471"/>
      <c r="BB71" s="471"/>
      <c r="BC71" s="471"/>
      <c r="BD71" s="471"/>
      <c r="BE71" s="471"/>
      <c r="BF71" s="471"/>
      <c r="BG71" s="471"/>
      <c r="BH71" s="471"/>
      <c r="BI71" s="471"/>
      <c r="BJ71" s="471">
        <f>SUM(BJ6:BJ61)</f>
        <v>0</v>
      </c>
      <c r="BK71" s="471"/>
      <c r="BL71" s="471"/>
      <c r="BM71" s="471"/>
      <c r="BN71" s="471"/>
      <c r="BO71" s="471"/>
      <c r="DN71" s="116"/>
    </row>
    <row r="72" spans="2:118" ht="15" customHeight="1" thickBot="1" x14ac:dyDescent="0.35">
      <c r="B72" s="64"/>
      <c r="C72" s="148"/>
      <c r="D72" s="109"/>
      <c r="E72" s="63"/>
      <c r="F72" s="127"/>
      <c r="G72" s="50"/>
      <c r="H72" s="10"/>
      <c r="I72" s="10"/>
      <c r="J72" s="10"/>
      <c r="K72" s="10"/>
      <c r="L72" s="10"/>
      <c r="M72" s="39"/>
      <c r="N72" s="33">
        <f t="shared" si="31"/>
        <v>0</v>
      </c>
      <c r="O72" s="52" t="b">
        <f>IF(AND(E72="CLIENT S+L",F72="HUILE"),(S72*3333.33+(VLOOKUP(H72,'BASE '!$I$112:$J$142,2,0)))-((S72*3333.33)*G72),IF(AND(E72="CLIENT S+L",F72="LAIT"),((S72*952.4)-(S72*952.4)*G72),IF(E72="CLIENT O","OFFERT",IF(AND(F72="HUILE",E72="CLIENT L"),(((VLOOKUP(H72,'BASE '!$I$112:$J$142,2,0))+(VLOOKUP(S72,'BASE '!#REF!,2,0)))),IF(AND(F72="LAIT",E72="CLIENT L"),(S72*952.4),IF(AND(F72="HUILE",E72="CLIENT D"),(S72*3809.53+(VLOOKUP(H72,'BASE '!$I$112:$J$142,2,0))),IF(AND(F72="LAIT",E72="CLIENT D"),(S72*952.4),IF(AND(F72="HUILE",E72="CLIENT S+D"),((S72*3809.53+(VLOOKUP(H72,'BASE '!$I$112:$J$142,2,0)))-((S72*3809.53)*G72)),IF(AND(F72="LAIT",E72="CLIENT S+D"),((S72*952.4)-((S72*952.4)*G72)),IF(AND(E72="CLIENT S",F72="LAIT"),((S72*952.4)-((S72*952.4)*G72)),IF(AND(F72="HUILE",E72="CLIENT S"),(VLOOKUP(H72,'BASE '!$I$112:$J$142,2,0)+(VLOOKUP(S72,'BASE '!#REF!,2,0)))-(G72*((VLOOKUP(S72,'BASE '!#REF!,2,0)+(VLOOKUP(H72,'BASE '!$I$112:$J$142,2,0))))))))))))))))</f>
        <v>0</v>
      </c>
      <c r="P72" s="52" t="b">
        <f t="shared" si="32"/>
        <v>0</v>
      </c>
      <c r="Q72" s="53" t="b">
        <f t="shared" si="33"/>
        <v>0</v>
      </c>
      <c r="R72" s="152" t="s">
        <v>175</v>
      </c>
      <c r="S72" s="184">
        <f t="shared" si="35"/>
        <v>0</v>
      </c>
      <c r="T72" s="124"/>
      <c r="U72" s="41" t="s">
        <v>175</v>
      </c>
      <c r="V72" s="70" t="e">
        <f>VLOOKUP(U72,'BASE '!$A$4:$H$144,2,0)</f>
        <v>#N/A</v>
      </c>
      <c r="W72" s="159"/>
      <c r="X72" s="159"/>
      <c r="Y72" s="160"/>
      <c r="Z72" s="158" t="e">
        <f>VLOOKUP(U72,'BASE '!$A$4:$H$144,3,0)</f>
        <v>#N/A</v>
      </c>
      <c r="AA72" s="94" t="e">
        <f t="shared" si="34"/>
        <v>#N/A</v>
      </c>
      <c r="AB72" s="95" t="e">
        <f>VLOOKUP(U72,'BASE '!$A$4:$H$144,6,0)*Y72/100</f>
        <v>#N/A</v>
      </c>
      <c r="AC72" s="95" t="e">
        <f>VLOOKUP(U72,'BASE '!$A$4:$H$144,7,0)*Y72/100</f>
        <v>#N/A</v>
      </c>
      <c r="AD72" s="95" t="e">
        <f>VLOOKUP(U72,'BASE '!$A$4:$H$144,8,0)*Y72/100</f>
        <v>#N/A</v>
      </c>
      <c r="AE72" s="96" t="e">
        <f t="shared" si="36"/>
        <v>#N/A</v>
      </c>
      <c r="AF72" s="459"/>
      <c r="AG72" s="460"/>
      <c r="AH72" s="461"/>
      <c r="AI72" s="465"/>
      <c r="AJ72" s="466"/>
      <c r="AK72" s="466"/>
      <c r="AL72" s="467"/>
      <c r="AM72" s="89"/>
      <c r="AN72" s="89"/>
      <c r="AO72" s="89"/>
      <c r="AP72" s="89"/>
      <c r="AQ72" s="89"/>
      <c r="AR72" s="89"/>
      <c r="AS72" s="104"/>
      <c r="AT72" s="104"/>
      <c r="AU72" s="105"/>
      <c r="AV72" s="105"/>
      <c r="AZ72" s="471" t="s">
        <v>163</v>
      </c>
      <c r="BA72" s="471"/>
      <c r="BB72" s="471"/>
      <c r="BC72" s="471"/>
      <c r="BD72" s="471"/>
      <c r="BE72" s="471"/>
      <c r="BF72" s="471"/>
      <c r="BG72" s="471"/>
      <c r="BH72" s="471"/>
      <c r="BI72" s="471"/>
      <c r="BJ72" s="471"/>
      <c r="BK72" s="471">
        <f>SUM(BK6:BK61)</f>
        <v>0</v>
      </c>
      <c r="BL72" s="471"/>
      <c r="BM72" s="471"/>
      <c r="BN72" s="471"/>
      <c r="BO72" s="471"/>
      <c r="DN72" s="116"/>
    </row>
    <row r="73" spans="2:118" ht="15" customHeight="1" thickBot="1" x14ac:dyDescent="0.35">
      <c r="B73" s="64"/>
      <c r="C73" s="148"/>
      <c r="D73" s="109"/>
      <c r="E73" s="63"/>
      <c r="F73" s="127"/>
      <c r="G73" s="50"/>
      <c r="H73" s="10"/>
      <c r="I73" s="10"/>
      <c r="J73" s="10"/>
      <c r="K73" s="10"/>
      <c r="L73" s="10"/>
      <c r="M73" s="39"/>
      <c r="N73" s="33">
        <f t="shared" si="31"/>
        <v>0</v>
      </c>
      <c r="O73" s="52" t="b">
        <f>IF(AND(E73="CLIENT S+L",F73="HUILE"),(S73*3333.33+(VLOOKUP(H73,'BASE '!$I$112:$J$142,2,0)))-((S73*3333.33)*G73),IF(AND(E73="CLIENT S+L",F73="LAIT"),((S73*952.4)-(S73*952.4)*G73),IF(E73="CLIENT O","OFFERT",IF(AND(F73="HUILE",E73="CLIENT L"),(((VLOOKUP(H73,'BASE '!$I$112:$J$142,2,0))+(VLOOKUP(S73,'BASE '!#REF!,2,0)))),IF(AND(F73="LAIT",E73="CLIENT L"),(S73*952.4),IF(AND(F73="HUILE",E73="CLIENT D"),(S73*3809.53+(VLOOKUP(H73,'BASE '!$I$112:$J$142,2,0))),IF(AND(F73="LAIT",E73="CLIENT D"),(S73*952.4),IF(AND(F73="HUILE",E73="CLIENT S+D"),((S73*3809.53+(VLOOKUP(H73,'BASE '!$I$112:$J$142,2,0)))-((S73*3809.53)*G73)),IF(AND(F73="LAIT",E73="CLIENT S+D"),((S73*952.4)-((S73*952.4)*G73)),IF(AND(E73="CLIENT S",F73="LAIT"),((S73*952.4)-((S73*952.4)*G73)),IF(AND(F73="HUILE",E73="CLIENT S"),(VLOOKUP(H73,'BASE '!$I$112:$J$142,2,0)+(VLOOKUP(S73,'BASE '!#REF!,2,0)))-(G73*((VLOOKUP(S73,'BASE '!#REF!,2,0)+(VLOOKUP(H73,'BASE '!$I$112:$J$142,2,0))))))))))))))))</f>
        <v>0</v>
      </c>
      <c r="P73" s="52" t="b">
        <f t="shared" si="32"/>
        <v>0</v>
      </c>
      <c r="Q73" s="53" t="b">
        <f t="shared" si="33"/>
        <v>0</v>
      </c>
      <c r="R73" s="152" t="s">
        <v>175</v>
      </c>
      <c r="S73" s="184">
        <f t="shared" si="35"/>
        <v>0</v>
      </c>
      <c r="T73" s="124"/>
      <c r="U73" s="41" t="s">
        <v>175</v>
      </c>
      <c r="V73" s="70" t="e">
        <f>VLOOKUP(U73,'BASE '!$A$4:$H$144,2,0)</f>
        <v>#N/A</v>
      </c>
      <c r="W73" s="159"/>
      <c r="X73" s="159"/>
      <c r="Y73" s="160"/>
      <c r="Z73" s="158" t="e">
        <f>VLOOKUP(U73,'BASE '!$A$4:$H$144,3,0)</f>
        <v>#N/A</v>
      </c>
      <c r="AA73" s="94" t="e">
        <f t="shared" si="34"/>
        <v>#N/A</v>
      </c>
      <c r="AB73" s="95" t="e">
        <f>VLOOKUP(U73,'BASE '!$A$4:$H$144,6,0)*Y73/100</f>
        <v>#N/A</v>
      </c>
      <c r="AC73" s="95" t="e">
        <f>VLOOKUP(U73,'BASE '!$A$4:$H$144,7,0)*Y73/100</f>
        <v>#N/A</v>
      </c>
      <c r="AD73" s="95" t="e">
        <f>VLOOKUP(U73,'BASE '!$A$4:$H$144,8,0)*Y73/100</f>
        <v>#N/A</v>
      </c>
      <c r="AE73" s="96" t="e">
        <f t="shared" si="36"/>
        <v>#N/A</v>
      </c>
      <c r="AS73" s="104"/>
      <c r="AT73" s="104"/>
      <c r="AU73" s="105"/>
      <c r="AV73" s="105"/>
      <c r="AZ73" s="471" t="s">
        <v>164</v>
      </c>
      <c r="BA73" s="471"/>
      <c r="BB73" s="471"/>
      <c r="BC73" s="471"/>
      <c r="BD73" s="471"/>
      <c r="BE73" s="471"/>
      <c r="BF73" s="471"/>
      <c r="BG73" s="471"/>
      <c r="BH73" s="471"/>
      <c r="BI73" s="471"/>
      <c r="BJ73" s="471"/>
      <c r="BK73" s="471"/>
      <c r="BL73" s="471">
        <f>SUM(BL6:BL61)</f>
        <v>0</v>
      </c>
      <c r="BM73" s="471"/>
      <c r="BN73" s="471"/>
      <c r="BO73" s="471"/>
      <c r="DN73" s="116"/>
    </row>
    <row r="74" spans="2:118" ht="15" customHeight="1" thickBot="1" x14ac:dyDescent="0.35">
      <c r="B74" s="64"/>
      <c r="C74" s="148"/>
      <c r="D74" s="109"/>
      <c r="E74" s="63"/>
      <c r="F74" s="127"/>
      <c r="G74" s="50"/>
      <c r="H74" s="10"/>
      <c r="I74" s="10"/>
      <c r="J74" s="10"/>
      <c r="K74" s="10"/>
      <c r="L74" s="10"/>
      <c r="M74" s="39"/>
      <c r="N74" s="33">
        <f t="shared" si="31"/>
        <v>0</v>
      </c>
      <c r="O74" s="52" t="b">
        <f>IF(AND(E74="CLIENT S+L",F74="HUILE"),(S74*3333.33+(VLOOKUP(H74,'BASE '!$I$112:$J$142,2,0)))-((S74*3333.33)*G74),IF(AND(E74="CLIENT S+L",F74="LAIT"),((S74*952.4)-(S74*952.4)*G74),IF(E74="CLIENT O","OFFERT",IF(AND(F74="HUILE",E74="CLIENT L"),(((VLOOKUP(H74,'BASE '!$I$112:$J$142,2,0))+(VLOOKUP(S74,'BASE '!#REF!,2,0)))),IF(AND(F74="LAIT",E74="CLIENT L"),(S74*952.4),IF(AND(F74="HUILE",E74="CLIENT D"),(S74*3809.53+(VLOOKUP(H74,'BASE '!$I$112:$J$142,2,0))),IF(AND(F74="LAIT",E74="CLIENT D"),(S74*952.4),IF(AND(F74="HUILE",E74="CLIENT S+D"),((S74*3809.53+(VLOOKUP(H74,'BASE '!$I$112:$J$142,2,0)))-((S74*3809.53)*G74)),IF(AND(F74="LAIT",E74="CLIENT S+D"),((S74*952.4)-((S74*952.4)*G74)),IF(AND(E74="CLIENT S",F74="LAIT"),((S74*952.4)-((S74*952.4)*G74)),IF(AND(F74="HUILE",E74="CLIENT S"),(VLOOKUP(H74,'BASE '!$I$112:$J$142,2,0)+(VLOOKUP(S74,'BASE '!#REF!,2,0)))-(G74*((VLOOKUP(S74,'BASE '!#REF!,2,0)+(VLOOKUP(H74,'BASE '!$I$112:$J$142,2,0))))))))))))))))</f>
        <v>0</v>
      </c>
      <c r="P74" s="52" t="b">
        <f t="shared" si="32"/>
        <v>0</v>
      </c>
      <c r="Q74" s="53" t="b">
        <f t="shared" si="33"/>
        <v>0</v>
      </c>
      <c r="R74" s="152" t="s">
        <v>175</v>
      </c>
      <c r="S74" s="184">
        <f t="shared" si="35"/>
        <v>0</v>
      </c>
      <c r="T74" s="124"/>
      <c r="U74" s="41" t="s">
        <v>175</v>
      </c>
      <c r="V74" s="70" t="e">
        <f>VLOOKUP(U74,'BASE '!$A$4:$H$144,2,0)</f>
        <v>#N/A</v>
      </c>
      <c r="W74" s="159"/>
      <c r="X74" s="159"/>
      <c r="Y74" s="160"/>
      <c r="Z74" s="158" t="e">
        <f>VLOOKUP(U74,'BASE '!$A$4:$H$144,3,0)</f>
        <v>#N/A</v>
      </c>
      <c r="AA74" s="94" t="e">
        <f t="shared" si="34"/>
        <v>#N/A</v>
      </c>
      <c r="AB74" s="95" t="e">
        <f>VLOOKUP(U74,'BASE '!$A$4:$H$144,6,0)*Y74/100</f>
        <v>#N/A</v>
      </c>
      <c r="AC74" s="95" t="e">
        <f>VLOOKUP(U74,'BASE '!$A$4:$H$144,7,0)*Y74/100</f>
        <v>#N/A</v>
      </c>
      <c r="AD74" s="95" t="e">
        <f>VLOOKUP(U74,'BASE '!$A$4:$H$144,8,0)*Y74/100</f>
        <v>#N/A</v>
      </c>
      <c r="AE74" s="96" t="e">
        <f t="shared" si="36"/>
        <v>#N/A</v>
      </c>
      <c r="AS74" s="104"/>
      <c r="AT74" s="104"/>
      <c r="AU74" s="105"/>
      <c r="AV74" s="105"/>
      <c r="AZ74" s="471" t="s">
        <v>161</v>
      </c>
      <c r="BA74" s="471"/>
      <c r="BB74" s="471"/>
      <c r="BC74" s="471"/>
      <c r="BD74" s="471"/>
      <c r="BE74" s="471"/>
      <c r="BF74" s="471"/>
      <c r="BG74" s="471"/>
      <c r="BH74" s="471"/>
      <c r="BI74" s="471"/>
      <c r="BJ74" s="471"/>
      <c r="BK74" s="471"/>
      <c r="BL74" s="471"/>
      <c r="BM74" s="471">
        <f>SUM(BN6:BN61)</f>
        <v>0</v>
      </c>
      <c r="BN74" s="471"/>
      <c r="BO74" s="471"/>
      <c r="DN74" s="116"/>
    </row>
    <row r="75" spans="2:118" ht="15" customHeight="1" thickBot="1" x14ac:dyDescent="0.35">
      <c r="B75" s="64"/>
      <c r="C75" s="148"/>
      <c r="D75" s="109"/>
      <c r="E75" s="63"/>
      <c r="F75" s="127"/>
      <c r="G75" s="50"/>
      <c r="H75" s="10"/>
      <c r="I75" s="10"/>
      <c r="J75" s="10"/>
      <c r="K75" s="10"/>
      <c r="L75" s="10"/>
      <c r="M75" s="39"/>
      <c r="N75" s="33">
        <f t="shared" si="31"/>
        <v>0</v>
      </c>
      <c r="O75" s="52" t="b">
        <f>IF(AND(E75="CLIENT S+L",F75="HUILE"),(S75*3333.33+(VLOOKUP(H75,'BASE '!$I$112:$J$142,2,0)))-((S75*3333.33)*G75),IF(AND(E75="CLIENT S+L",F75="LAIT"),((S75*952.4)-(S75*952.4)*G75),IF(E75="CLIENT O","OFFERT",IF(AND(F75="HUILE",E75="CLIENT L"),(((VLOOKUP(H75,'BASE '!$I$112:$J$142,2,0))+(VLOOKUP(S75,'BASE '!#REF!,2,0)))),IF(AND(F75="LAIT",E75="CLIENT L"),(S75*952.4),IF(AND(F75="HUILE",E75="CLIENT D"),(S75*3809.53+(VLOOKUP(H75,'BASE '!$I$112:$J$142,2,0))),IF(AND(F75="LAIT",E75="CLIENT D"),(S75*952.4),IF(AND(F75="HUILE",E75="CLIENT S+D"),((S75*3809.53+(VLOOKUP(H75,'BASE '!$I$112:$J$142,2,0)))-((S75*3809.53)*G75)),IF(AND(F75="LAIT",E75="CLIENT S+D"),((S75*952.4)-((S75*952.4)*G75)),IF(AND(E75="CLIENT S",F75="LAIT"),((S75*952.4)-((S75*952.4)*G75)),IF(AND(F75="HUILE",E75="CLIENT S"),(VLOOKUP(H75,'BASE '!$I$112:$J$142,2,0)+(VLOOKUP(S75,'BASE '!#REF!,2,0)))-(G75*((VLOOKUP(S75,'BASE '!#REF!,2,0)+(VLOOKUP(H75,'BASE '!$I$112:$J$142,2,0))))))))))))))))</f>
        <v>0</v>
      </c>
      <c r="P75" s="52" t="b">
        <f t="shared" si="32"/>
        <v>0</v>
      </c>
      <c r="Q75" s="53" t="b">
        <f t="shared" si="33"/>
        <v>0</v>
      </c>
      <c r="R75" s="152" t="s">
        <v>175</v>
      </c>
      <c r="S75" s="184">
        <f t="shared" si="35"/>
        <v>0</v>
      </c>
      <c r="T75" s="124"/>
      <c r="U75" s="41" t="s">
        <v>175</v>
      </c>
      <c r="V75" s="70" t="e">
        <f>VLOOKUP(U75,'BASE '!$A$4:$H$144,2,0)</f>
        <v>#N/A</v>
      </c>
      <c r="W75" s="159"/>
      <c r="X75" s="159"/>
      <c r="Y75" s="160"/>
      <c r="Z75" s="158" t="e">
        <f>VLOOKUP(U75,'BASE '!$A$4:$H$144,3,0)</f>
        <v>#N/A</v>
      </c>
      <c r="AA75" s="94" t="e">
        <f t="shared" si="34"/>
        <v>#N/A</v>
      </c>
      <c r="AB75" s="95" t="e">
        <f>VLOOKUP(U75,'BASE '!$A$4:$H$144,6,0)*Y75/100</f>
        <v>#N/A</v>
      </c>
      <c r="AC75" s="95" t="e">
        <f>VLOOKUP(U75,'BASE '!$A$4:$H$144,7,0)*Y75/100</f>
        <v>#N/A</v>
      </c>
      <c r="AD75" s="95" t="e">
        <f>VLOOKUP(U75,'BASE '!$A$4:$H$144,8,0)*Y75/100</f>
        <v>#N/A</v>
      </c>
      <c r="AE75" s="96" t="e">
        <f t="shared" si="36"/>
        <v>#N/A</v>
      </c>
      <c r="AS75" s="168"/>
      <c r="AT75" s="12"/>
      <c r="AU75" s="12"/>
      <c r="AV75" s="12"/>
      <c r="AZ75" s="470" t="s">
        <v>160</v>
      </c>
      <c r="BA75" s="470"/>
      <c r="BB75" s="470"/>
      <c r="BC75" s="470"/>
      <c r="BD75" s="470"/>
      <c r="BE75" s="470"/>
      <c r="BF75" s="470"/>
      <c r="BG75" s="470"/>
      <c r="BH75" s="470"/>
      <c r="BI75" s="470"/>
      <c r="BJ75" s="470"/>
      <c r="BK75" s="470"/>
      <c r="BL75" s="470"/>
      <c r="BM75" s="470">
        <f>SUM(BM6:BM61)</f>
        <v>0</v>
      </c>
      <c r="BN75" s="470"/>
      <c r="BO75" s="470"/>
      <c r="DN75" s="116" t="e">
        <f>(($I$5*#REF!)/100)+((#REF!*$J$5)/100)+(($K$5*#REF!)/100)+($L$5*#REF!)+($M$5*#REF!)</f>
        <v>#REF!</v>
      </c>
    </row>
    <row r="76" spans="2:118" x14ac:dyDescent="0.3">
      <c r="B76" s="64"/>
      <c r="C76" s="148"/>
      <c r="D76" s="109"/>
      <c r="E76" s="63"/>
      <c r="F76" s="127"/>
      <c r="G76" s="50"/>
      <c r="H76" s="10"/>
      <c r="I76" s="10"/>
      <c r="J76" s="10"/>
      <c r="K76" s="10"/>
      <c r="L76" s="10"/>
      <c r="M76" s="39"/>
      <c r="N76" s="33">
        <f t="shared" si="31"/>
        <v>0</v>
      </c>
      <c r="O76" s="52" t="b">
        <f>IF(AND(E76="CLIENT S+L",F76="HUILE"),(S76*3333.33+(VLOOKUP(H76,'BASE '!$I$112:$J$142,2,0)))-((S76*3333.33)*G76),IF(AND(E76="CLIENT S+L",F76="LAIT"),((S76*952.4)-(S76*952.4)*G76),IF(E76="CLIENT O","OFFERT",IF(AND(F76="HUILE",E76="CLIENT L"),(((VLOOKUP(H76,'BASE '!$I$112:$J$142,2,0))+(VLOOKUP(S76,'BASE '!#REF!,2,0)))),IF(AND(F76="LAIT",E76="CLIENT L"),(S76*952.4),IF(AND(F76="HUILE",E76="CLIENT D"),(S76*3809.53+(VLOOKUP(H76,'BASE '!$I$112:$J$142,2,0))),IF(AND(F76="LAIT",E76="CLIENT D"),(S76*952.4),IF(AND(F76="HUILE",E76="CLIENT S+D"),((S76*3809.53+(VLOOKUP(H76,'BASE '!$I$112:$J$142,2,0)))-((S76*3809.53)*G76)),IF(AND(F76="LAIT",E76="CLIENT S+D"),((S76*952.4)-((S76*952.4)*G76)),IF(AND(E76="CLIENT S",F76="LAIT"),((S76*952.4)-((S76*952.4)*G76)),IF(AND(F76="HUILE",E76="CLIENT S"),(VLOOKUP(H76,'BASE '!$I$112:$J$142,2,0)+(VLOOKUP(S76,'BASE '!#REF!,2,0)))-(G76*((VLOOKUP(S76,'BASE '!#REF!,2,0)+(VLOOKUP(H76,'BASE '!$I$112:$J$142,2,0))))))))))))))))</f>
        <v>0</v>
      </c>
      <c r="P76" s="52" t="b">
        <f t="shared" si="32"/>
        <v>0</v>
      </c>
      <c r="Q76" s="53" t="b">
        <f t="shared" si="33"/>
        <v>0</v>
      </c>
      <c r="R76" s="152" t="s">
        <v>175</v>
      </c>
      <c r="S76" s="184">
        <f t="shared" si="35"/>
        <v>0</v>
      </c>
      <c r="T76" s="124"/>
      <c r="U76" s="41" t="s">
        <v>175</v>
      </c>
      <c r="V76" s="70" t="e">
        <f>VLOOKUP(U76,'BASE '!$A$4:$H$144,2,0)</f>
        <v>#N/A</v>
      </c>
      <c r="W76" s="159"/>
      <c r="X76" s="159"/>
      <c r="Y76" s="160"/>
      <c r="Z76" s="158" t="e">
        <f>VLOOKUP(U76,'BASE '!$A$4:$H$144,3,0)</f>
        <v>#N/A</v>
      </c>
      <c r="AA76" s="94" t="e">
        <f t="shared" si="34"/>
        <v>#N/A</v>
      </c>
      <c r="AB76" s="95" t="e">
        <f>VLOOKUP(U76,'BASE '!$A$4:$H$144,6,0)*Y76/100</f>
        <v>#N/A</v>
      </c>
      <c r="AC76" s="95" t="e">
        <f>VLOOKUP(U76,'BASE '!$A$4:$H$144,7,0)*Y76/100</f>
        <v>#N/A</v>
      </c>
      <c r="AD76" s="95" t="e">
        <f>VLOOKUP(U76,'BASE '!$A$4:$H$144,8,0)*Y76/100</f>
        <v>#N/A</v>
      </c>
      <c r="AE76" s="96" t="e">
        <f t="shared" si="36"/>
        <v>#N/A</v>
      </c>
      <c r="AS76" s="168"/>
      <c r="AT76" s="12"/>
      <c r="AU76" s="12"/>
      <c r="AV76" s="12"/>
      <c r="DN76" s="116" t="e">
        <f>(($I$5*#REF!)/100)+((#REF!*$J$5)/100)+(($K$5*#REF!)/100)+($L$5*#REF!)+($M$5*#REF!)</f>
        <v>#REF!</v>
      </c>
    </row>
    <row r="77" spans="2:118" x14ac:dyDescent="0.3">
      <c r="B77" s="64"/>
      <c r="C77" s="148"/>
      <c r="D77" s="109"/>
      <c r="E77" s="63"/>
      <c r="F77" s="127"/>
      <c r="G77" s="50"/>
      <c r="H77" s="10"/>
      <c r="I77" s="10"/>
      <c r="J77" s="10"/>
      <c r="K77" s="10"/>
      <c r="L77" s="10"/>
      <c r="M77" s="39"/>
      <c r="N77" s="33">
        <f t="shared" si="31"/>
        <v>0</v>
      </c>
      <c r="O77" s="52" t="b">
        <f>IF(AND(E77="CLIENT S+L",F77="HUILE"),(S77*3333.33+(VLOOKUP(H77,'BASE '!$I$112:$J$142,2,0)))-((S77*3333.33)*G77),IF(AND(E77="CLIENT S+L",F77="LAIT"),((S77*952.4)-(S77*952.4)*G77),IF(E77="CLIENT O","OFFERT",IF(AND(F77="HUILE",E77="CLIENT L"),(((VLOOKUP(H77,'BASE '!$I$112:$J$142,2,0))+(VLOOKUP(S77,'BASE '!#REF!,2,0)))),IF(AND(F77="LAIT",E77="CLIENT L"),(S77*952.4),IF(AND(F77="HUILE",E77="CLIENT D"),(S77*3809.53+(VLOOKUP(H77,'BASE '!$I$112:$J$142,2,0))),IF(AND(F77="LAIT",E77="CLIENT D"),(S77*952.4),IF(AND(F77="HUILE",E77="CLIENT S+D"),((S77*3809.53+(VLOOKUP(H77,'BASE '!$I$112:$J$142,2,0)))-((S77*3809.53)*G77)),IF(AND(F77="LAIT",E77="CLIENT S+D"),((S77*952.4)-((S77*952.4)*G77)),IF(AND(E77="CLIENT S",F77="LAIT"),((S77*952.4)-((S77*952.4)*G77)),IF(AND(F77="HUILE",E77="CLIENT S"),(VLOOKUP(H77,'BASE '!$I$112:$J$142,2,0)+(VLOOKUP(S77,'BASE '!#REF!,2,0)))-(G77*((VLOOKUP(S77,'BASE '!#REF!,2,0)+(VLOOKUP(H77,'BASE '!$I$112:$J$142,2,0))))))))))))))))</f>
        <v>0</v>
      </c>
      <c r="P77" s="52" t="b">
        <f t="shared" si="32"/>
        <v>0</v>
      </c>
      <c r="Q77" s="53" t="b">
        <f t="shared" si="33"/>
        <v>0</v>
      </c>
      <c r="R77" s="152" t="s">
        <v>175</v>
      </c>
      <c r="S77" s="184">
        <f t="shared" si="35"/>
        <v>0</v>
      </c>
      <c r="T77" s="124"/>
      <c r="U77" s="41" t="s">
        <v>175</v>
      </c>
      <c r="V77" s="70" t="e">
        <f>VLOOKUP(U77,'BASE '!$A$4:$H$144,2,0)</f>
        <v>#N/A</v>
      </c>
      <c r="W77" s="159"/>
      <c r="X77" s="159"/>
      <c r="Y77" s="160"/>
      <c r="Z77" s="158" t="e">
        <f>VLOOKUP(U77,'BASE '!$A$4:$H$144,3,0)</f>
        <v>#N/A</v>
      </c>
      <c r="AA77" s="94" t="e">
        <f t="shared" si="34"/>
        <v>#N/A</v>
      </c>
      <c r="AB77" s="95" t="e">
        <f>VLOOKUP(U77,'BASE '!$A$4:$H$144,6,0)*Y77/100</f>
        <v>#N/A</v>
      </c>
      <c r="AC77" s="95" t="e">
        <f>VLOOKUP(U77,'BASE '!$A$4:$H$144,7,0)*Y77/100</f>
        <v>#N/A</v>
      </c>
      <c r="AD77" s="95" t="e">
        <f>VLOOKUP(U77,'BASE '!$A$4:$H$144,8,0)*Y77/100</f>
        <v>#N/A</v>
      </c>
      <c r="AE77" s="96" t="e">
        <f t="shared" si="36"/>
        <v>#N/A</v>
      </c>
      <c r="DN77" s="116" t="e">
        <f>(($I$5*#REF!)/100)+((#REF!*$J$5)/100)+(($K$5*#REF!)/100)+($L$5*#REF!)+($M$5*#REF!)</f>
        <v>#REF!</v>
      </c>
    </row>
    <row r="78" spans="2:118" x14ac:dyDescent="0.3">
      <c r="B78" s="64"/>
      <c r="C78" s="148"/>
      <c r="D78" s="109"/>
      <c r="E78" s="63"/>
      <c r="F78" s="127"/>
      <c r="G78" s="50"/>
      <c r="H78" s="10"/>
      <c r="I78" s="10"/>
      <c r="J78" s="10"/>
      <c r="K78" s="10"/>
      <c r="L78" s="10"/>
      <c r="M78" s="39"/>
      <c r="N78" s="33">
        <f t="shared" si="31"/>
        <v>0</v>
      </c>
      <c r="O78" s="52" t="b">
        <f>IF(AND(E78="CLIENT S+L",F78="HUILE"),(S78*3333.33+(VLOOKUP(H78,'BASE '!$I$112:$J$142,2,0)))-((S78*3333.33)*G78),IF(AND(E78="CLIENT S+L",F78="LAIT"),((S78*952.4)-(S78*952.4)*G78),IF(E78="CLIENT O","OFFERT",IF(AND(F78="HUILE",E78="CLIENT L"),(((VLOOKUP(H78,'BASE '!$I$112:$J$142,2,0))+(VLOOKUP(S78,'BASE '!#REF!,2,0)))),IF(AND(F78="LAIT",E78="CLIENT L"),(S78*952.4),IF(AND(F78="HUILE",E78="CLIENT D"),(S78*3809.53+(VLOOKUP(H78,'BASE '!$I$112:$J$142,2,0))),IF(AND(F78="LAIT",E78="CLIENT D"),(S78*952.4),IF(AND(F78="HUILE",E78="CLIENT S+D"),((S78*3809.53+(VLOOKUP(H78,'BASE '!$I$112:$J$142,2,0)))-((S78*3809.53)*G78)),IF(AND(F78="LAIT",E78="CLIENT S+D"),((S78*952.4)-((S78*952.4)*G78)),IF(AND(E78="CLIENT S",F78="LAIT"),((S78*952.4)-((S78*952.4)*G78)),IF(AND(F78="HUILE",E78="CLIENT S"),(VLOOKUP(H78,'BASE '!$I$112:$J$142,2,0)+(VLOOKUP(S78,'BASE '!#REF!,2,0)))-(G78*((VLOOKUP(S78,'BASE '!#REF!,2,0)+(VLOOKUP(H78,'BASE '!$I$112:$J$142,2,0))))))))))))))))</f>
        <v>0</v>
      </c>
      <c r="P78" s="52" t="b">
        <f t="shared" si="32"/>
        <v>0</v>
      </c>
      <c r="Q78" s="53" t="b">
        <f t="shared" si="33"/>
        <v>0</v>
      </c>
      <c r="R78" s="152" t="s">
        <v>175</v>
      </c>
      <c r="S78" s="184">
        <f t="shared" si="35"/>
        <v>0</v>
      </c>
      <c r="T78" s="124"/>
      <c r="U78" s="41" t="s">
        <v>175</v>
      </c>
      <c r="V78" s="70" t="e">
        <f>VLOOKUP(U78,'BASE '!$A$4:$H$144,2,0)</f>
        <v>#N/A</v>
      </c>
      <c r="W78" s="159"/>
      <c r="X78" s="159"/>
      <c r="Y78" s="160"/>
      <c r="Z78" s="158" t="e">
        <f>VLOOKUP(U78,'BASE '!$A$4:$H$144,3,0)</f>
        <v>#N/A</v>
      </c>
      <c r="AA78" s="94" t="e">
        <f t="shared" si="34"/>
        <v>#N/A</v>
      </c>
      <c r="AB78" s="95" t="e">
        <f>VLOOKUP(U78,'BASE '!$A$4:$H$144,6,0)*Y78/100</f>
        <v>#N/A</v>
      </c>
      <c r="AC78" s="95" t="e">
        <f>VLOOKUP(U78,'BASE '!$A$4:$H$144,7,0)*Y78/100</f>
        <v>#N/A</v>
      </c>
      <c r="AD78" s="95" t="e">
        <f>VLOOKUP(U78,'BASE '!$A$4:$H$144,8,0)*Y78/100</f>
        <v>#N/A</v>
      </c>
      <c r="AE78" s="96" t="e">
        <f t="shared" si="36"/>
        <v>#N/A</v>
      </c>
      <c r="DN78" s="116" t="e">
        <f>(($I$5*#REF!)/100)+((#REF!*$J$5)/100)+(($K$5*#REF!)/100)+($L$5*#REF!)+($M$5*#REF!)</f>
        <v>#REF!</v>
      </c>
    </row>
    <row r="79" spans="2:118" x14ac:dyDescent="0.3">
      <c r="B79" s="64"/>
      <c r="C79" s="148"/>
      <c r="D79" s="109"/>
      <c r="E79" s="63"/>
      <c r="F79" s="127"/>
      <c r="G79" s="50"/>
      <c r="H79" s="10"/>
      <c r="I79" s="10"/>
      <c r="J79" s="10"/>
      <c r="K79" s="10"/>
      <c r="L79" s="10"/>
      <c r="M79" s="39"/>
      <c r="N79" s="33">
        <f t="shared" si="31"/>
        <v>0</v>
      </c>
      <c r="O79" s="52" t="b">
        <f>IF(AND(E79="CLIENT S+L",F79="HUILE"),(S79*3333.33+(VLOOKUP(H79,'BASE '!$I$112:$J$142,2,0)))-((S79*3333.33)*G79),IF(AND(E79="CLIENT S+L",F79="LAIT"),((S79*952.4)-(S79*952.4)*G79),IF(E79="CLIENT O","OFFERT",IF(AND(F79="HUILE",E79="CLIENT L"),(((VLOOKUP(H79,'BASE '!$I$112:$J$142,2,0))+(VLOOKUP(S79,'BASE '!#REF!,2,0)))),IF(AND(F79="LAIT",E79="CLIENT L"),(S79*952.4),IF(AND(F79="HUILE",E79="CLIENT D"),(S79*3809.53+(VLOOKUP(H79,'BASE '!$I$112:$J$142,2,0))),IF(AND(F79="LAIT",E79="CLIENT D"),(S79*952.4),IF(AND(F79="HUILE",E79="CLIENT S+D"),((S79*3809.53+(VLOOKUP(H79,'BASE '!$I$112:$J$142,2,0)))-((S79*3809.53)*G79)),IF(AND(F79="LAIT",E79="CLIENT S+D"),((S79*952.4)-((S79*952.4)*G79)),IF(AND(E79="CLIENT S",F79="LAIT"),((S79*952.4)-((S79*952.4)*G79)),IF(AND(F79="HUILE",E79="CLIENT S"),(VLOOKUP(H79,'BASE '!$I$112:$J$142,2,0)+(VLOOKUP(S79,'BASE '!#REF!,2,0)))-(G79*((VLOOKUP(S79,'BASE '!#REF!,2,0)+(VLOOKUP(H79,'BASE '!$I$112:$J$142,2,0))))))))))))))))</f>
        <v>0</v>
      </c>
      <c r="P79" s="52" t="b">
        <f t="shared" si="32"/>
        <v>0</v>
      </c>
      <c r="Q79" s="53" t="b">
        <f t="shared" si="33"/>
        <v>0</v>
      </c>
      <c r="R79" s="152" t="s">
        <v>175</v>
      </c>
      <c r="S79" s="184">
        <f t="shared" si="35"/>
        <v>0</v>
      </c>
      <c r="T79" s="124"/>
      <c r="U79" s="41" t="s">
        <v>175</v>
      </c>
      <c r="V79" s="70" t="e">
        <f>VLOOKUP(U79,'BASE '!$A$4:$H$144,2,0)</f>
        <v>#N/A</v>
      </c>
      <c r="W79" s="159"/>
      <c r="X79" s="159"/>
      <c r="Y79" s="160"/>
      <c r="Z79" s="158" t="e">
        <f>VLOOKUP(U79,'BASE '!$A$4:$H$144,3,0)</f>
        <v>#N/A</v>
      </c>
      <c r="AA79" s="94" t="e">
        <f t="shared" si="34"/>
        <v>#N/A</v>
      </c>
      <c r="AB79" s="95" t="e">
        <f>VLOOKUP(U79,'BASE '!$A$4:$H$144,6,0)*Y79/100</f>
        <v>#N/A</v>
      </c>
      <c r="AC79" s="95" t="e">
        <f>VLOOKUP(U79,'BASE '!$A$4:$H$144,7,0)*Y79/100</f>
        <v>#N/A</v>
      </c>
      <c r="AD79" s="95" t="e">
        <f>VLOOKUP(U79,'BASE '!$A$4:$H$144,8,0)*Y79/100</f>
        <v>#N/A</v>
      </c>
      <c r="AE79" s="96" t="e">
        <f t="shared" si="36"/>
        <v>#N/A</v>
      </c>
      <c r="DN79" s="116" t="e">
        <f>(($I$5*#REF!)/100)+((#REF!*$J$5)/100)+(($K$5*#REF!)/100)+($L$5*#REF!)+($M$5*#REF!)</f>
        <v>#REF!</v>
      </c>
    </row>
    <row r="80" spans="2:118" x14ac:dyDescent="0.3">
      <c r="B80" s="64"/>
      <c r="C80" s="148"/>
      <c r="D80" s="109"/>
      <c r="E80" s="63"/>
      <c r="F80" s="127"/>
      <c r="G80" s="50"/>
      <c r="H80" s="10"/>
      <c r="I80" s="10"/>
      <c r="J80" s="10"/>
      <c r="K80" s="10"/>
      <c r="L80" s="10"/>
      <c r="M80" s="39"/>
      <c r="N80" s="33">
        <f t="shared" si="31"/>
        <v>0</v>
      </c>
      <c r="O80" s="52" t="b">
        <f>IF(AND(E80="CLIENT S+L",F80="HUILE"),(S80*3333.33+(VLOOKUP(H80,'BASE '!$I$112:$J$142,2,0)))-((S80*3333.33)*G80),IF(AND(E80="CLIENT S+L",F80="LAIT"),((S80*952.4)-(S80*952.4)*G80),IF(E80="CLIENT O","OFFERT",IF(AND(F80="HUILE",E80="CLIENT L"),(((VLOOKUP(H80,'BASE '!$I$112:$J$142,2,0))+(VLOOKUP(S80,'BASE '!#REF!,2,0)))),IF(AND(F80="LAIT",E80="CLIENT L"),(S80*952.4),IF(AND(F80="HUILE",E80="CLIENT D"),(S80*3809.53+(VLOOKUP(H80,'BASE '!$I$112:$J$142,2,0))),IF(AND(F80="LAIT",E80="CLIENT D"),(S80*952.4),IF(AND(F80="HUILE",E80="CLIENT S+D"),((S80*3809.53+(VLOOKUP(H80,'BASE '!$I$112:$J$142,2,0)))-((S80*3809.53)*G80)),IF(AND(F80="LAIT",E80="CLIENT S+D"),((S80*952.4)-((S80*952.4)*G80)),IF(AND(E80="CLIENT S",F80="LAIT"),((S80*952.4)-((S80*952.4)*G80)),IF(AND(F80="HUILE",E80="CLIENT S"),(VLOOKUP(H80,'BASE '!$I$112:$J$142,2,0)+(VLOOKUP(S80,'BASE '!#REF!,2,0)))-(G80*((VLOOKUP(S80,'BASE '!#REF!,2,0)+(VLOOKUP(H80,'BASE '!$I$112:$J$142,2,0))))))))))))))))</f>
        <v>0</v>
      </c>
      <c r="P80" s="52" t="b">
        <f t="shared" si="32"/>
        <v>0</v>
      </c>
      <c r="Q80" s="53" t="b">
        <f t="shared" si="33"/>
        <v>0</v>
      </c>
      <c r="R80" s="152" t="s">
        <v>175</v>
      </c>
      <c r="S80" s="184">
        <f t="shared" si="35"/>
        <v>0</v>
      </c>
      <c r="T80" s="124"/>
      <c r="U80" s="41" t="s">
        <v>175</v>
      </c>
      <c r="V80" s="70" t="e">
        <f>VLOOKUP(U80,'BASE '!$A$4:$H$144,2,0)</f>
        <v>#N/A</v>
      </c>
      <c r="W80" s="159"/>
      <c r="X80" s="159"/>
      <c r="Y80" s="160"/>
      <c r="Z80" s="158" t="e">
        <f>VLOOKUP(U80,'BASE '!$A$4:$H$144,3,0)</f>
        <v>#N/A</v>
      </c>
      <c r="AA80" s="94" t="e">
        <f t="shared" si="34"/>
        <v>#N/A</v>
      </c>
      <c r="AB80" s="95" t="e">
        <f>VLOOKUP(U80,'BASE '!$A$4:$H$144,6,0)*Y80/100</f>
        <v>#N/A</v>
      </c>
      <c r="AC80" s="95" t="e">
        <f>VLOOKUP(U80,'BASE '!$A$4:$H$144,7,0)*Y80/100</f>
        <v>#N/A</v>
      </c>
      <c r="AD80" s="95" t="e">
        <f>VLOOKUP(U80,'BASE '!$A$4:$H$144,8,0)*Y80/100</f>
        <v>#N/A</v>
      </c>
      <c r="AE80" s="96" t="e">
        <f t="shared" si="36"/>
        <v>#N/A</v>
      </c>
      <c r="DN80" s="116" t="e">
        <f>(($I$5*#REF!)/100)+((#REF!*$J$5)/100)+(($K$5*#REF!)/100)+($L$5*#REF!)+($M$5*#REF!)</f>
        <v>#REF!</v>
      </c>
    </row>
    <row r="81" spans="2:118" x14ac:dyDescent="0.3">
      <c r="B81" s="64"/>
      <c r="C81" s="148"/>
      <c r="D81" s="109"/>
      <c r="E81" s="63"/>
      <c r="F81" s="127"/>
      <c r="G81" s="50"/>
      <c r="H81" s="10"/>
      <c r="I81" s="10"/>
      <c r="J81" s="10"/>
      <c r="K81" s="10"/>
      <c r="L81" s="10"/>
      <c r="M81" s="39"/>
      <c r="N81" s="33">
        <f t="shared" si="31"/>
        <v>0</v>
      </c>
      <c r="O81" s="52" t="b">
        <f>IF(AND(E81="CLIENT S+L",F81="HUILE"),(S81*3333.33+(VLOOKUP(H81,'BASE '!$I$112:$J$142,2,0)))-((S81*3333.33)*G81),IF(AND(E81="CLIENT S+L",F81="LAIT"),((S81*952.4)-(S81*952.4)*G81),IF(E81="CLIENT O","OFFERT",IF(AND(F81="HUILE",E81="CLIENT L"),(((VLOOKUP(H81,'BASE '!$I$112:$J$142,2,0))+(VLOOKUP(S81,'BASE '!#REF!,2,0)))),IF(AND(F81="LAIT",E81="CLIENT L"),(S81*952.4),IF(AND(F81="HUILE",E81="CLIENT D"),(S81*3809.53+(VLOOKUP(H81,'BASE '!$I$112:$J$142,2,0))),IF(AND(F81="LAIT",E81="CLIENT D"),(S81*952.4),IF(AND(F81="HUILE",E81="CLIENT S+D"),((S81*3809.53+(VLOOKUP(H81,'BASE '!$I$112:$J$142,2,0)))-((S81*3809.53)*G81)),IF(AND(F81="LAIT",E81="CLIENT S+D"),((S81*952.4)-((S81*952.4)*G81)),IF(AND(E81="CLIENT S",F81="LAIT"),((S81*952.4)-((S81*952.4)*G81)),IF(AND(F81="HUILE",E81="CLIENT S"),(VLOOKUP(H81,'BASE '!$I$112:$J$142,2,0)+(VLOOKUP(S81,'BASE '!#REF!,2,0)))-(G81*((VLOOKUP(S81,'BASE '!#REF!,2,0)+(VLOOKUP(H81,'BASE '!$I$112:$J$142,2,0))))))))))))))))</f>
        <v>0</v>
      </c>
      <c r="P81" s="52" t="b">
        <f t="shared" si="32"/>
        <v>0</v>
      </c>
      <c r="Q81" s="53" t="b">
        <f t="shared" si="33"/>
        <v>0</v>
      </c>
      <c r="R81" s="152" t="s">
        <v>175</v>
      </c>
      <c r="S81" s="184">
        <f t="shared" si="35"/>
        <v>0</v>
      </c>
      <c r="T81" s="124"/>
      <c r="U81" s="41" t="s">
        <v>175</v>
      </c>
      <c r="V81" s="70" t="e">
        <f>VLOOKUP(U81,'BASE '!$A$4:$H$144,2,0)</f>
        <v>#N/A</v>
      </c>
      <c r="W81" s="159"/>
      <c r="X81" s="159"/>
      <c r="Y81" s="160"/>
      <c r="Z81" s="158" t="e">
        <f>VLOOKUP(U81,'BASE '!$A$4:$H$144,3,0)</f>
        <v>#N/A</v>
      </c>
      <c r="AA81" s="94" t="e">
        <f t="shared" si="34"/>
        <v>#N/A</v>
      </c>
      <c r="AB81" s="95" t="e">
        <f>VLOOKUP(U81,'BASE '!$A$4:$H$144,6,0)*Y81/100</f>
        <v>#N/A</v>
      </c>
      <c r="AC81" s="95" t="e">
        <f>VLOOKUP(U81,'BASE '!$A$4:$H$144,7,0)*Y81/100</f>
        <v>#N/A</v>
      </c>
      <c r="AD81" s="95" t="e">
        <f>VLOOKUP(U81,'BASE '!$A$4:$H$144,8,0)*Y81/100</f>
        <v>#N/A</v>
      </c>
      <c r="AE81" s="96" t="e">
        <f t="shared" si="36"/>
        <v>#N/A</v>
      </c>
      <c r="DN81" s="116" t="e">
        <f>(($I$5*#REF!)/100)+((#REF!*$J$5)/100)+(($K$5*#REF!)/100)+($L$5*#REF!)+($M$5*#REF!)</f>
        <v>#REF!</v>
      </c>
    </row>
    <row r="82" spans="2:118" x14ac:dyDescent="0.3">
      <c r="B82" s="64"/>
      <c r="C82" s="148"/>
      <c r="D82" s="109"/>
      <c r="E82" s="63"/>
      <c r="F82" s="127"/>
      <c r="G82" s="50"/>
      <c r="H82" s="10"/>
      <c r="I82" s="10"/>
      <c r="J82" s="10"/>
      <c r="K82" s="10"/>
      <c r="L82" s="10"/>
      <c r="M82" s="39"/>
      <c r="N82" s="33">
        <f t="shared" si="31"/>
        <v>0</v>
      </c>
      <c r="O82" s="52" t="b">
        <f>IF(AND(E82="CLIENT S+L",F82="HUILE"),(S82*3333.33+(VLOOKUP(H82,'BASE '!$I$112:$J$142,2,0)))-((S82*3333.33)*G82),IF(AND(E82="CLIENT S+L",F82="LAIT"),((S82*952.4)-(S82*952.4)*G82),IF(E82="CLIENT O","OFFERT",IF(AND(F82="HUILE",E82="CLIENT L"),(((VLOOKUP(H82,'BASE '!$I$112:$J$142,2,0))+(VLOOKUP(S82,'BASE '!#REF!,2,0)))),IF(AND(F82="LAIT",E82="CLIENT L"),(S82*952.4),IF(AND(F82="HUILE",E82="CLIENT D"),(S82*3809.53+(VLOOKUP(H82,'BASE '!$I$112:$J$142,2,0))),IF(AND(F82="LAIT",E82="CLIENT D"),(S82*952.4),IF(AND(F82="HUILE",E82="CLIENT S+D"),((S82*3809.53+(VLOOKUP(H82,'BASE '!$I$112:$J$142,2,0)))-((S82*3809.53)*G82)),IF(AND(F82="LAIT",E82="CLIENT S+D"),((S82*952.4)-((S82*952.4)*G82)),IF(AND(E82="CLIENT S",F82="LAIT"),((S82*952.4)-((S82*952.4)*G82)),IF(AND(F82="HUILE",E82="CLIENT S"),(VLOOKUP(H82,'BASE '!$I$112:$J$142,2,0)+(VLOOKUP(S82,'BASE '!#REF!,2,0)))-(G82*((VLOOKUP(S82,'BASE '!#REF!,2,0)+(VLOOKUP(H82,'BASE '!$I$112:$J$142,2,0))))))))))))))))</f>
        <v>0</v>
      </c>
      <c r="P82" s="52" t="b">
        <f t="shared" si="32"/>
        <v>0</v>
      </c>
      <c r="Q82" s="53" t="b">
        <f t="shared" si="33"/>
        <v>0</v>
      </c>
      <c r="R82" s="152" t="s">
        <v>175</v>
      </c>
      <c r="S82" s="184">
        <f t="shared" si="35"/>
        <v>0</v>
      </c>
      <c r="T82" s="124"/>
      <c r="U82" s="41" t="s">
        <v>175</v>
      </c>
      <c r="V82" s="70" t="e">
        <f>VLOOKUP(U82,'BASE '!$A$4:$H$144,2,0)</f>
        <v>#N/A</v>
      </c>
      <c r="W82" s="159"/>
      <c r="X82" s="159"/>
      <c r="Y82" s="160"/>
      <c r="Z82" s="158" t="e">
        <f>VLOOKUP(U82,'BASE '!$A$4:$H$144,3,0)</f>
        <v>#N/A</v>
      </c>
      <c r="AA82" s="94" t="e">
        <f t="shared" si="34"/>
        <v>#N/A</v>
      </c>
      <c r="AB82" s="95" t="e">
        <f>VLOOKUP(U82,'BASE '!$A$4:$H$144,6,0)*Y82/100</f>
        <v>#N/A</v>
      </c>
      <c r="AC82" s="95" t="e">
        <f>VLOOKUP(U82,'BASE '!$A$4:$H$144,7,0)*Y82/100</f>
        <v>#N/A</v>
      </c>
      <c r="AD82" s="95" t="e">
        <f>VLOOKUP(U82,'BASE '!$A$4:$H$144,8,0)*Y82/100</f>
        <v>#N/A</v>
      </c>
      <c r="AE82" s="96" t="e">
        <f t="shared" si="36"/>
        <v>#N/A</v>
      </c>
      <c r="DN82" s="116" t="e">
        <f>(($I$5*#REF!)/100)+((#REF!*$J$5)/100)+(($K$5*#REF!)/100)+($L$5*#REF!)+($M$5*#REF!)</f>
        <v>#REF!</v>
      </c>
    </row>
    <row r="83" spans="2:118" x14ac:dyDescent="0.3">
      <c r="B83" s="64"/>
      <c r="C83" s="148"/>
      <c r="D83" s="109"/>
      <c r="E83" s="63"/>
      <c r="F83" s="127"/>
      <c r="G83" s="50"/>
      <c r="H83" s="10"/>
      <c r="I83" s="10"/>
      <c r="J83" s="10"/>
      <c r="K83" s="10"/>
      <c r="L83" s="10"/>
      <c r="M83" s="39"/>
      <c r="N83" s="33">
        <f t="shared" si="31"/>
        <v>0</v>
      </c>
      <c r="O83" s="52" t="b">
        <f>IF(AND(E83="CLIENT S+L",F83="HUILE"),(S83*3333.33+(VLOOKUP(H83,'BASE '!$I$112:$J$142,2,0)))-((S83*3333.33)*G83),IF(AND(E83="CLIENT S+L",F83="LAIT"),((S83*952.4)-(S83*952.4)*G83),IF(E83="CLIENT O","OFFERT",IF(AND(F83="HUILE",E83="CLIENT L"),(((VLOOKUP(H83,'BASE '!$I$112:$J$142,2,0))+(VLOOKUP(S83,'BASE '!#REF!,2,0)))),IF(AND(F83="LAIT",E83="CLIENT L"),(S83*952.4),IF(AND(F83="HUILE",E83="CLIENT D"),(S83*3809.53+(VLOOKUP(H83,'BASE '!$I$112:$J$142,2,0))),IF(AND(F83="LAIT",E83="CLIENT D"),(S83*952.4),IF(AND(F83="HUILE",E83="CLIENT S+D"),((S83*3809.53+(VLOOKUP(H83,'BASE '!$I$112:$J$142,2,0)))-((S83*3809.53)*G83)),IF(AND(F83="LAIT",E83="CLIENT S+D"),((S83*952.4)-((S83*952.4)*G83)),IF(AND(E83="CLIENT S",F83="LAIT"),((S83*952.4)-((S83*952.4)*G83)),IF(AND(F83="HUILE",E83="CLIENT S"),(VLOOKUP(H83,'BASE '!$I$112:$J$142,2,0)+(VLOOKUP(S83,'BASE '!#REF!,2,0)))-(G83*((VLOOKUP(S83,'BASE '!#REF!,2,0)+(VLOOKUP(H83,'BASE '!$I$112:$J$142,2,0))))))))))))))))</f>
        <v>0</v>
      </c>
      <c r="P83" s="52" t="b">
        <f t="shared" si="32"/>
        <v>0</v>
      </c>
      <c r="Q83" s="53" t="b">
        <f t="shared" si="33"/>
        <v>0</v>
      </c>
      <c r="R83" s="152" t="s">
        <v>175</v>
      </c>
      <c r="S83" s="184">
        <f t="shared" si="35"/>
        <v>0</v>
      </c>
      <c r="T83" s="124"/>
      <c r="U83" s="41" t="s">
        <v>175</v>
      </c>
      <c r="V83" s="70" t="e">
        <f>VLOOKUP(U83,'BASE '!$A$4:$H$144,2,0)</f>
        <v>#N/A</v>
      </c>
      <c r="W83" s="159"/>
      <c r="X83" s="159"/>
      <c r="Y83" s="160"/>
      <c r="Z83" s="158" t="e">
        <f>VLOOKUP(U83,'BASE '!$A$4:$H$144,3,0)</f>
        <v>#N/A</v>
      </c>
      <c r="AA83" s="94" t="e">
        <f t="shared" si="34"/>
        <v>#N/A</v>
      </c>
      <c r="AB83" s="95" t="e">
        <f>VLOOKUP(U83,'BASE '!$A$4:$H$144,6,0)*Y83/100</f>
        <v>#N/A</v>
      </c>
      <c r="AC83" s="95" t="e">
        <f>VLOOKUP(U83,'BASE '!$A$4:$H$144,7,0)*Y83/100</f>
        <v>#N/A</v>
      </c>
      <c r="AD83" s="95" t="e">
        <f>VLOOKUP(U83,'BASE '!$A$4:$H$144,8,0)*Y83/100</f>
        <v>#N/A</v>
      </c>
      <c r="AE83" s="96" t="e">
        <f t="shared" si="36"/>
        <v>#N/A</v>
      </c>
      <c r="DN83" s="116" t="e">
        <f>(($I$5*#REF!)/100)+((#REF!*$J$5)/100)+(($K$5*#REF!)/100)+($L$5*#REF!)+($M$5*#REF!)</f>
        <v>#REF!</v>
      </c>
    </row>
    <row r="84" spans="2:118" x14ac:dyDescent="0.3">
      <c r="B84" s="64"/>
      <c r="C84" s="148"/>
      <c r="D84" s="109"/>
      <c r="E84" s="63"/>
      <c r="F84" s="127"/>
      <c r="G84" s="50"/>
      <c r="H84" s="10"/>
      <c r="I84" s="10"/>
      <c r="J84" s="10"/>
      <c r="K84" s="10"/>
      <c r="L84" s="10"/>
      <c r="M84" s="39"/>
      <c r="N84" s="33">
        <f t="shared" si="31"/>
        <v>0</v>
      </c>
      <c r="O84" s="52" t="b">
        <f>IF(AND(E84="CLIENT S+L",F84="HUILE"),(S84*3333.33+(VLOOKUP(H84,'BASE '!$I$112:$J$142,2,0)))-((S84*3333.33)*G84),IF(AND(E84="CLIENT S+L",F84="LAIT"),((S84*952.4)-(S84*952.4)*G84),IF(E84="CLIENT O","OFFERT",IF(AND(F84="HUILE",E84="CLIENT L"),(((VLOOKUP(H84,'BASE '!$I$112:$J$142,2,0))+(VLOOKUP(S84,'BASE '!#REF!,2,0)))),IF(AND(F84="LAIT",E84="CLIENT L"),(S84*952.4),IF(AND(F84="HUILE",E84="CLIENT D"),(S84*3809.53+(VLOOKUP(H84,'BASE '!$I$112:$J$142,2,0))),IF(AND(F84="LAIT",E84="CLIENT D"),(S84*952.4),IF(AND(F84="HUILE",E84="CLIENT S+D"),((S84*3809.53+(VLOOKUP(H84,'BASE '!$I$112:$J$142,2,0)))-((S84*3809.53)*G84)),IF(AND(F84="LAIT",E84="CLIENT S+D"),((S84*952.4)-((S84*952.4)*G84)),IF(AND(E84="CLIENT S",F84="LAIT"),((S84*952.4)-((S84*952.4)*G84)),IF(AND(F84="HUILE",E84="CLIENT S"),(VLOOKUP(H84,'BASE '!$I$112:$J$142,2,0)+(VLOOKUP(S84,'BASE '!#REF!,2,0)))-(G84*((VLOOKUP(S84,'BASE '!#REF!,2,0)+(VLOOKUP(H84,'BASE '!$I$112:$J$142,2,0))))))))))))))))</f>
        <v>0</v>
      </c>
      <c r="P84" s="52" t="b">
        <f t="shared" si="32"/>
        <v>0</v>
      </c>
      <c r="Q84" s="53" t="b">
        <f t="shared" si="33"/>
        <v>0</v>
      </c>
      <c r="R84" s="152" t="s">
        <v>175</v>
      </c>
      <c r="S84" s="184">
        <f t="shared" si="35"/>
        <v>0</v>
      </c>
      <c r="T84" s="124"/>
      <c r="U84" s="41" t="s">
        <v>175</v>
      </c>
      <c r="V84" s="70" t="e">
        <f>VLOOKUP(U84,'BASE '!$A$4:$H$144,2,0)</f>
        <v>#N/A</v>
      </c>
      <c r="W84" s="159"/>
      <c r="X84" s="159"/>
      <c r="Y84" s="160"/>
      <c r="Z84" s="158" t="e">
        <f>VLOOKUP(U84,'BASE '!$A$4:$H$144,3,0)</f>
        <v>#N/A</v>
      </c>
      <c r="AA84" s="94" t="e">
        <f t="shared" si="34"/>
        <v>#N/A</v>
      </c>
      <c r="AB84" s="95" t="e">
        <f>VLOOKUP(U84,'BASE '!$A$4:$H$144,6,0)*Y84/100</f>
        <v>#N/A</v>
      </c>
      <c r="AC84" s="95" t="e">
        <f>VLOOKUP(U84,'BASE '!$A$4:$H$144,7,0)*Y84/100</f>
        <v>#N/A</v>
      </c>
      <c r="AD84" s="95" t="e">
        <f>VLOOKUP(U84,'BASE '!$A$4:$H$144,8,0)*Y84/100</f>
        <v>#N/A</v>
      </c>
      <c r="AE84" s="96" t="e">
        <f t="shared" si="36"/>
        <v>#N/A</v>
      </c>
      <c r="DN84" s="116" t="e">
        <f>(($I$5*#REF!)/100)+((#REF!*$J$5)/100)+(($K$5*#REF!)/100)+($L$5*#REF!)+($M$5*#REF!)</f>
        <v>#REF!</v>
      </c>
    </row>
    <row r="85" spans="2:118" x14ac:dyDescent="0.3">
      <c r="B85" s="64"/>
      <c r="C85" s="148"/>
      <c r="D85" s="109"/>
      <c r="E85" s="63"/>
      <c r="F85" s="127"/>
      <c r="G85" s="50"/>
      <c r="H85" s="10"/>
      <c r="I85" s="10"/>
      <c r="J85" s="10"/>
      <c r="K85" s="10"/>
      <c r="L85" s="10"/>
      <c r="M85" s="39"/>
      <c r="N85" s="33">
        <f t="shared" si="31"/>
        <v>0</v>
      </c>
      <c r="O85" s="52" t="b">
        <f>IF(AND(E85="CLIENT S+L",F85="HUILE"),(S85*3333.33+(VLOOKUP(H85,'BASE '!$I$112:$J$142,2,0)))-((S85*3333.33)*G85),IF(AND(E85="CLIENT S+L",F85="LAIT"),((S85*952.4)-(S85*952.4)*G85),IF(E85="CLIENT O","OFFERT",IF(AND(F85="HUILE",E85="CLIENT L"),(((VLOOKUP(H85,'BASE '!$I$112:$J$142,2,0))+(VLOOKUP(S85,'BASE '!#REF!,2,0)))),IF(AND(F85="LAIT",E85="CLIENT L"),(S85*952.4),IF(AND(F85="HUILE",E85="CLIENT D"),(S85*3809.53+(VLOOKUP(H85,'BASE '!$I$112:$J$142,2,0))),IF(AND(F85="LAIT",E85="CLIENT D"),(S85*952.4),IF(AND(F85="HUILE",E85="CLIENT S+D"),((S85*3809.53+(VLOOKUP(H85,'BASE '!$I$112:$J$142,2,0)))-((S85*3809.53)*G85)),IF(AND(F85="LAIT",E85="CLIENT S+D"),((S85*952.4)-((S85*952.4)*G85)),IF(AND(E85="CLIENT S",F85="LAIT"),((S85*952.4)-((S85*952.4)*G85)),IF(AND(F85="HUILE",E85="CLIENT S"),(VLOOKUP(H85,'BASE '!$I$112:$J$142,2,0)+(VLOOKUP(S85,'BASE '!#REF!,2,0)))-(G85*((VLOOKUP(S85,'BASE '!#REF!,2,0)+(VLOOKUP(H85,'BASE '!$I$112:$J$142,2,0))))))))))))))))</f>
        <v>0</v>
      </c>
      <c r="P85" s="52" t="b">
        <f t="shared" si="32"/>
        <v>0</v>
      </c>
      <c r="Q85" s="53" t="b">
        <f t="shared" si="33"/>
        <v>0</v>
      </c>
      <c r="R85" s="152" t="s">
        <v>175</v>
      </c>
      <c r="S85" s="184">
        <f t="shared" si="35"/>
        <v>0</v>
      </c>
      <c r="T85" s="124"/>
      <c r="U85" s="41" t="s">
        <v>175</v>
      </c>
      <c r="V85" s="70" t="e">
        <f>VLOOKUP(U85,'BASE '!$A$4:$H$144,2,0)</f>
        <v>#N/A</v>
      </c>
      <c r="W85" s="159"/>
      <c r="X85" s="159"/>
      <c r="Y85" s="160"/>
      <c r="Z85" s="158" t="e">
        <f>VLOOKUP(U85,'BASE '!$A$4:$H$144,3,0)</f>
        <v>#N/A</v>
      </c>
      <c r="AA85" s="94" t="e">
        <f t="shared" si="34"/>
        <v>#N/A</v>
      </c>
      <c r="AB85" s="95" t="e">
        <f>VLOOKUP(U85,'BASE '!$A$4:$H$144,6,0)*Y85/100</f>
        <v>#N/A</v>
      </c>
      <c r="AC85" s="95" t="e">
        <f>VLOOKUP(U85,'BASE '!$A$4:$H$144,7,0)*Y85/100</f>
        <v>#N/A</v>
      </c>
      <c r="AD85" s="95" t="e">
        <f>VLOOKUP(U85,'BASE '!$A$4:$H$144,8,0)*Y85/100</f>
        <v>#N/A</v>
      </c>
      <c r="AE85" s="96" t="e">
        <f t="shared" si="36"/>
        <v>#N/A</v>
      </c>
      <c r="DN85" s="116" t="e">
        <f>(($I$5*#REF!)/100)+((#REF!*$J$5)/100)+(($K$5*#REF!)/100)+($L$5*#REF!)+($M$5*#REF!)</f>
        <v>#REF!</v>
      </c>
    </row>
    <row r="86" spans="2:118" x14ac:dyDescent="0.3">
      <c r="B86" s="64"/>
      <c r="C86" s="148"/>
      <c r="D86" s="109"/>
      <c r="E86" s="63"/>
      <c r="F86" s="127"/>
      <c r="G86" s="50"/>
      <c r="H86" s="10"/>
      <c r="I86" s="10"/>
      <c r="J86" s="10"/>
      <c r="K86" s="10"/>
      <c r="L86" s="10"/>
      <c r="M86" s="39"/>
      <c r="N86" s="33">
        <f t="shared" si="31"/>
        <v>0</v>
      </c>
      <c r="O86" s="52" t="b">
        <f>IF(AND(E86="CLIENT S+L",F86="HUILE"),(S86*3333.33+(VLOOKUP(H86,'BASE '!$I$112:$J$142,2,0)))-((S86*3333.33)*G86),IF(AND(E86="CLIENT S+L",F86="LAIT"),((S86*952.4)-(S86*952.4)*G86),IF(E86="CLIENT O","OFFERT",IF(AND(F86="HUILE",E86="CLIENT L"),(((VLOOKUP(H86,'BASE '!$I$112:$J$142,2,0))+(VLOOKUP(S86,'BASE '!#REF!,2,0)))),IF(AND(F86="LAIT",E86="CLIENT L"),(S86*952.4),IF(AND(F86="HUILE",E86="CLIENT D"),(S86*3809.53+(VLOOKUP(H86,'BASE '!$I$112:$J$142,2,0))),IF(AND(F86="LAIT",E86="CLIENT D"),(S86*952.4),IF(AND(F86="HUILE",E86="CLIENT S+D"),((S86*3809.53+(VLOOKUP(H86,'BASE '!$I$112:$J$142,2,0)))-((S86*3809.53)*G86)),IF(AND(F86="LAIT",E86="CLIENT S+D"),((S86*952.4)-((S86*952.4)*G86)),IF(AND(E86="CLIENT S",F86="LAIT"),((S86*952.4)-((S86*952.4)*G86)),IF(AND(F86="HUILE",E86="CLIENT S"),(VLOOKUP(H86,'BASE '!$I$112:$J$142,2,0)+(VLOOKUP(S86,'BASE '!#REF!,2,0)))-(G86*((VLOOKUP(S86,'BASE '!#REF!,2,0)+(VLOOKUP(H86,'BASE '!$I$112:$J$142,2,0))))))))))))))))</f>
        <v>0</v>
      </c>
      <c r="P86" s="52" t="b">
        <f t="shared" si="32"/>
        <v>0</v>
      </c>
      <c r="Q86" s="53" t="b">
        <f t="shared" si="33"/>
        <v>0</v>
      </c>
      <c r="R86" s="152" t="s">
        <v>175</v>
      </c>
      <c r="S86" s="184">
        <f t="shared" si="35"/>
        <v>0</v>
      </c>
      <c r="T86" s="124"/>
      <c r="U86" s="41" t="s">
        <v>175</v>
      </c>
      <c r="V86" s="70" t="e">
        <f>VLOOKUP(U86,'BASE '!$A$4:$H$144,2,0)</f>
        <v>#N/A</v>
      </c>
      <c r="W86" s="159"/>
      <c r="X86" s="159"/>
      <c r="Y86" s="160"/>
      <c r="Z86" s="158" t="e">
        <f>VLOOKUP(U86,'BASE '!$A$4:$H$144,3,0)</f>
        <v>#N/A</v>
      </c>
      <c r="AA86" s="94" t="e">
        <f t="shared" si="34"/>
        <v>#N/A</v>
      </c>
      <c r="AB86" s="95" t="e">
        <f>VLOOKUP(U86,'BASE '!$A$4:$H$144,6,0)*Y86/100</f>
        <v>#N/A</v>
      </c>
      <c r="AC86" s="95" t="e">
        <f>VLOOKUP(U86,'BASE '!$A$4:$H$144,7,0)*Y86/100</f>
        <v>#N/A</v>
      </c>
      <c r="AD86" s="95" t="e">
        <f>VLOOKUP(U86,'BASE '!$A$4:$H$144,8,0)*Y86/100</f>
        <v>#N/A</v>
      </c>
      <c r="AE86" s="96" t="e">
        <f t="shared" si="36"/>
        <v>#N/A</v>
      </c>
      <c r="DN86" s="116" t="e">
        <f>(($I$5*#REF!)/100)+((#REF!*$J$5)/100)+(($K$5*#REF!)/100)+($L$5*#REF!)+($M$5*#REF!)</f>
        <v>#REF!</v>
      </c>
    </row>
    <row r="87" spans="2:118" x14ac:dyDescent="0.3">
      <c r="B87" s="64"/>
      <c r="C87" s="148"/>
      <c r="D87" s="109"/>
      <c r="E87" s="63"/>
      <c r="F87" s="127"/>
      <c r="G87" s="50"/>
      <c r="H87" s="10"/>
      <c r="I87" s="10"/>
      <c r="J87" s="10"/>
      <c r="K87" s="10"/>
      <c r="L87" s="10"/>
      <c r="M87" s="39"/>
      <c r="N87" s="33">
        <f t="shared" si="31"/>
        <v>0</v>
      </c>
      <c r="O87" s="52" t="b">
        <f>IF(AND(E87="CLIENT S+L",F87="HUILE"),(S87*3333.33+(VLOOKUP(H87,'BASE '!$I$112:$J$142,2,0)))-((S87*3333.33)*G87),IF(AND(E87="CLIENT S+L",F87="LAIT"),((S87*952.4)-(S87*952.4)*G87),IF(E87="CLIENT O","OFFERT",IF(AND(F87="HUILE",E87="CLIENT L"),(((VLOOKUP(H87,'BASE '!$I$112:$J$142,2,0))+(VLOOKUP(S87,'BASE '!#REF!,2,0)))),IF(AND(F87="LAIT",E87="CLIENT L"),(S87*952.4),IF(AND(F87="HUILE",E87="CLIENT D"),(S87*3809.53+(VLOOKUP(H87,'BASE '!$I$112:$J$142,2,0))),IF(AND(F87="LAIT",E87="CLIENT D"),(S87*952.4),IF(AND(F87="HUILE",E87="CLIENT S+D"),((S87*3809.53+(VLOOKUP(H87,'BASE '!$I$112:$J$142,2,0)))-((S87*3809.53)*G87)),IF(AND(F87="LAIT",E87="CLIENT S+D"),((S87*952.4)-((S87*952.4)*G87)),IF(AND(E87="CLIENT S",F87="LAIT"),((S87*952.4)-((S87*952.4)*G87)),IF(AND(F87="HUILE",E87="CLIENT S"),(VLOOKUP(H87,'BASE '!$I$112:$J$142,2,0)+(VLOOKUP(S87,'BASE '!#REF!,2,0)))-(G87*((VLOOKUP(S87,'BASE '!#REF!,2,0)+(VLOOKUP(H87,'BASE '!$I$112:$J$142,2,0))))))))))))))))</f>
        <v>0</v>
      </c>
      <c r="P87" s="52" t="b">
        <f t="shared" si="32"/>
        <v>0</v>
      </c>
      <c r="Q87" s="53" t="b">
        <f t="shared" si="33"/>
        <v>0</v>
      </c>
      <c r="R87" s="152" t="s">
        <v>175</v>
      </c>
      <c r="S87" s="184">
        <f t="shared" si="35"/>
        <v>0</v>
      </c>
      <c r="T87" s="124"/>
      <c r="U87" s="41" t="s">
        <v>175</v>
      </c>
      <c r="V87" s="70" t="e">
        <f>VLOOKUP(U87,'BASE '!$A$4:$H$144,2,0)</f>
        <v>#N/A</v>
      </c>
      <c r="W87" s="159"/>
      <c r="X87" s="159"/>
      <c r="Y87" s="160"/>
      <c r="Z87" s="158" t="e">
        <f>VLOOKUP(U87,'BASE '!$A$4:$H$144,3,0)</f>
        <v>#N/A</v>
      </c>
      <c r="AA87" s="94" t="e">
        <f t="shared" si="34"/>
        <v>#N/A</v>
      </c>
      <c r="AB87" s="95" t="e">
        <f>VLOOKUP(U87,'BASE '!$A$4:$H$144,6,0)*Y87/100</f>
        <v>#N/A</v>
      </c>
      <c r="AC87" s="95" t="e">
        <f>VLOOKUP(U87,'BASE '!$A$4:$H$144,7,0)*Y87/100</f>
        <v>#N/A</v>
      </c>
      <c r="AD87" s="95" t="e">
        <f>VLOOKUP(U87,'BASE '!$A$4:$H$144,8,0)*Y87/100</f>
        <v>#N/A</v>
      </c>
      <c r="AE87" s="96" t="e">
        <f t="shared" si="36"/>
        <v>#N/A</v>
      </c>
      <c r="DN87" s="116" t="e">
        <f>(($I$5*#REF!)/100)+((#REF!*$J$5)/100)+(($K$5*#REF!)/100)+($L$5*#REF!)+($M$5*#REF!)</f>
        <v>#REF!</v>
      </c>
    </row>
    <row r="88" spans="2:118" x14ac:dyDescent="0.3">
      <c r="B88" s="64"/>
      <c r="C88" s="148"/>
      <c r="D88" s="109"/>
      <c r="E88" s="63"/>
      <c r="F88" s="127"/>
      <c r="G88" s="50"/>
      <c r="H88" s="10"/>
      <c r="I88" s="10"/>
      <c r="J88" s="10"/>
      <c r="K88" s="10"/>
      <c r="L88" s="10"/>
      <c r="M88" s="39"/>
      <c r="N88" s="33">
        <f t="shared" si="31"/>
        <v>0</v>
      </c>
      <c r="O88" s="52" t="b">
        <f>IF(AND(E88="CLIENT S+L",F88="HUILE"),(S88*3333.33+(VLOOKUP(H88,'BASE '!$I$112:$J$142,2,0)))-((S88*3333.33)*G88),IF(AND(E88="CLIENT S+L",F88="LAIT"),((S88*952.4)-(S88*952.4)*G88),IF(E88="CLIENT O","OFFERT",IF(AND(F88="HUILE",E88="CLIENT L"),(((VLOOKUP(H88,'BASE '!$I$112:$J$142,2,0))+(VLOOKUP(S88,'BASE '!#REF!,2,0)))),IF(AND(F88="LAIT",E88="CLIENT L"),(S88*952.4),IF(AND(F88="HUILE",E88="CLIENT D"),(S88*3809.53+(VLOOKUP(H88,'BASE '!$I$112:$J$142,2,0))),IF(AND(F88="LAIT",E88="CLIENT D"),(S88*952.4),IF(AND(F88="HUILE",E88="CLIENT S+D"),((S88*3809.53+(VLOOKUP(H88,'BASE '!$I$112:$J$142,2,0)))-((S88*3809.53)*G88)),IF(AND(F88="LAIT",E88="CLIENT S+D"),((S88*952.4)-((S88*952.4)*G88)),IF(AND(E88="CLIENT S",F88="LAIT"),((S88*952.4)-((S88*952.4)*G88)),IF(AND(F88="HUILE",E88="CLIENT S"),(VLOOKUP(H88,'BASE '!$I$112:$J$142,2,0)+(VLOOKUP(S88,'BASE '!#REF!,2,0)))-(G88*((VLOOKUP(S88,'BASE '!#REF!,2,0)+(VLOOKUP(H88,'BASE '!$I$112:$J$142,2,0))))))))))))))))</f>
        <v>0</v>
      </c>
      <c r="P88" s="52" t="b">
        <f t="shared" si="32"/>
        <v>0</v>
      </c>
      <c r="Q88" s="53" t="b">
        <f t="shared" si="33"/>
        <v>0</v>
      </c>
      <c r="R88" s="152" t="s">
        <v>175</v>
      </c>
      <c r="S88" s="184">
        <f t="shared" si="35"/>
        <v>0</v>
      </c>
      <c r="T88" s="124"/>
      <c r="U88" s="41" t="s">
        <v>175</v>
      </c>
      <c r="V88" s="70" t="e">
        <f>VLOOKUP(U88,'BASE '!$A$4:$H$144,2,0)</f>
        <v>#N/A</v>
      </c>
      <c r="W88" s="159"/>
      <c r="X88" s="159"/>
      <c r="Y88" s="160"/>
      <c r="Z88" s="158" t="e">
        <f>VLOOKUP(U88,'BASE '!$A$4:$H$144,3,0)</f>
        <v>#N/A</v>
      </c>
      <c r="AA88" s="94" t="e">
        <f t="shared" si="34"/>
        <v>#N/A</v>
      </c>
      <c r="AB88" s="95" t="e">
        <f>VLOOKUP(U88,'BASE '!$A$4:$H$144,6,0)*Y88/100</f>
        <v>#N/A</v>
      </c>
      <c r="AC88" s="95" t="e">
        <f>VLOOKUP(U88,'BASE '!$A$4:$H$144,7,0)*Y88/100</f>
        <v>#N/A</v>
      </c>
      <c r="AD88" s="95" t="e">
        <f>VLOOKUP(U88,'BASE '!$A$4:$H$144,8,0)*Y88/100</f>
        <v>#N/A</v>
      </c>
      <c r="AE88" s="96" t="e">
        <f t="shared" si="36"/>
        <v>#N/A</v>
      </c>
      <c r="DN88" s="116" t="e">
        <f>(($I$5*#REF!)/100)+((#REF!*$J$5)/100)+(($K$5*#REF!)/100)+($L$5*#REF!)+($M$5*#REF!)</f>
        <v>#REF!</v>
      </c>
    </row>
    <row r="89" spans="2:118" x14ac:dyDescent="0.3">
      <c r="B89" s="64"/>
      <c r="C89" s="148"/>
      <c r="D89" s="109"/>
      <c r="E89" s="63"/>
      <c r="F89" s="127"/>
      <c r="G89" s="50"/>
      <c r="H89" s="10"/>
      <c r="I89" s="10"/>
      <c r="J89" s="10"/>
      <c r="K89" s="10"/>
      <c r="L89" s="10"/>
      <c r="M89" s="39"/>
      <c r="N89" s="33">
        <f t="shared" si="31"/>
        <v>0</v>
      </c>
      <c r="O89" s="52" t="b">
        <f>IF(AND(E89="CLIENT S+L",F89="HUILE"),(S89*3333.33+(VLOOKUP(H89,'BASE '!$I$112:$J$142,2,0)))-((S89*3333.33)*G89),IF(AND(E89="CLIENT S+L",F89="LAIT"),((S89*952.4)-(S89*952.4)*G89),IF(E89="CLIENT O","OFFERT",IF(AND(F89="HUILE",E89="CLIENT L"),(((VLOOKUP(H89,'BASE '!$I$112:$J$142,2,0))+(VLOOKUP(S89,'BASE '!#REF!,2,0)))),IF(AND(F89="LAIT",E89="CLIENT L"),(S89*952.4),IF(AND(F89="HUILE",E89="CLIENT D"),(S89*3809.53+(VLOOKUP(H89,'BASE '!$I$112:$J$142,2,0))),IF(AND(F89="LAIT",E89="CLIENT D"),(S89*952.4),IF(AND(F89="HUILE",E89="CLIENT S+D"),((S89*3809.53+(VLOOKUP(H89,'BASE '!$I$112:$J$142,2,0)))-((S89*3809.53)*G89)),IF(AND(F89="LAIT",E89="CLIENT S+D"),((S89*952.4)-((S89*952.4)*G89)),IF(AND(E89="CLIENT S",F89="LAIT"),((S89*952.4)-((S89*952.4)*G89)),IF(AND(F89="HUILE",E89="CLIENT S"),(VLOOKUP(H89,'BASE '!$I$112:$J$142,2,0)+(VLOOKUP(S89,'BASE '!#REF!,2,0)))-(G89*((VLOOKUP(S89,'BASE '!#REF!,2,0)+(VLOOKUP(H89,'BASE '!$I$112:$J$142,2,0))))))))))))))))</f>
        <v>0</v>
      </c>
      <c r="P89" s="52" t="b">
        <f t="shared" si="32"/>
        <v>0</v>
      </c>
      <c r="Q89" s="53" t="b">
        <f t="shared" si="33"/>
        <v>0</v>
      </c>
      <c r="R89" s="152" t="s">
        <v>175</v>
      </c>
      <c r="S89" s="184">
        <f t="shared" si="35"/>
        <v>0</v>
      </c>
      <c r="T89" s="124"/>
      <c r="U89" s="41" t="s">
        <v>175</v>
      </c>
      <c r="V89" s="70" t="e">
        <f>VLOOKUP(U89,'BASE '!$A$4:$H$144,2,0)</f>
        <v>#N/A</v>
      </c>
      <c r="W89" s="159"/>
      <c r="X89" s="159"/>
      <c r="Y89" s="160"/>
      <c r="Z89" s="158" t="e">
        <f>VLOOKUP(U89,'BASE '!$A$4:$H$144,3,0)</f>
        <v>#N/A</v>
      </c>
      <c r="AA89" s="94" t="e">
        <f t="shared" si="34"/>
        <v>#N/A</v>
      </c>
      <c r="AB89" s="95" t="e">
        <f>VLOOKUP(U89,'BASE '!$A$4:$H$144,6,0)*Y89/100</f>
        <v>#N/A</v>
      </c>
      <c r="AC89" s="95" t="e">
        <f>VLOOKUP(U89,'BASE '!$A$4:$H$144,7,0)*Y89/100</f>
        <v>#N/A</v>
      </c>
      <c r="AD89" s="95" t="e">
        <f>VLOOKUP(U89,'BASE '!$A$4:$H$144,8,0)*Y89/100</f>
        <v>#N/A</v>
      </c>
      <c r="AE89" s="96" t="e">
        <f t="shared" si="36"/>
        <v>#N/A</v>
      </c>
      <c r="DN89" s="116" t="e">
        <f>(($I$5*#REF!)/100)+((#REF!*$J$5)/100)+(($K$5*#REF!)/100)+($L$5*#REF!)+($M$5*#REF!)</f>
        <v>#REF!</v>
      </c>
    </row>
    <row r="90" spans="2:118" x14ac:dyDescent="0.3">
      <c r="B90" s="64"/>
      <c r="C90" s="148"/>
      <c r="D90" s="109"/>
      <c r="E90" s="63"/>
      <c r="F90" s="127"/>
      <c r="G90" s="50"/>
      <c r="H90" s="10"/>
      <c r="I90" s="10"/>
      <c r="J90" s="10"/>
      <c r="K90" s="10"/>
      <c r="L90" s="10"/>
      <c r="M90" s="39"/>
      <c r="N90" s="33">
        <f t="shared" si="31"/>
        <v>0</v>
      </c>
      <c r="O90" s="52" t="b">
        <f>IF(AND(E90="CLIENT S+L",F90="HUILE"),(S90*3333.33+(VLOOKUP(H90,'BASE '!$I$112:$J$142,2,0)))-((S90*3333.33)*G90),IF(AND(E90="CLIENT S+L",F90="LAIT"),((S90*952.4)-(S90*952.4)*G90),IF(E90="CLIENT O","OFFERT",IF(AND(F90="HUILE",E90="CLIENT L"),(((VLOOKUP(H90,'BASE '!$I$112:$J$142,2,0))+(VLOOKUP(S90,'BASE '!#REF!,2,0)))),IF(AND(F90="LAIT",E90="CLIENT L"),(S90*952.4),IF(AND(F90="HUILE",E90="CLIENT D"),(S90*3809.53+(VLOOKUP(H90,'BASE '!$I$112:$J$142,2,0))),IF(AND(F90="LAIT",E90="CLIENT D"),(S90*952.4),IF(AND(F90="HUILE",E90="CLIENT S+D"),((S90*3809.53+(VLOOKUP(H90,'BASE '!$I$112:$J$142,2,0)))-((S90*3809.53)*G90)),IF(AND(F90="LAIT",E90="CLIENT S+D"),((S90*952.4)-((S90*952.4)*G90)),IF(AND(E90="CLIENT S",F90="LAIT"),((S90*952.4)-((S90*952.4)*G90)),IF(AND(F90="HUILE",E90="CLIENT S"),(VLOOKUP(H90,'BASE '!$I$112:$J$142,2,0)+(VLOOKUP(S90,'BASE '!#REF!,2,0)))-(G90*((VLOOKUP(S90,'BASE '!#REF!,2,0)+(VLOOKUP(H90,'BASE '!$I$112:$J$142,2,0))))))))))))))))</f>
        <v>0</v>
      </c>
      <c r="P90" s="52" t="b">
        <f t="shared" si="32"/>
        <v>0</v>
      </c>
      <c r="Q90" s="53" t="b">
        <f t="shared" si="33"/>
        <v>0</v>
      </c>
      <c r="R90" s="152" t="s">
        <v>175</v>
      </c>
      <c r="S90" s="184">
        <f t="shared" si="35"/>
        <v>0</v>
      </c>
      <c r="T90" s="124"/>
      <c r="U90" s="41" t="s">
        <v>175</v>
      </c>
      <c r="V90" s="70" t="e">
        <f>VLOOKUP(U90,'BASE '!$A$4:$H$144,2,0)</f>
        <v>#N/A</v>
      </c>
      <c r="W90" s="159"/>
      <c r="X90" s="159"/>
      <c r="Y90" s="160"/>
      <c r="Z90" s="158" t="e">
        <f>VLOOKUP(U90,'BASE '!$A$4:$H$144,3,0)</f>
        <v>#N/A</v>
      </c>
      <c r="AA90" s="94" t="e">
        <f t="shared" si="34"/>
        <v>#N/A</v>
      </c>
      <c r="AB90" s="95" t="e">
        <f>VLOOKUP(U90,'BASE '!$A$4:$H$144,6,0)*Y90/100</f>
        <v>#N/A</v>
      </c>
      <c r="AC90" s="95" t="e">
        <f>VLOOKUP(U90,'BASE '!$A$4:$H$144,7,0)*Y90/100</f>
        <v>#N/A</v>
      </c>
      <c r="AD90" s="95" t="e">
        <f>VLOOKUP(U90,'BASE '!$A$4:$H$144,8,0)*Y90/100</f>
        <v>#N/A</v>
      </c>
      <c r="AE90" s="96" t="e">
        <f t="shared" si="36"/>
        <v>#N/A</v>
      </c>
      <c r="DN90" s="116" t="e">
        <f>(($I$5*#REF!)/100)+((#REF!*$J$5)/100)+(($K$5*#REF!)/100)+($L$5*#REF!)+($M$5*#REF!)</f>
        <v>#REF!</v>
      </c>
    </row>
    <row r="91" spans="2:118" x14ac:dyDescent="0.3">
      <c r="B91" s="64"/>
      <c r="C91" s="148"/>
      <c r="D91" s="109"/>
      <c r="E91" s="63"/>
      <c r="F91" s="127"/>
      <c r="G91" s="50"/>
      <c r="H91" s="10"/>
      <c r="I91" s="10"/>
      <c r="J91" s="10"/>
      <c r="K91" s="10"/>
      <c r="L91" s="10"/>
      <c r="M91" s="39"/>
      <c r="N91" s="33">
        <f t="shared" si="31"/>
        <v>0</v>
      </c>
      <c r="O91" s="52" t="b">
        <f>IF(AND(E91="CLIENT S+L",F91="HUILE"),(S91*3333.33+(VLOOKUP(H91,'BASE '!$I$112:$J$142,2,0)))-((S91*3333.33)*G91),IF(AND(E91="CLIENT S+L",F91="LAIT"),((S91*952.4)-(S91*952.4)*G91),IF(E91="CLIENT O","OFFERT",IF(AND(F91="HUILE",E91="CLIENT L"),(((VLOOKUP(H91,'BASE '!$I$112:$J$142,2,0))+(VLOOKUP(S91,'BASE '!#REF!,2,0)))),IF(AND(F91="LAIT",E91="CLIENT L"),(S91*952.4),IF(AND(F91="HUILE",E91="CLIENT D"),(S91*3809.53+(VLOOKUP(H91,'BASE '!$I$112:$J$142,2,0))),IF(AND(F91="LAIT",E91="CLIENT D"),(S91*952.4),IF(AND(F91="HUILE",E91="CLIENT S+D"),((S91*3809.53+(VLOOKUP(H91,'BASE '!$I$112:$J$142,2,0)))-((S91*3809.53)*G91)),IF(AND(F91="LAIT",E91="CLIENT S+D"),((S91*952.4)-((S91*952.4)*G91)),IF(AND(E91="CLIENT S",F91="LAIT"),((S91*952.4)-((S91*952.4)*G91)),IF(AND(F91="HUILE",E91="CLIENT S"),(VLOOKUP(H91,'BASE '!$I$112:$J$142,2,0)+(VLOOKUP(S91,'BASE '!#REF!,2,0)))-(G91*((VLOOKUP(S91,'BASE '!#REF!,2,0)+(VLOOKUP(H91,'BASE '!$I$112:$J$142,2,0))))))))))))))))</f>
        <v>0</v>
      </c>
      <c r="P91" s="52" t="b">
        <f t="shared" si="32"/>
        <v>0</v>
      </c>
      <c r="Q91" s="53" t="b">
        <f t="shared" si="33"/>
        <v>0</v>
      </c>
      <c r="R91" s="152" t="s">
        <v>175</v>
      </c>
      <c r="S91" s="184">
        <f t="shared" si="35"/>
        <v>0</v>
      </c>
      <c r="T91" s="124"/>
      <c r="U91" s="41" t="s">
        <v>175</v>
      </c>
      <c r="V91" s="70" t="e">
        <f>VLOOKUP(U91,'BASE '!$A$4:$H$144,2,0)</f>
        <v>#N/A</v>
      </c>
      <c r="W91" s="159"/>
      <c r="X91" s="159"/>
      <c r="Y91" s="160"/>
      <c r="Z91" s="158" t="e">
        <f>VLOOKUP(U91,'BASE '!$A$4:$H$144,3,0)</f>
        <v>#N/A</v>
      </c>
      <c r="AA91" s="94" t="e">
        <f t="shared" si="34"/>
        <v>#N/A</v>
      </c>
      <c r="AB91" s="95" t="e">
        <f>VLOOKUP(U91,'BASE '!$A$4:$H$144,6,0)*Y91/100</f>
        <v>#N/A</v>
      </c>
      <c r="AC91" s="95" t="e">
        <f>VLOOKUP(U91,'BASE '!$A$4:$H$144,7,0)*Y91/100</f>
        <v>#N/A</v>
      </c>
      <c r="AD91" s="95" t="e">
        <f>VLOOKUP(U91,'BASE '!$A$4:$H$144,8,0)*Y91/100</f>
        <v>#N/A</v>
      </c>
      <c r="AE91" s="96" t="e">
        <f t="shared" si="36"/>
        <v>#N/A</v>
      </c>
      <c r="DN91" s="116" t="e">
        <f>(($I$5*#REF!)/100)+((#REF!*$J$5)/100)+(($K$5*#REF!)/100)+($L$5*#REF!)+($M$5*#REF!)</f>
        <v>#REF!</v>
      </c>
    </row>
    <row r="92" spans="2:118" x14ac:dyDescent="0.3">
      <c r="B92" s="64"/>
      <c r="C92" s="148"/>
      <c r="D92" s="109"/>
      <c r="E92" s="63"/>
      <c r="F92" s="127"/>
      <c r="G92" s="50"/>
      <c r="H92" s="10"/>
      <c r="I92" s="10"/>
      <c r="J92" s="10"/>
      <c r="K92" s="10"/>
      <c r="L92" s="10"/>
      <c r="M92" s="39"/>
      <c r="N92" s="33">
        <f t="shared" si="31"/>
        <v>0</v>
      </c>
      <c r="O92" s="52" t="b">
        <f>IF(AND(E92="CLIENT S+L",F92="HUILE"),(S92*3333.33+(VLOOKUP(H92,'BASE '!$I$112:$J$142,2,0)))-((S92*3333.33)*G92),IF(AND(E92="CLIENT S+L",F92="LAIT"),((S92*952.4)-(S92*952.4)*G92),IF(E92="CLIENT O","OFFERT",IF(AND(F92="HUILE",E92="CLIENT L"),(((VLOOKUP(H92,'BASE '!$I$112:$J$142,2,0))+(VLOOKUP(S92,'BASE '!#REF!,2,0)))),IF(AND(F92="LAIT",E92="CLIENT L"),(S92*952.4),IF(AND(F92="HUILE",E92="CLIENT D"),(S92*3809.53+(VLOOKUP(H92,'BASE '!$I$112:$J$142,2,0))),IF(AND(F92="LAIT",E92="CLIENT D"),(S92*952.4),IF(AND(F92="HUILE",E92="CLIENT S+D"),((S92*3809.53+(VLOOKUP(H92,'BASE '!$I$112:$J$142,2,0)))-((S92*3809.53)*G92)),IF(AND(F92="LAIT",E92="CLIENT S+D"),((S92*952.4)-((S92*952.4)*G92)),IF(AND(E92="CLIENT S",F92="LAIT"),((S92*952.4)-((S92*952.4)*G92)),IF(AND(F92="HUILE",E92="CLIENT S"),(VLOOKUP(H92,'BASE '!$I$112:$J$142,2,0)+(VLOOKUP(S92,'BASE '!#REF!,2,0)))-(G92*((VLOOKUP(S92,'BASE '!#REF!,2,0)+(VLOOKUP(H92,'BASE '!$I$112:$J$142,2,0))))))))))))))))</f>
        <v>0</v>
      </c>
      <c r="P92" s="52" t="b">
        <f t="shared" si="32"/>
        <v>0</v>
      </c>
      <c r="Q92" s="53" t="b">
        <f t="shared" si="33"/>
        <v>0</v>
      </c>
      <c r="R92" s="152" t="s">
        <v>175</v>
      </c>
      <c r="S92" s="184">
        <f t="shared" si="35"/>
        <v>0</v>
      </c>
      <c r="T92" s="124"/>
      <c r="U92" s="41" t="s">
        <v>175</v>
      </c>
      <c r="V92" s="70" t="e">
        <f>VLOOKUP(U92,'BASE '!$A$4:$H$144,2,0)</f>
        <v>#N/A</v>
      </c>
      <c r="W92" s="159"/>
      <c r="X92" s="159"/>
      <c r="Y92" s="160"/>
      <c r="Z92" s="158" t="e">
        <f>VLOOKUP(U92,'BASE '!$A$4:$H$144,3,0)</f>
        <v>#N/A</v>
      </c>
      <c r="AA92" s="94" t="e">
        <f t="shared" si="34"/>
        <v>#N/A</v>
      </c>
      <c r="AB92" s="95" t="e">
        <f>VLOOKUP(U92,'BASE '!$A$4:$H$144,6,0)*Y92/100</f>
        <v>#N/A</v>
      </c>
      <c r="AC92" s="95" t="e">
        <f>VLOOKUP(U92,'BASE '!$A$4:$H$144,7,0)*Y92/100</f>
        <v>#N/A</v>
      </c>
      <c r="AD92" s="95" t="e">
        <f>VLOOKUP(U92,'BASE '!$A$4:$H$144,8,0)*Y92/100</f>
        <v>#N/A</v>
      </c>
      <c r="AE92" s="96" t="e">
        <f t="shared" si="36"/>
        <v>#N/A</v>
      </c>
      <c r="DN92" s="116" t="e">
        <f>(($I$5*#REF!)/100)+((#REF!*$J$5)/100)+(($K$5*#REF!)/100)+($L$5*#REF!)+($M$5*#REF!)</f>
        <v>#REF!</v>
      </c>
    </row>
    <row r="93" spans="2:118" x14ac:dyDescent="0.3">
      <c r="B93" s="64"/>
      <c r="C93" s="148"/>
      <c r="D93" s="109"/>
      <c r="E93" s="63"/>
      <c r="F93" s="127"/>
      <c r="G93" s="50"/>
      <c r="H93" s="10"/>
      <c r="I93" s="10"/>
      <c r="J93" s="10"/>
      <c r="K93" s="10"/>
      <c r="L93" s="10"/>
      <c r="M93" s="39"/>
      <c r="N93" s="33">
        <f t="shared" si="31"/>
        <v>0</v>
      </c>
      <c r="O93" s="52" t="b">
        <f>IF(AND(E93="CLIENT S+L",F93="HUILE"),(S93*3333.33+(VLOOKUP(H93,'BASE '!$I$112:$J$142,2,0)))-((S93*3333.33)*G93),IF(AND(E93="CLIENT S+L",F93="LAIT"),((S93*952.4)-(S93*952.4)*G93),IF(E93="CLIENT O","OFFERT",IF(AND(F93="HUILE",E93="CLIENT L"),(((VLOOKUP(H93,'BASE '!$I$112:$J$142,2,0))+(VLOOKUP(S93,'BASE '!#REF!,2,0)))),IF(AND(F93="LAIT",E93="CLIENT L"),(S93*952.4),IF(AND(F93="HUILE",E93="CLIENT D"),(S93*3809.53+(VLOOKUP(H93,'BASE '!$I$112:$J$142,2,0))),IF(AND(F93="LAIT",E93="CLIENT D"),(S93*952.4),IF(AND(F93="HUILE",E93="CLIENT S+D"),((S93*3809.53+(VLOOKUP(H93,'BASE '!$I$112:$J$142,2,0)))-((S93*3809.53)*G93)),IF(AND(F93="LAIT",E93="CLIENT S+D"),((S93*952.4)-((S93*952.4)*G93)),IF(AND(E93="CLIENT S",F93="LAIT"),((S93*952.4)-((S93*952.4)*G93)),IF(AND(F93="HUILE",E93="CLIENT S"),(VLOOKUP(H93,'BASE '!$I$112:$J$142,2,0)+(VLOOKUP(S93,'BASE '!#REF!,2,0)))-(G93*((VLOOKUP(S93,'BASE '!#REF!,2,0)+(VLOOKUP(H93,'BASE '!$I$112:$J$142,2,0))))))))))))))))</f>
        <v>0</v>
      </c>
      <c r="P93" s="52" t="b">
        <f t="shared" si="32"/>
        <v>0</v>
      </c>
      <c r="Q93" s="53" t="b">
        <f t="shared" si="33"/>
        <v>0</v>
      </c>
      <c r="R93" s="152" t="s">
        <v>175</v>
      </c>
      <c r="S93" s="184">
        <f t="shared" si="35"/>
        <v>0</v>
      </c>
      <c r="T93" s="124"/>
      <c r="U93" s="41" t="s">
        <v>175</v>
      </c>
      <c r="V93" s="70" t="e">
        <f>VLOOKUP(U93,'BASE '!$A$4:$H$144,2,0)</f>
        <v>#N/A</v>
      </c>
      <c r="W93" s="159"/>
      <c r="X93" s="159"/>
      <c r="Y93" s="160"/>
      <c r="Z93" s="158" t="e">
        <f>VLOOKUP(U93,'BASE '!$A$4:$H$144,3,0)</f>
        <v>#N/A</v>
      </c>
      <c r="AA93" s="94" t="e">
        <f t="shared" si="34"/>
        <v>#N/A</v>
      </c>
      <c r="AB93" s="95" t="e">
        <f>VLOOKUP(U93,'BASE '!$A$4:$H$144,6,0)*Y93/100</f>
        <v>#N/A</v>
      </c>
      <c r="AC93" s="95" t="e">
        <f>VLOOKUP(U93,'BASE '!$A$4:$H$144,7,0)*Y93/100</f>
        <v>#N/A</v>
      </c>
      <c r="AD93" s="95" t="e">
        <f>VLOOKUP(U93,'BASE '!$A$4:$H$144,8,0)*Y93/100</f>
        <v>#N/A</v>
      </c>
      <c r="AE93" s="96" t="e">
        <f t="shared" si="36"/>
        <v>#N/A</v>
      </c>
      <c r="DN93" s="116" t="e">
        <f>(($I$5*#REF!)/100)+((#REF!*$J$5)/100)+(($K$5*#REF!)/100)+($L$5*#REF!)+($M$5*#REF!)</f>
        <v>#REF!</v>
      </c>
    </row>
    <row r="94" spans="2:118" x14ac:dyDescent="0.3">
      <c r="B94" s="64"/>
      <c r="C94" s="148"/>
      <c r="D94" s="109"/>
      <c r="E94" s="63"/>
      <c r="F94" s="127"/>
      <c r="G94" s="50"/>
      <c r="H94" s="10"/>
      <c r="I94" s="10"/>
      <c r="J94" s="10"/>
      <c r="K94" s="10"/>
      <c r="L94" s="10"/>
      <c r="M94" s="39"/>
      <c r="N94" s="33">
        <f t="shared" si="31"/>
        <v>0</v>
      </c>
      <c r="O94" s="52" t="b">
        <f>IF(AND(E94="CLIENT S+L",F94="HUILE"),(S94*3333.33+(VLOOKUP(H94,'BASE '!$I$112:$J$142,2,0)))-((S94*3333.33)*G94),IF(AND(E94="CLIENT S+L",F94="LAIT"),((S94*952.4)-(S94*952.4)*G94),IF(E94="CLIENT O","OFFERT",IF(AND(F94="HUILE",E94="CLIENT L"),(((VLOOKUP(H94,'BASE '!$I$112:$J$142,2,0))+(VLOOKUP(S94,'BASE '!#REF!,2,0)))),IF(AND(F94="LAIT",E94="CLIENT L"),(S94*952.4),IF(AND(F94="HUILE",E94="CLIENT D"),(S94*3809.53+(VLOOKUP(H94,'BASE '!$I$112:$J$142,2,0))),IF(AND(F94="LAIT",E94="CLIENT D"),(S94*952.4),IF(AND(F94="HUILE",E94="CLIENT S+D"),((S94*3809.53+(VLOOKUP(H94,'BASE '!$I$112:$J$142,2,0)))-((S94*3809.53)*G94)),IF(AND(F94="LAIT",E94="CLIENT S+D"),((S94*952.4)-((S94*952.4)*G94)),IF(AND(E94="CLIENT S",F94="LAIT"),((S94*952.4)-((S94*952.4)*G94)),IF(AND(F94="HUILE",E94="CLIENT S"),(VLOOKUP(H94,'BASE '!$I$112:$J$142,2,0)+(VLOOKUP(S94,'BASE '!#REF!,2,0)))-(G94*((VLOOKUP(S94,'BASE '!#REF!,2,0)+(VLOOKUP(H94,'BASE '!$I$112:$J$142,2,0))))))))))))))))</f>
        <v>0</v>
      </c>
      <c r="P94" s="52" t="b">
        <f t="shared" si="32"/>
        <v>0</v>
      </c>
      <c r="Q94" s="53" t="b">
        <f t="shared" si="33"/>
        <v>0</v>
      </c>
      <c r="R94" s="152" t="s">
        <v>175</v>
      </c>
      <c r="S94" s="184">
        <f t="shared" si="35"/>
        <v>0</v>
      </c>
      <c r="T94" s="124"/>
      <c r="U94" s="41" t="s">
        <v>175</v>
      </c>
      <c r="V94" s="70" t="e">
        <f>VLOOKUP(U94,'BASE '!$A$4:$H$144,2,0)</f>
        <v>#N/A</v>
      </c>
      <c r="W94" s="159"/>
      <c r="X94" s="159"/>
      <c r="Y94" s="160"/>
      <c r="Z94" s="158" t="e">
        <f>VLOOKUP(U94,'BASE '!$A$4:$H$144,3,0)</f>
        <v>#N/A</v>
      </c>
      <c r="AA94" s="94" t="e">
        <f t="shared" si="34"/>
        <v>#N/A</v>
      </c>
      <c r="AB94" s="95" t="e">
        <f>VLOOKUP(U94,'BASE '!$A$4:$H$144,6,0)*Y94/100</f>
        <v>#N/A</v>
      </c>
      <c r="AC94" s="95" t="e">
        <f>VLOOKUP(U94,'BASE '!$A$4:$H$144,7,0)*Y94/100</f>
        <v>#N/A</v>
      </c>
      <c r="AD94" s="95" t="e">
        <f>VLOOKUP(U94,'BASE '!$A$4:$H$144,8,0)*Y94/100</f>
        <v>#N/A</v>
      </c>
      <c r="AE94" s="96" t="e">
        <f t="shared" si="36"/>
        <v>#N/A</v>
      </c>
      <c r="DN94" s="116" t="e">
        <f>(($I$5*#REF!)/100)+((#REF!*$J$5)/100)+(($K$5*#REF!)/100)+($L$5*#REF!)+($M$5*#REF!)</f>
        <v>#REF!</v>
      </c>
    </row>
    <row r="95" spans="2:118" x14ac:dyDescent="0.3">
      <c r="B95" s="64"/>
      <c r="C95" s="148"/>
      <c r="D95" s="109"/>
      <c r="E95" s="63"/>
      <c r="F95" s="127"/>
      <c r="G95" s="50"/>
      <c r="H95" s="10"/>
      <c r="I95" s="10"/>
      <c r="J95" s="10"/>
      <c r="K95" s="10"/>
      <c r="L95" s="10"/>
      <c r="M95" s="39"/>
      <c r="N95" s="33">
        <f t="shared" si="31"/>
        <v>0</v>
      </c>
      <c r="O95" s="52" t="b">
        <f>IF(AND(E95="CLIENT S+L",F95="HUILE"),(S95*3333.33+(VLOOKUP(H95,'BASE '!$I$112:$J$142,2,0)))-((S95*3333.33)*G95),IF(AND(E95="CLIENT S+L",F95="LAIT"),((S95*952.4)-(S95*952.4)*G95),IF(E95="CLIENT O","OFFERT",IF(AND(F95="HUILE",E95="CLIENT L"),(((VLOOKUP(H95,'BASE '!$I$112:$J$142,2,0))+(VLOOKUP(S95,'BASE '!#REF!,2,0)))),IF(AND(F95="LAIT",E95="CLIENT L"),(S95*952.4),IF(AND(F95="HUILE",E95="CLIENT D"),(S95*3809.53+(VLOOKUP(H95,'BASE '!$I$112:$J$142,2,0))),IF(AND(F95="LAIT",E95="CLIENT D"),(S95*952.4),IF(AND(F95="HUILE",E95="CLIENT S+D"),((S95*3809.53+(VLOOKUP(H95,'BASE '!$I$112:$J$142,2,0)))-((S95*3809.53)*G95)),IF(AND(F95="LAIT",E95="CLIENT S+D"),((S95*952.4)-((S95*952.4)*G95)),IF(AND(E95="CLIENT S",F95="LAIT"),((S95*952.4)-((S95*952.4)*G95)),IF(AND(F95="HUILE",E95="CLIENT S"),(VLOOKUP(H95,'BASE '!$I$112:$J$142,2,0)+(VLOOKUP(S95,'BASE '!#REF!,2,0)))-(G95*((VLOOKUP(S95,'BASE '!#REF!,2,0)+(VLOOKUP(H95,'BASE '!$I$112:$J$142,2,0))))))))))))))))</f>
        <v>0</v>
      </c>
      <c r="P95" s="52" t="b">
        <f t="shared" si="32"/>
        <v>0</v>
      </c>
      <c r="Q95" s="53" t="b">
        <f t="shared" si="33"/>
        <v>0</v>
      </c>
      <c r="R95" s="152" t="s">
        <v>175</v>
      </c>
      <c r="S95" s="184">
        <f t="shared" si="35"/>
        <v>0</v>
      </c>
      <c r="T95" s="124"/>
      <c r="U95" s="41" t="s">
        <v>175</v>
      </c>
      <c r="V95" s="70" t="e">
        <f>VLOOKUP(U95,'BASE '!$A$4:$H$144,2,0)</f>
        <v>#N/A</v>
      </c>
      <c r="W95" s="159"/>
      <c r="X95" s="159"/>
      <c r="Y95" s="160"/>
      <c r="Z95" s="158" t="e">
        <f>VLOOKUP(U95,'BASE '!$A$4:$H$144,3,0)</f>
        <v>#N/A</v>
      </c>
      <c r="AA95" s="94" t="e">
        <f t="shared" si="34"/>
        <v>#N/A</v>
      </c>
      <c r="AB95" s="95" t="e">
        <f>VLOOKUP(U95,'BASE '!$A$4:$H$144,6,0)*Y95/100</f>
        <v>#N/A</v>
      </c>
      <c r="AC95" s="95" t="e">
        <f>VLOOKUP(U95,'BASE '!$A$4:$H$144,7,0)*Y95/100</f>
        <v>#N/A</v>
      </c>
      <c r="AD95" s="95" t="e">
        <f>VLOOKUP(U95,'BASE '!$A$4:$H$144,8,0)*Y95/100</f>
        <v>#N/A</v>
      </c>
      <c r="AE95" s="96" t="e">
        <f t="shared" si="36"/>
        <v>#N/A</v>
      </c>
      <c r="DN95" s="116" t="e">
        <f>(($I$5*#REF!)/100)+((#REF!*$J$5)/100)+(($K$5*#REF!)/100)+($L$5*#REF!)+($M$5*#REF!)</f>
        <v>#REF!</v>
      </c>
    </row>
    <row r="96" spans="2:118" x14ac:dyDescent="0.3">
      <c r="B96" s="64"/>
      <c r="C96" s="148"/>
      <c r="D96" s="109"/>
      <c r="E96" s="63"/>
      <c r="F96" s="127"/>
      <c r="G96" s="50"/>
      <c r="H96" s="10"/>
      <c r="I96" s="10"/>
      <c r="J96" s="10"/>
      <c r="K96" s="10"/>
      <c r="L96" s="10"/>
      <c r="M96" s="39"/>
      <c r="N96" s="33">
        <f t="shared" si="31"/>
        <v>0</v>
      </c>
      <c r="O96" s="52" t="b">
        <f>IF(AND(E96="CLIENT S+L",F96="HUILE"),(S96*3333.33+(VLOOKUP(H96,'BASE '!$I$112:$J$142,2,0)))-((S96*3333.33)*G96),IF(AND(E96="CLIENT S+L",F96="LAIT"),((S96*952.4)-(S96*952.4)*G96),IF(E96="CLIENT O","OFFERT",IF(AND(F96="HUILE",E96="CLIENT L"),(((VLOOKUP(H96,'BASE '!$I$112:$J$142,2,0))+(VLOOKUP(S96,'BASE '!#REF!,2,0)))),IF(AND(F96="LAIT",E96="CLIENT L"),(S96*952.4),IF(AND(F96="HUILE",E96="CLIENT D"),(S96*3809.53+(VLOOKUP(H96,'BASE '!$I$112:$J$142,2,0))),IF(AND(F96="LAIT",E96="CLIENT D"),(S96*952.4),IF(AND(F96="HUILE",E96="CLIENT S+D"),((S96*3809.53+(VLOOKUP(H96,'BASE '!$I$112:$J$142,2,0)))-((S96*3809.53)*G96)),IF(AND(F96="LAIT",E96="CLIENT S+D"),((S96*952.4)-((S96*952.4)*G96)),IF(AND(E96="CLIENT S",F96="LAIT"),((S96*952.4)-((S96*952.4)*G96)),IF(AND(F96="HUILE",E96="CLIENT S"),(VLOOKUP(H96,'BASE '!$I$112:$J$142,2,0)+(VLOOKUP(S96,'BASE '!#REF!,2,0)))-(G96*((VLOOKUP(S96,'BASE '!#REF!,2,0)+(VLOOKUP(H96,'BASE '!$I$112:$J$142,2,0))))))))))))))))</f>
        <v>0</v>
      </c>
      <c r="P96" s="52" t="b">
        <f t="shared" si="32"/>
        <v>0</v>
      </c>
      <c r="Q96" s="53" t="b">
        <f t="shared" si="33"/>
        <v>0</v>
      </c>
      <c r="R96" s="152" t="s">
        <v>175</v>
      </c>
      <c r="S96" s="184">
        <f t="shared" si="35"/>
        <v>0</v>
      </c>
      <c r="T96" s="124"/>
      <c r="U96" s="41" t="s">
        <v>175</v>
      </c>
      <c r="V96" s="70" t="e">
        <f>VLOOKUP(U96,'BASE '!$A$4:$H$144,2,0)</f>
        <v>#N/A</v>
      </c>
      <c r="W96" s="159"/>
      <c r="X96" s="159"/>
      <c r="Y96" s="160"/>
      <c r="Z96" s="158" t="e">
        <f>VLOOKUP(U96,'BASE '!$A$4:$H$144,3,0)</f>
        <v>#N/A</v>
      </c>
      <c r="AA96" s="94" t="e">
        <f t="shared" si="34"/>
        <v>#N/A</v>
      </c>
      <c r="AB96" s="95" t="e">
        <f>VLOOKUP(U96,'BASE '!$A$4:$H$144,6,0)*Y96/100</f>
        <v>#N/A</v>
      </c>
      <c r="AC96" s="95" t="e">
        <f>VLOOKUP(U96,'BASE '!$A$4:$H$144,7,0)*Y96/100</f>
        <v>#N/A</v>
      </c>
      <c r="AD96" s="95" t="e">
        <f>VLOOKUP(U96,'BASE '!$A$4:$H$144,8,0)*Y96/100</f>
        <v>#N/A</v>
      </c>
      <c r="AE96" s="96" t="e">
        <f t="shared" si="36"/>
        <v>#N/A</v>
      </c>
      <c r="DN96" s="116" t="e">
        <f>(($I$5*#REF!)/100)+((#REF!*$J$5)/100)+(($K$5*#REF!)/100)+($L$5*#REF!)+($M$5*#REF!)</f>
        <v>#REF!</v>
      </c>
    </row>
    <row r="97" spans="2:118" x14ac:dyDescent="0.3">
      <c r="B97" s="64"/>
      <c r="C97" s="148"/>
      <c r="D97" s="109"/>
      <c r="E97" s="63"/>
      <c r="F97" s="127"/>
      <c r="G97" s="50"/>
      <c r="H97" s="10"/>
      <c r="I97" s="10"/>
      <c r="J97" s="10"/>
      <c r="K97" s="10"/>
      <c r="L97" s="10"/>
      <c r="M97" s="39"/>
      <c r="N97" s="33">
        <f t="shared" si="31"/>
        <v>0</v>
      </c>
      <c r="O97" s="52" t="b">
        <f>IF(AND(E97="CLIENT S+L",F97="HUILE"),(S97*3333.33+(VLOOKUP(H97,'BASE '!$I$112:$J$142,2,0)))-((S97*3333.33)*G97),IF(AND(E97="CLIENT S+L",F97="LAIT"),((S97*952.4)-(S97*952.4)*G97),IF(E97="CLIENT O","OFFERT",IF(AND(F97="HUILE",E97="CLIENT L"),(((VLOOKUP(H97,'BASE '!$I$112:$J$142,2,0))+(VLOOKUP(S97,'BASE '!#REF!,2,0)))),IF(AND(F97="LAIT",E97="CLIENT L"),(S97*952.4),IF(AND(F97="HUILE",E97="CLIENT D"),(S97*3809.53+(VLOOKUP(H97,'BASE '!$I$112:$J$142,2,0))),IF(AND(F97="LAIT",E97="CLIENT D"),(S97*952.4),IF(AND(F97="HUILE",E97="CLIENT S+D"),((S97*3809.53+(VLOOKUP(H97,'BASE '!$I$112:$J$142,2,0)))-((S97*3809.53)*G97)),IF(AND(F97="LAIT",E97="CLIENT S+D"),((S97*952.4)-((S97*952.4)*G97)),IF(AND(E97="CLIENT S",F97="LAIT"),((S97*952.4)-((S97*952.4)*G97)),IF(AND(F97="HUILE",E97="CLIENT S"),(VLOOKUP(H97,'BASE '!$I$112:$J$142,2,0)+(VLOOKUP(S97,'BASE '!#REF!,2,0)))-(G97*((VLOOKUP(S97,'BASE '!#REF!,2,0)+(VLOOKUP(H97,'BASE '!$I$112:$J$142,2,0))))))))))))))))</f>
        <v>0</v>
      </c>
      <c r="P97" s="52" t="b">
        <f t="shared" si="32"/>
        <v>0</v>
      </c>
      <c r="Q97" s="53" t="b">
        <f t="shared" si="33"/>
        <v>0</v>
      </c>
      <c r="R97" s="152" t="s">
        <v>175</v>
      </c>
      <c r="S97" s="184">
        <f t="shared" si="35"/>
        <v>0</v>
      </c>
      <c r="T97" s="124"/>
      <c r="U97" s="41" t="s">
        <v>175</v>
      </c>
      <c r="V97" s="70" t="e">
        <f>VLOOKUP(U97,'BASE '!$A$4:$H$144,2,0)</f>
        <v>#N/A</v>
      </c>
      <c r="W97" s="159"/>
      <c r="X97" s="159"/>
      <c r="Y97" s="160"/>
      <c r="Z97" s="158" t="e">
        <f>VLOOKUP(U97,'BASE '!$A$4:$H$144,3,0)</f>
        <v>#N/A</v>
      </c>
      <c r="AA97" s="94" t="e">
        <f t="shared" si="34"/>
        <v>#N/A</v>
      </c>
      <c r="AB97" s="95" t="e">
        <f>VLOOKUP(U97,'BASE '!$A$4:$H$144,6,0)*Y97/100</f>
        <v>#N/A</v>
      </c>
      <c r="AC97" s="95" t="e">
        <f>VLOOKUP(U97,'BASE '!$A$4:$H$144,7,0)*Y97/100</f>
        <v>#N/A</v>
      </c>
      <c r="AD97" s="95" t="e">
        <f>VLOOKUP(U97,'BASE '!$A$4:$H$144,8,0)*Y97/100</f>
        <v>#N/A</v>
      </c>
      <c r="AE97" s="96" t="e">
        <f t="shared" si="36"/>
        <v>#N/A</v>
      </c>
      <c r="DN97" s="116" t="e">
        <f>(($I$5*#REF!)/100)+((#REF!*$J$5)/100)+(($K$5*#REF!)/100)+($L$5*#REF!)+($M$5*#REF!)</f>
        <v>#REF!</v>
      </c>
    </row>
    <row r="98" spans="2:118" x14ac:dyDescent="0.3">
      <c r="B98" s="64"/>
      <c r="C98" s="148"/>
      <c r="D98" s="109"/>
      <c r="E98" s="63"/>
      <c r="F98" s="127"/>
      <c r="G98" s="50"/>
      <c r="H98" s="10"/>
      <c r="I98" s="10"/>
      <c r="J98" s="10"/>
      <c r="K98" s="10"/>
      <c r="L98" s="10"/>
      <c r="M98" s="39"/>
      <c r="N98" s="33">
        <f t="shared" si="31"/>
        <v>0</v>
      </c>
      <c r="O98" s="52" t="b">
        <f>IF(AND(E98="CLIENT S+L",F98="HUILE"),(S98*3333.33+(VLOOKUP(H98,'BASE '!$I$112:$J$142,2,0)))-((S98*3333.33)*G98),IF(AND(E98="CLIENT S+L",F98="LAIT"),((S98*952.4)-(S98*952.4)*G98),IF(E98="CLIENT O","OFFERT",IF(AND(F98="HUILE",E98="CLIENT L"),(((VLOOKUP(H98,'BASE '!$I$112:$J$142,2,0))+(VLOOKUP(S98,'BASE '!#REF!,2,0)))),IF(AND(F98="LAIT",E98="CLIENT L"),(S98*952.4),IF(AND(F98="HUILE",E98="CLIENT D"),(S98*3809.53+(VLOOKUP(H98,'BASE '!$I$112:$J$142,2,0))),IF(AND(F98="LAIT",E98="CLIENT D"),(S98*952.4),IF(AND(F98="HUILE",E98="CLIENT S+D"),((S98*3809.53+(VLOOKUP(H98,'BASE '!$I$112:$J$142,2,0)))-((S98*3809.53)*G98)),IF(AND(F98="LAIT",E98="CLIENT S+D"),((S98*952.4)-((S98*952.4)*G98)),IF(AND(E98="CLIENT S",F98="LAIT"),((S98*952.4)-((S98*952.4)*G98)),IF(AND(F98="HUILE",E98="CLIENT S"),(VLOOKUP(H98,'BASE '!$I$112:$J$142,2,0)+(VLOOKUP(S98,'BASE '!#REF!,2,0)))-(G98*((VLOOKUP(S98,'BASE '!#REF!,2,0)+(VLOOKUP(H98,'BASE '!$I$112:$J$142,2,0))))))))))))))))</f>
        <v>0</v>
      </c>
      <c r="P98" s="52" t="b">
        <f t="shared" si="32"/>
        <v>0</v>
      </c>
      <c r="Q98" s="53" t="b">
        <f t="shared" si="33"/>
        <v>0</v>
      </c>
      <c r="R98" s="152" t="s">
        <v>175</v>
      </c>
      <c r="S98" s="184">
        <f t="shared" si="35"/>
        <v>0</v>
      </c>
      <c r="T98" s="124"/>
      <c r="U98" s="41" t="s">
        <v>175</v>
      </c>
      <c r="V98" s="70" t="e">
        <f>VLOOKUP(U98,'BASE '!$A$4:$H$144,2,0)</f>
        <v>#N/A</v>
      </c>
      <c r="W98" s="159"/>
      <c r="X98" s="159"/>
      <c r="Y98" s="160"/>
      <c r="Z98" s="158" t="e">
        <f>VLOOKUP(U98,'BASE '!$A$4:$H$144,3,0)</f>
        <v>#N/A</v>
      </c>
      <c r="AA98" s="94" t="e">
        <f t="shared" si="34"/>
        <v>#N/A</v>
      </c>
      <c r="AB98" s="95" t="e">
        <f>VLOOKUP(U98,'BASE '!$A$4:$H$144,6,0)*Y98/100</f>
        <v>#N/A</v>
      </c>
      <c r="AC98" s="95" t="e">
        <f>VLOOKUP(U98,'BASE '!$A$4:$H$144,7,0)*Y98/100</f>
        <v>#N/A</v>
      </c>
      <c r="AD98" s="95" t="e">
        <f>VLOOKUP(U98,'BASE '!$A$4:$H$144,8,0)*Y98/100</f>
        <v>#N/A</v>
      </c>
      <c r="AE98" s="96" t="e">
        <f t="shared" si="36"/>
        <v>#N/A</v>
      </c>
      <c r="DN98" s="116" t="e">
        <f>(($I$5*#REF!)/100)+((#REF!*$J$5)/100)+(($K$5*#REF!)/100)+($L$5*#REF!)+($M$5*#REF!)</f>
        <v>#REF!</v>
      </c>
    </row>
    <row r="99" spans="2:118" x14ac:dyDescent="0.3">
      <c r="B99" s="64"/>
      <c r="C99" s="148"/>
      <c r="D99" s="109"/>
      <c r="E99" s="63"/>
      <c r="F99" s="127"/>
      <c r="G99" s="50"/>
      <c r="H99" s="10"/>
      <c r="I99" s="10"/>
      <c r="J99" s="10"/>
      <c r="K99" s="10"/>
      <c r="L99" s="10"/>
      <c r="M99" s="39"/>
      <c r="N99" s="33">
        <f t="shared" si="31"/>
        <v>0</v>
      </c>
      <c r="O99" s="52" t="b">
        <f>IF(AND(E99="CLIENT S+L",F99="HUILE"),(S99*3333.33+(VLOOKUP(H99,'BASE '!$I$112:$J$142,2,0)))-((S99*3333.33)*G99),IF(AND(E99="CLIENT S+L",F99="LAIT"),((S99*952.4)-(S99*952.4)*G99),IF(E99="CLIENT O","OFFERT",IF(AND(F99="HUILE",E99="CLIENT L"),(((VLOOKUP(H99,'BASE '!$I$112:$J$142,2,0))+(VLOOKUP(S99,'BASE '!#REF!,2,0)))),IF(AND(F99="LAIT",E99="CLIENT L"),(S99*952.4),IF(AND(F99="HUILE",E99="CLIENT D"),(S99*3809.53+(VLOOKUP(H99,'BASE '!$I$112:$J$142,2,0))),IF(AND(F99="LAIT",E99="CLIENT D"),(S99*952.4),IF(AND(F99="HUILE",E99="CLIENT S+D"),((S99*3809.53+(VLOOKUP(H99,'BASE '!$I$112:$J$142,2,0)))-((S99*3809.53)*G99)),IF(AND(F99="LAIT",E99="CLIENT S+D"),((S99*952.4)-((S99*952.4)*G99)),IF(AND(E99="CLIENT S",F99="LAIT"),((S99*952.4)-((S99*952.4)*G99)),IF(AND(F99="HUILE",E99="CLIENT S"),(VLOOKUP(H99,'BASE '!$I$112:$J$142,2,0)+(VLOOKUP(S99,'BASE '!#REF!,2,0)))-(G99*((VLOOKUP(S99,'BASE '!#REF!,2,0)+(VLOOKUP(H99,'BASE '!$I$112:$J$142,2,0))))))))))))))))</f>
        <v>0</v>
      </c>
      <c r="P99" s="52" t="b">
        <f t="shared" si="32"/>
        <v>0</v>
      </c>
      <c r="Q99" s="53" t="b">
        <f t="shared" si="33"/>
        <v>0</v>
      </c>
      <c r="R99" s="152" t="s">
        <v>175</v>
      </c>
      <c r="S99" s="184">
        <f t="shared" si="35"/>
        <v>0</v>
      </c>
      <c r="T99" s="124"/>
      <c r="U99" s="41" t="s">
        <v>175</v>
      </c>
      <c r="V99" s="70" t="e">
        <f>VLOOKUP(U99,'BASE '!$A$4:$H$144,2,0)</f>
        <v>#N/A</v>
      </c>
      <c r="W99" s="159"/>
      <c r="X99" s="159"/>
      <c r="Y99" s="160"/>
      <c r="Z99" s="158" t="e">
        <f>VLOOKUP(U99,'BASE '!$A$4:$H$144,3,0)</f>
        <v>#N/A</v>
      </c>
      <c r="AA99" s="94" t="e">
        <f t="shared" si="34"/>
        <v>#N/A</v>
      </c>
      <c r="AB99" s="95" t="e">
        <f>VLOOKUP(U99,'BASE '!$A$4:$H$144,6,0)*Y99/100</f>
        <v>#N/A</v>
      </c>
      <c r="AC99" s="95" t="e">
        <f>VLOOKUP(U99,'BASE '!$A$4:$H$144,7,0)*Y99/100</f>
        <v>#N/A</v>
      </c>
      <c r="AD99" s="95" t="e">
        <f>VLOOKUP(U99,'BASE '!$A$4:$H$144,8,0)*Y99/100</f>
        <v>#N/A</v>
      </c>
      <c r="AE99" s="96" t="e">
        <f t="shared" si="36"/>
        <v>#N/A</v>
      </c>
      <c r="DN99" s="116" t="e">
        <f>(($I$5*#REF!)/100)+((#REF!*$J$5)/100)+(($K$5*#REF!)/100)+($L$5*#REF!)+($M$5*#REF!)</f>
        <v>#REF!</v>
      </c>
    </row>
    <row r="100" spans="2:118" x14ac:dyDescent="0.3">
      <c r="B100" s="64"/>
      <c r="C100" s="148"/>
      <c r="D100" s="109"/>
      <c r="E100" s="63"/>
      <c r="F100" s="127"/>
      <c r="G100" s="50"/>
      <c r="H100" s="10"/>
      <c r="I100" s="10"/>
      <c r="J100" s="10"/>
      <c r="K100" s="10"/>
      <c r="L100" s="10"/>
      <c r="M100" s="39"/>
      <c r="N100" s="33">
        <f t="shared" si="31"/>
        <v>0</v>
      </c>
      <c r="O100" s="52" t="b">
        <f>IF(AND(E100="CLIENT S+L",F100="HUILE"),(S100*3333.33+(VLOOKUP(H100,'BASE '!$I$112:$J$142,2,0)))-((S100*3333.33)*G100),IF(AND(E100="CLIENT S+L",F100="LAIT"),((S100*952.4)-(S100*952.4)*G100),IF(E100="CLIENT O","OFFERT",IF(AND(F100="HUILE",E100="CLIENT L"),(((VLOOKUP(H100,'BASE '!$I$112:$J$142,2,0))+(VLOOKUP(S100,'BASE '!#REF!,2,0)))),IF(AND(F100="LAIT",E100="CLIENT L"),(S100*952.4),IF(AND(F100="HUILE",E100="CLIENT D"),(S100*3809.53+(VLOOKUP(H100,'BASE '!$I$112:$J$142,2,0))),IF(AND(F100="LAIT",E100="CLIENT D"),(S100*952.4),IF(AND(F100="HUILE",E100="CLIENT S+D"),((S100*3809.53+(VLOOKUP(H100,'BASE '!$I$112:$J$142,2,0)))-((S100*3809.53)*G100)),IF(AND(F100="LAIT",E100="CLIENT S+D"),((S100*952.4)-((S100*952.4)*G100)),IF(AND(E100="CLIENT S",F100="LAIT"),((S100*952.4)-((S100*952.4)*G100)),IF(AND(F100="HUILE",E100="CLIENT S"),(VLOOKUP(H100,'BASE '!$I$112:$J$142,2,0)+(VLOOKUP(S100,'BASE '!#REF!,2,0)))-(G100*((VLOOKUP(S100,'BASE '!#REF!,2,0)+(VLOOKUP(H100,'BASE '!$I$112:$J$142,2,0))))))))))))))))</f>
        <v>0</v>
      </c>
      <c r="P100" s="52" t="b">
        <f t="shared" si="32"/>
        <v>0</v>
      </c>
      <c r="Q100" s="53" t="b">
        <f t="shared" si="33"/>
        <v>0</v>
      </c>
      <c r="R100" s="152" t="s">
        <v>175</v>
      </c>
      <c r="S100" s="184">
        <f t="shared" si="35"/>
        <v>0</v>
      </c>
      <c r="T100" s="124"/>
      <c r="U100" s="41" t="s">
        <v>175</v>
      </c>
      <c r="V100" s="70" t="e">
        <f>VLOOKUP(U100,'BASE '!$A$4:$H$144,2,0)</f>
        <v>#N/A</v>
      </c>
      <c r="W100" s="159"/>
      <c r="X100" s="159"/>
      <c r="Y100" s="160"/>
      <c r="Z100" s="158" t="e">
        <f>VLOOKUP(U100,'BASE '!$A$4:$H$144,3,0)</f>
        <v>#N/A</v>
      </c>
      <c r="AA100" s="94" t="e">
        <f t="shared" si="34"/>
        <v>#N/A</v>
      </c>
      <c r="AB100" s="95" t="e">
        <f>VLOOKUP(U100,'BASE '!$A$4:$H$144,6,0)*Y100/100</f>
        <v>#N/A</v>
      </c>
      <c r="AC100" s="95" t="e">
        <f>VLOOKUP(U100,'BASE '!$A$4:$H$144,7,0)*Y100/100</f>
        <v>#N/A</v>
      </c>
      <c r="AD100" s="95" t="e">
        <f>VLOOKUP(U100,'BASE '!$A$4:$H$144,8,0)*Y100/100</f>
        <v>#N/A</v>
      </c>
      <c r="AE100" s="96" t="e">
        <f t="shared" si="36"/>
        <v>#N/A</v>
      </c>
      <c r="DN100" s="116" t="e">
        <f>(($I$5*#REF!)/100)+((#REF!*$J$5)/100)+(($K$5*#REF!)/100)+($L$5*#REF!)+($M$5*#REF!)</f>
        <v>#REF!</v>
      </c>
    </row>
    <row r="101" spans="2:118" x14ac:dyDescent="0.3">
      <c r="B101" s="64"/>
      <c r="C101" s="148"/>
      <c r="D101" s="109"/>
      <c r="E101" s="63"/>
      <c r="F101" s="127"/>
      <c r="G101" s="50"/>
      <c r="H101" s="10"/>
      <c r="I101" s="10"/>
      <c r="J101" s="10"/>
      <c r="K101" s="10"/>
      <c r="L101" s="10"/>
      <c r="M101" s="39"/>
      <c r="N101" s="33">
        <f t="shared" si="31"/>
        <v>0</v>
      </c>
      <c r="O101" s="52" t="b">
        <f>IF(AND(E101="CLIENT S+L",F101="HUILE"),(S101*3333.33+(VLOOKUP(H101,'BASE '!$I$112:$J$142,2,0)))-((S101*3333.33)*G101),IF(AND(E101="CLIENT S+L",F101="LAIT"),((S101*952.4)-(S101*952.4)*G101),IF(E101="CLIENT O","OFFERT",IF(AND(F101="HUILE",E101="CLIENT L"),(((VLOOKUP(H101,'BASE '!$I$112:$J$142,2,0))+(VLOOKUP(S101,'BASE '!#REF!,2,0)))),IF(AND(F101="LAIT",E101="CLIENT L"),(S101*952.4),IF(AND(F101="HUILE",E101="CLIENT D"),(S101*3809.53+(VLOOKUP(H101,'BASE '!$I$112:$J$142,2,0))),IF(AND(F101="LAIT",E101="CLIENT D"),(S101*952.4),IF(AND(F101="HUILE",E101="CLIENT S+D"),((S101*3809.53+(VLOOKUP(H101,'BASE '!$I$112:$J$142,2,0)))-((S101*3809.53)*G101)),IF(AND(F101="LAIT",E101="CLIENT S+D"),((S101*952.4)-((S101*952.4)*G101)),IF(AND(E101="CLIENT S",F101="LAIT"),((S101*952.4)-((S101*952.4)*G101)),IF(AND(F101="HUILE",E101="CLIENT S"),(VLOOKUP(H101,'BASE '!$I$112:$J$142,2,0)+(VLOOKUP(S101,'BASE '!#REF!,2,0)))-(G101*((VLOOKUP(S101,'BASE '!#REF!,2,0)+(VLOOKUP(H101,'BASE '!$I$112:$J$142,2,0))))))))))))))))</f>
        <v>0</v>
      </c>
      <c r="P101" s="52" t="b">
        <f t="shared" si="32"/>
        <v>0</v>
      </c>
      <c r="Q101" s="53" t="b">
        <f t="shared" si="33"/>
        <v>0</v>
      </c>
      <c r="R101" s="152" t="s">
        <v>175</v>
      </c>
      <c r="S101" s="184">
        <f t="shared" si="35"/>
        <v>0</v>
      </c>
      <c r="T101" s="124"/>
      <c r="U101" s="41" t="s">
        <v>175</v>
      </c>
      <c r="V101" s="70" t="e">
        <f>VLOOKUP(U101,'BASE '!$A$4:$H$144,2,0)</f>
        <v>#N/A</v>
      </c>
      <c r="W101" s="159"/>
      <c r="X101" s="159"/>
      <c r="Y101" s="160"/>
      <c r="Z101" s="158" t="e">
        <f>VLOOKUP(U101,'BASE '!$A$4:$H$144,3,0)</f>
        <v>#N/A</v>
      </c>
      <c r="AA101" s="94" t="e">
        <f t="shared" si="34"/>
        <v>#N/A</v>
      </c>
      <c r="AB101" s="95" t="e">
        <f>VLOOKUP(U101,'BASE '!$A$4:$H$144,6,0)*Y101/100</f>
        <v>#N/A</v>
      </c>
      <c r="AC101" s="95" t="e">
        <f>VLOOKUP(U101,'BASE '!$A$4:$H$144,7,0)*Y101/100</f>
        <v>#N/A</v>
      </c>
      <c r="AD101" s="95" t="e">
        <f>VLOOKUP(U101,'BASE '!$A$4:$H$144,8,0)*Y101/100</f>
        <v>#N/A</v>
      </c>
      <c r="AE101" s="96" t="e">
        <f t="shared" si="36"/>
        <v>#N/A</v>
      </c>
      <c r="DN101" s="116" t="e">
        <f>(($I$5*#REF!)/100)+((#REF!*$J$5)/100)+(($K$5*#REF!)/100)+($L$5*#REF!)+($M$5*#REF!)</f>
        <v>#REF!</v>
      </c>
    </row>
    <row r="102" spans="2:118" x14ac:dyDescent="0.3">
      <c r="B102" s="64"/>
      <c r="C102" s="148"/>
      <c r="D102" s="109"/>
      <c r="E102" s="63"/>
      <c r="F102" s="127"/>
      <c r="G102" s="50"/>
      <c r="H102" s="10"/>
      <c r="I102" s="10"/>
      <c r="J102" s="10"/>
      <c r="K102" s="10"/>
      <c r="L102" s="10"/>
      <c r="M102" s="39"/>
      <c r="N102" s="33">
        <f t="shared" si="31"/>
        <v>0</v>
      </c>
      <c r="O102" s="52" t="b">
        <f>IF(AND(E102="CLIENT S+L",F102="HUILE"),(S102*3333.33+(VLOOKUP(H102,'BASE '!$I$112:$J$142,2,0)))-((S102*3333.33)*G102),IF(AND(E102="CLIENT S+L",F102="LAIT"),((S102*952.4)-(S102*952.4)*G102),IF(E102="CLIENT O","OFFERT",IF(AND(F102="HUILE",E102="CLIENT L"),(((VLOOKUP(H102,'BASE '!$I$112:$J$142,2,0))+(VLOOKUP(S102,'BASE '!#REF!,2,0)))),IF(AND(F102="LAIT",E102="CLIENT L"),(S102*952.4),IF(AND(F102="HUILE",E102="CLIENT D"),(S102*3809.53+(VLOOKUP(H102,'BASE '!$I$112:$J$142,2,0))),IF(AND(F102="LAIT",E102="CLIENT D"),(S102*952.4),IF(AND(F102="HUILE",E102="CLIENT S+D"),((S102*3809.53+(VLOOKUP(H102,'BASE '!$I$112:$J$142,2,0)))-((S102*3809.53)*G102)),IF(AND(F102="LAIT",E102="CLIENT S+D"),((S102*952.4)-((S102*952.4)*G102)),IF(AND(E102="CLIENT S",F102="LAIT"),((S102*952.4)-((S102*952.4)*G102)),IF(AND(F102="HUILE",E102="CLIENT S"),(VLOOKUP(H102,'BASE '!$I$112:$J$142,2,0)+(VLOOKUP(S102,'BASE '!#REF!,2,0)))-(G102*((VLOOKUP(S102,'BASE '!#REF!,2,0)+(VLOOKUP(H102,'BASE '!$I$112:$J$142,2,0))))))))))))))))</f>
        <v>0</v>
      </c>
      <c r="P102" s="52" t="b">
        <f t="shared" si="32"/>
        <v>0</v>
      </c>
      <c r="Q102" s="53" t="b">
        <f t="shared" si="33"/>
        <v>0</v>
      </c>
      <c r="R102" s="152" t="s">
        <v>175</v>
      </c>
      <c r="S102" s="184">
        <f t="shared" si="35"/>
        <v>0</v>
      </c>
      <c r="T102" s="124"/>
      <c r="U102" s="41" t="s">
        <v>175</v>
      </c>
      <c r="V102" s="70" t="e">
        <f>VLOOKUP(U102,'BASE '!$A$4:$H$144,2,0)</f>
        <v>#N/A</v>
      </c>
      <c r="W102" s="159"/>
      <c r="X102" s="159"/>
      <c r="Y102" s="160"/>
      <c r="Z102" s="158" t="e">
        <f>VLOOKUP(U102,'BASE '!$A$4:$H$144,3,0)</f>
        <v>#N/A</v>
      </c>
      <c r="AA102" s="94" t="e">
        <f t="shared" si="34"/>
        <v>#N/A</v>
      </c>
      <c r="AB102" s="95" t="e">
        <f>VLOOKUP(U102,'BASE '!$A$4:$H$144,6,0)*Y102/100</f>
        <v>#N/A</v>
      </c>
      <c r="AC102" s="95" t="e">
        <f>VLOOKUP(U102,'BASE '!$A$4:$H$144,7,0)*Y102/100</f>
        <v>#N/A</v>
      </c>
      <c r="AD102" s="95" t="e">
        <f>VLOOKUP(U102,'BASE '!$A$4:$H$144,8,0)*Y102/100</f>
        <v>#N/A</v>
      </c>
      <c r="AE102" s="96" t="e">
        <f t="shared" si="36"/>
        <v>#N/A</v>
      </c>
      <c r="DN102" s="116" t="e">
        <f>(($I$5*#REF!)/100)+((#REF!*$J$5)/100)+(($K$5*#REF!)/100)+($L$5*#REF!)+($M$5*#REF!)</f>
        <v>#REF!</v>
      </c>
    </row>
    <row r="103" spans="2:118" x14ac:dyDescent="0.3">
      <c r="B103" s="64"/>
      <c r="C103" s="148"/>
      <c r="D103" s="109"/>
      <c r="E103" s="63"/>
      <c r="F103" s="127"/>
      <c r="G103" s="50"/>
      <c r="H103" s="10"/>
      <c r="I103" s="10"/>
      <c r="J103" s="10"/>
      <c r="K103" s="10"/>
      <c r="L103" s="10"/>
      <c r="M103" s="39"/>
      <c r="N103" s="33">
        <f t="shared" si="31"/>
        <v>0</v>
      </c>
      <c r="O103" s="52" t="b">
        <f>IF(AND(E103="CLIENT S+L",F103="HUILE"),(S103*3333.33+(VLOOKUP(H103,'BASE '!$I$112:$J$142,2,0)))-((S103*3333.33)*G103),IF(AND(E103="CLIENT S+L",F103="LAIT"),((S103*952.4)-(S103*952.4)*G103),IF(E103="CLIENT O","OFFERT",IF(AND(F103="HUILE",E103="CLIENT L"),(((VLOOKUP(H103,'BASE '!$I$112:$J$142,2,0))+(VLOOKUP(S103,'BASE '!#REF!,2,0)))),IF(AND(F103="LAIT",E103="CLIENT L"),(S103*952.4),IF(AND(F103="HUILE",E103="CLIENT D"),(S103*3809.53+(VLOOKUP(H103,'BASE '!$I$112:$J$142,2,0))),IF(AND(F103="LAIT",E103="CLIENT D"),(S103*952.4),IF(AND(F103="HUILE",E103="CLIENT S+D"),((S103*3809.53+(VLOOKUP(H103,'BASE '!$I$112:$J$142,2,0)))-((S103*3809.53)*G103)),IF(AND(F103="LAIT",E103="CLIENT S+D"),((S103*952.4)-((S103*952.4)*G103)),IF(AND(E103="CLIENT S",F103="LAIT"),((S103*952.4)-((S103*952.4)*G103)),IF(AND(F103="HUILE",E103="CLIENT S"),(VLOOKUP(H103,'BASE '!$I$112:$J$142,2,0)+(VLOOKUP(S103,'BASE '!#REF!,2,0)))-(G103*((VLOOKUP(S103,'BASE '!#REF!,2,0)+(VLOOKUP(H103,'BASE '!$I$112:$J$142,2,0))))))))))))))))</f>
        <v>0</v>
      </c>
      <c r="P103" s="52" t="b">
        <f t="shared" si="32"/>
        <v>0</v>
      </c>
      <c r="Q103" s="53" t="b">
        <f t="shared" si="33"/>
        <v>0</v>
      </c>
      <c r="R103" s="152" t="s">
        <v>175</v>
      </c>
      <c r="S103" s="184">
        <f t="shared" si="35"/>
        <v>0</v>
      </c>
      <c r="T103" s="124"/>
      <c r="U103" s="41" t="s">
        <v>175</v>
      </c>
      <c r="V103" s="70" t="e">
        <f>VLOOKUP(U103,'BASE '!$A$4:$H$144,2,0)</f>
        <v>#N/A</v>
      </c>
      <c r="W103" s="159"/>
      <c r="X103" s="159"/>
      <c r="Y103" s="160"/>
      <c r="Z103" s="158" t="e">
        <f>VLOOKUP(U103,'BASE '!$A$4:$H$144,3,0)</f>
        <v>#N/A</v>
      </c>
      <c r="AA103" s="94" t="e">
        <f t="shared" si="34"/>
        <v>#N/A</v>
      </c>
      <c r="AB103" s="95" t="e">
        <f>VLOOKUP(U103,'BASE '!$A$4:$H$144,6,0)*Y103/100</f>
        <v>#N/A</v>
      </c>
      <c r="AC103" s="95" t="e">
        <f>VLOOKUP(U103,'BASE '!$A$4:$H$144,7,0)*Y103/100</f>
        <v>#N/A</v>
      </c>
      <c r="AD103" s="95" t="e">
        <f>VLOOKUP(U103,'BASE '!$A$4:$H$144,8,0)*Y103/100</f>
        <v>#N/A</v>
      </c>
      <c r="AE103" s="96" t="e">
        <f t="shared" si="36"/>
        <v>#N/A</v>
      </c>
      <c r="DN103" s="116" t="e">
        <f>(($I$5*#REF!)/100)+((#REF!*$J$5)/100)+(($K$5*#REF!)/100)+($L$5*#REF!)+($M$5*#REF!)</f>
        <v>#REF!</v>
      </c>
    </row>
    <row r="104" spans="2:118" x14ac:dyDescent="0.3">
      <c r="B104" s="64"/>
      <c r="C104" s="148"/>
      <c r="D104" s="109"/>
      <c r="E104" s="63"/>
      <c r="F104" s="127"/>
      <c r="G104" s="50"/>
      <c r="H104" s="10"/>
      <c r="I104" s="10"/>
      <c r="J104" s="10"/>
      <c r="K104" s="10"/>
      <c r="L104" s="10"/>
      <c r="M104" s="39"/>
      <c r="N104" s="33">
        <f t="shared" si="31"/>
        <v>0</v>
      </c>
      <c r="O104" s="52" t="b">
        <f>IF(AND(E104="CLIENT S+L",F104="HUILE"),(S104*3333.33+(VLOOKUP(H104,'BASE '!$I$112:$J$142,2,0)))-((S104*3333.33)*G104),IF(AND(E104="CLIENT S+L",F104="LAIT"),((S104*952.4)-(S104*952.4)*G104),IF(E104="CLIENT O","OFFERT",IF(AND(F104="HUILE",E104="CLIENT L"),(((VLOOKUP(H104,'BASE '!$I$112:$J$142,2,0))+(VLOOKUP(S104,'BASE '!#REF!,2,0)))),IF(AND(F104="LAIT",E104="CLIENT L"),(S104*952.4),IF(AND(F104="HUILE",E104="CLIENT D"),(S104*3809.53+(VLOOKUP(H104,'BASE '!$I$112:$J$142,2,0))),IF(AND(F104="LAIT",E104="CLIENT D"),(S104*952.4),IF(AND(F104="HUILE",E104="CLIENT S+D"),((S104*3809.53+(VLOOKUP(H104,'BASE '!$I$112:$J$142,2,0)))-((S104*3809.53)*G104)),IF(AND(F104="LAIT",E104="CLIENT S+D"),((S104*952.4)-((S104*952.4)*G104)),IF(AND(E104="CLIENT S",F104="LAIT"),((S104*952.4)-((S104*952.4)*G104)),IF(AND(F104="HUILE",E104="CLIENT S"),(VLOOKUP(H104,'BASE '!$I$112:$J$142,2,0)+(VLOOKUP(S104,'BASE '!#REF!,2,0)))-(G104*((VLOOKUP(S104,'BASE '!#REF!,2,0)+(VLOOKUP(H104,'BASE '!$I$112:$J$142,2,0))))))))))))))))</f>
        <v>0</v>
      </c>
      <c r="P104" s="52" t="b">
        <f t="shared" si="32"/>
        <v>0</v>
      </c>
      <c r="Q104" s="53" t="b">
        <f t="shared" si="33"/>
        <v>0</v>
      </c>
      <c r="R104" s="152" t="s">
        <v>175</v>
      </c>
      <c r="S104" s="184">
        <f t="shared" si="35"/>
        <v>0</v>
      </c>
      <c r="T104" s="124"/>
      <c r="U104" s="41" t="s">
        <v>175</v>
      </c>
      <c r="V104" s="70" t="e">
        <f>VLOOKUP(U104,'BASE '!$A$4:$H$144,2,0)</f>
        <v>#N/A</v>
      </c>
      <c r="W104" s="159"/>
      <c r="X104" s="159"/>
      <c r="Y104" s="160"/>
      <c r="Z104" s="158" t="e">
        <f>VLOOKUP(U104,'BASE '!$A$4:$H$144,3,0)</f>
        <v>#N/A</v>
      </c>
      <c r="AA104" s="94" t="e">
        <f t="shared" si="34"/>
        <v>#N/A</v>
      </c>
      <c r="AB104" s="95" t="e">
        <f>VLOOKUP(U104,'BASE '!$A$4:$H$144,6,0)*Y104/100</f>
        <v>#N/A</v>
      </c>
      <c r="AC104" s="95" t="e">
        <f>VLOOKUP(U104,'BASE '!$A$4:$H$144,7,0)*Y104/100</f>
        <v>#N/A</v>
      </c>
      <c r="AD104" s="95" t="e">
        <f>VLOOKUP(U104,'BASE '!$A$4:$H$144,8,0)*Y104/100</f>
        <v>#N/A</v>
      </c>
      <c r="AE104" s="96" t="e">
        <f t="shared" si="36"/>
        <v>#N/A</v>
      </c>
      <c r="DN104" s="116" t="e">
        <f>(($I$5*#REF!)/100)+((#REF!*$J$5)/100)+(($K$5*#REF!)/100)+($L$5*#REF!)+($M$5*#REF!)</f>
        <v>#REF!</v>
      </c>
    </row>
    <row r="105" spans="2:118" x14ac:dyDescent="0.3">
      <c r="B105" s="64"/>
      <c r="C105" s="148"/>
      <c r="D105" s="109"/>
      <c r="E105" s="63"/>
      <c r="F105" s="127"/>
      <c r="G105" s="50"/>
      <c r="H105" s="10"/>
      <c r="I105" s="10"/>
      <c r="J105" s="10"/>
      <c r="K105" s="10"/>
      <c r="L105" s="10"/>
      <c r="M105" s="39"/>
      <c r="N105" s="33">
        <f t="shared" si="31"/>
        <v>0</v>
      </c>
      <c r="O105" s="52" t="b">
        <f>IF(AND(E105="CLIENT S+L",F105="HUILE"),(S105*3333.33+(VLOOKUP(H105,'BASE '!$I$112:$J$142,2,0)))-((S105*3333.33)*G105),IF(AND(E105="CLIENT S+L",F105="LAIT"),((S105*952.4)-(S105*952.4)*G105),IF(E105="CLIENT O","OFFERT",IF(AND(F105="HUILE",E105="CLIENT L"),(((VLOOKUP(H105,'BASE '!$I$112:$J$142,2,0))+(VLOOKUP(S105,'BASE '!#REF!,2,0)))),IF(AND(F105="LAIT",E105="CLIENT L"),(S105*952.4),IF(AND(F105="HUILE",E105="CLIENT D"),(S105*3809.53+(VLOOKUP(H105,'BASE '!$I$112:$J$142,2,0))),IF(AND(F105="LAIT",E105="CLIENT D"),(S105*952.4),IF(AND(F105="HUILE",E105="CLIENT S+D"),((S105*3809.53+(VLOOKUP(H105,'BASE '!$I$112:$J$142,2,0)))-((S105*3809.53)*G105)),IF(AND(F105="LAIT",E105="CLIENT S+D"),((S105*952.4)-((S105*952.4)*G105)),IF(AND(E105="CLIENT S",F105="LAIT"),((S105*952.4)-((S105*952.4)*G105)),IF(AND(F105="HUILE",E105="CLIENT S"),(VLOOKUP(H105,'BASE '!$I$112:$J$142,2,0)+(VLOOKUP(S105,'BASE '!#REF!,2,0)))-(G105*((VLOOKUP(S105,'BASE '!#REF!,2,0)+(VLOOKUP(H105,'BASE '!$I$112:$J$142,2,0))))))))))))))))</f>
        <v>0</v>
      </c>
      <c r="P105" s="52" t="b">
        <f t="shared" si="32"/>
        <v>0</v>
      </c>
      <c r="Q105" s="53" t="b">
        <f t="shared" si="33"/>
        <v>0</v>
      </c>
      <c r="R105" s="152" t="s">
        <v>175</v>
      </c>
      <c r="S105" s="184">
        <f t="shared" si="35"/>
        <v>0</v>
      </c>
      <c r="T105" s="124"/>
      <c r="U105" s="41" t="s">
        <v>175</v>
      </c>
      <c r="V105" s="70" t="e">
        <f>VLOOKUP(U105,'BASE '!$A$4:$H$144,2,0)</f>
        <v>#N/A</v>
      </c>
      <c r="W105" s="159"/>
      <c r="X105" s="159"/>
      <c r="Y105" s="160"/>
      <c r="Z105" s="158" t="e">
        <f>VLOOKUP(U105,'BASE '!$A$4:$H$144,3,0)</f>
        <v>#N/A</v>
      </c>
      <c r="AA105" s="94" t="e">
        <f t="shared" si="34"/>
        <v>#N/A</v>
      </c>
      <c r="AB105" s="95" t="e">
        <f>VLOOKUP(U105,'BASE '!$A$4:$H$144,6,0)*Y105/100</f>
        <v>#N/A</v>
      </c>
      <c r="AC105" s="95" t="e">
        <f>VLOOKUP(U105,'BASE '!$A$4:$H$144,7,0)*Y105/100</f>
        <v>#N/A</v>
      </c>
      <c r="AD105" s="95" t="e">
        <f>VLOOKUP(U105,'BASE '!$A$4:$H$144,8,0)*Y105/100</f>
        <v>#N/A</v>
      </c>
      <c r="AE105" s="96" t="e">
        <f t="shared" si="36"/>
        <v>#N/A</v>
      </c>
      <c r="DN105" s="116" t="e">
        <f>(($I$5*#REF!)/100)+((#REF!*$J$5)/100)+(($K$5*#REF!)/100)+($L$5*#REF!)+($M$5*#REF!)</f>
        <v>#REF!</v>
      </c>
    </row>
    <row r="106" spans="2:118" x14ac:dyDescent="0.3">
      <c r="B106" s="64"/>
      <c r="C106" s="148"/>
      <c r="D106" s="109"/>
      <c r="E106" s="63"/>
      <c r="F106" s="127"/>
      <c r="G106" s="50"/>
      <c r="H106" s="10"/>
      <c r="I106" s="10"/>
      <c r="J106" s="10"/>
      <c r="K106" s="10"/>
      <c r="L106" s="10"/>
      <c r="M106" s="39"/>
      <c r="N106" s="33">
        <f t="shared" si="31"/>
        <v>0</v>
      </c>
      <c r="O106" s="52" t="b">
        <f>IF(AND(E106="CLIENT S+L",F106="HUILE"),(S106*3333.33+(VLOOKUP(H106,'BASE '!$I$112:$J$142,2,0)))-((S106*3333.33)*G106),IF(AND(E106="CLIENT S+L",F106="LAIT"),((S106*952.4)-(S106*952.4)*G106),IF(E106="CLIENT O","OFFERT",IF(AND(F106="HUILE",E106="CLIENT L"),(((VLOOKUP(H106,'BASE '!$I$112:$J$142,2,0))+(VLOOKUP(S106,'BASE '!#REF!,2,0)))),IF(AND(F106="LAIT",E106="CLIENT L"),(S106*952.4),IF(AND(F106="HUILE",E106="CLIENT D"),(S106*3809.53+(VLOOKUP(H106,'BASE '!$I$112:$J$142,2,0))),IF(AND(F106="LAIT",E106="CLIENT D"),(S106*952.4),IF(AND(F106="HUILE",E106="CLIENT S+D"),((S106*3809.53+(VLOOKUP(H106,'BASE '!$I$112:$J$142,2,0)))-((S106*3809.53)*G106)),IF(AND(F106="LAIT",E106="CLIENT S+D"),((S106*952.4)-((S106*952.4)*G106)),IF(AND(E106="CLIENT S",F106="LAIT"),((S106*952.4)-((S106*952.4)*G106)),IF(AND(F106="HUILE",E106="CLIENT S"),(VLOOKUP(H106,'BASE '!$I$112:$J$142,2,0)+(VLOOKUP(S106,'BASE '!#REF!,2,0)))-(G106*((VLOOKUP(S106,'BASE '!#REF!,2,0)+(VLOOKUP(H106,'BASE '!$I$112:$J$142,2,0))))))))))))))))</f>
        <v>0</v>
      </c>
      <c r="P106" s="52" t="b">
        <f t="shared" si="32"/>
        <v>0</v>
      </c>
      <c r="Q106" s="53" t="b">
        <f t="shared" si="33"/>
        <v>0</v>
      </c>
      <c r="R106" s="152" t="s">
        <v>175</v>
      </c>
      <c r="S106" s="184">
        <f t="shared" si="35"/>
        <v>0</v>
      </c>
      <c r="T106" s="124"/>
      <c r="U106" s="41" t="s">
        <v>175</v>
      </c>
      <c r="V106" s="70" t="e">
        <f>VLOOKUP(U106,'BASE '!$A$4:$H$144,2,0)</f>
        <v>#N/A</v>
      </c>
      <c r="W106" s="159"/>
      <c r="X106" s="159"/>
      <c r="Y106" s="160"/>
      <c r="Z106" s="158" t="e">
        <f>VLOOKUP(U106,'BASE '!$A$4:$H$144,3,0)</f>
        <v>#N/A</v>
      </c>
      <c r="AA106" s="94" t="e">
        <f t="shared" si="34"/>
        <v>#N/A</v>
      </c>
      <c r="AB106" s="95" t="e">
        <f>VLOOKUP(U106,'BASE '!$A$4:$H$144,6,0)*Y106/100</f>
        <v>#N/A</v>
      </c>
      <c r="AC106" s="95" t="e">
        <f>VLOOKUP(U106,'BASE '!$A$4:$H$144,7,0)*Y106/100</f>
        <v>#N/A</v>
      </c>
      <c r="AD106" s="95" t="e">
        <f>VLOOKUP(U106,'BASE '!$A$4:$H$144,8,0)*Y106/100</f>
        <v>#N/A</v>
      </c>
      <c r="AE106" s="96" t="e">
        <f t="shared" si="36"/>
        <v>#N/A</v>
      </c>
      <c r="DN106" s="116" t="e">
        <f>(($I$5*#REF!)/100)+((#REF!*$J$5)/100)+(($K$5*#REF!)/100)+($L$5*#REF!)+($M$5*#REF!)</f>
        <v>#REF!</v>
      </c>
    </row>
    <row r="107" spans="2:118" x14ac:dyDescent="0.3">
      <c r="B107" s="64"/>
      <c r="C107" s="148"/>
      <c r="D107" s="109"/>
      <c r="E107" s="63"/>
      <c r="F107" s="127"/>
      <c r="G107" s="50"/>
      <c r="H107" s="10"/>
      <c r="I107" s="10"/>
      <c r="J107" s="10"/>
      <c r="K107" s="10"/>
      <c r="L107" s="10"/>
      <c r="M107" s="39"/>
      <c r="N107" s="33">
        <f t="shared" si="31"/>
        <v>0</v>
      </c>
      <c r="O107" s="52" t="b">
        <f>IF(AND(E107="CLIENT S+L",F107="HUILE"),(S107*3333.33+(VLOOKUP(H107,'BASE '!$I$112:$J$142,2,0)))-((S107*3333.33)*G107),IF(AND(E107="CLIENT S+L",F107="LAIT"),((S107*952.4)-(S107*952.4)*G107),IF(E107="CLIENT O","OFFERT",IF(AND(F107="HUILE",E107="CLIENT L"),(((VLOOKUP(H107,'BASE '!$I$112:$J$142,2,0))+(VLOOKUP(S107,'BASE '!#REF!,2,0)))),IF(AND(F107="LAIT",E107="CLIENT L"),(S107*952.4),IF(AND(F107="HUILE",E107="CLIENT D"),(S107*3809.53+(VLOOKUP(H107,'BASE '!$I$112:$J$142,2,0))),IF(AND(F107="LAIT",E107="CLIENT D"),(S107*952.4),IF(AND(F107="HUILE",E107="CLIENT S+D"),((S107*3809.53+(VLOOKUP(H107,'BASE '!$I$112:$J$142,2,0)))-((S107*3809.53)*G107)),IF(AND(F107="LAIT",E107="CLIENT S+D"),((S107*952.4)-((S107*952.4)*G107)),IF(AND(E107="CLIENT S",F107="LAIT"),((S107*952.4)-((S107*952.4)*G107)),IF(AND(F107="HUILE",E107="CLIENT S"),(VLOOKUP(H107,'BASE '!$I$112:$J$142,2,0)+(VLOOKUP(S107,'BASE '!#REF!,2,0)))-(G107*((VLOOKUP(S107,'BASE '!#REF!,2,0)+(VLOOKUP(H107,'BASE '!$I$112:$J$142,2,0))))))))))))))))</f>
        <v>0</v>
      </c>
      <c r="P107" s="52" t="b">
        <f t="shared" si="32"/>
        <v>0</v>
      </c>
      <c r="Q107" s="53" t="b">
        <f t="shared" si="33"/>
        <v>0</v>
      </c>
      <c r="R107" s="152" t="s">
        <v>175</v>
      </c>
      <c r="S107" s="184">
        <f t="shared" si="35"/>
        <v>0</v>
      </c>
      <c r="T107" s="124"/>
      <c r="U107" s="41" t="s">
        <v>175</v>
      </c>
      <c r="V107" s="70" t="e">
        <f>VLOOKUP(U107,'BASE '!$A$4:$H$144,2,0)</f>
        <v>#N/A</v>
      </c>
      <c r="W107" s="159"/>
      <c r="X107" s="159"/>
      <c r="Y107" s="160"/>
      <c r="Z107" s="158" t="e">
        <f>VLOOKUP(U107,'BASE '!$A$4:$H$144,3,0)</f>
        <v>#N/A</v>
      </c>
      <c r="AA107" s="94" t="e">
        <f t="shared" si="34"/>
        <v>#N/A</v>
      </c>
      <c r="AB107" s="95" t="e">
        <f>VLOOKUP(U107,'BASE '!$A$4:$H$144,6,0)*Y107/100</f>
        <v>#N/A</v>
      </c>
      <c r="AC107" s="95" t="e">
        <f>VLOOKUP(U107,'BASE '!$A$4:$H$144,7,0)*Y107/100</f>
        <v>#N/A</v>
      </c>
      <c r="AD107" s="95" t="e">
        <f>VLOOKUP(U107,'BASE '!$A$4:$H$144,8,0)*Y107/100</f>
        <v>#N/A</v>
      </c>
      <c r="AE107" s="96" t="e">
        <f t="shared" si="36"/>
        <v>#N/A</v>
      </c>
      <c r="DN107" s="116" t="e">
        <f>(($I$5*#REF!)/100)+((#REF!*$J$5)/100)+(($K$5*#REF!)/100)+($L$5*#REF!)+($M$5*#REF!)</f>
        <v>#REF!</v>
      </c>
    </row>
    <row r="108" spans="2:118" x14ac:dyDescent="0.3">
      <c r="B108" s="64"/>
      <c r="C108" s="148"/>
      <c r="D108" s="109"/>
      <c r="E108" s="63"/>
      <c r="F108" s="127"/>
      <c r="G108" s="50"/>
      <c r="H108" s="10"/>
      <c r="I108" s="10"/>
      <c r="J108" s="10"/>
      <c r="K108" s="10"/>
      <c r="L108" s="10"/>
      <c r="M108" s="39"/>
      <c r="N108" s="33">
        <f t="shared" si="31"/>
        <v>0</v>
      </c>
      <c r="O108" s="52" t="b">
        <f>IF(AND(E108="CLIENT S+L",F108="HUILE"),(S108*3333.33+(VLOOKUP(H108,'BASE '!$I$112:$J$142,2,0)))-((S108*3333.33)*G108),IF(AND(E108="CLIENT S+L",F108="LAIT"),((S108*952.4)-(S108*952.4)*G108),IF(E108="CLIENT O","OFFERT",IF(AND(F108="HUILE",E108="CLIENT L"),(((VLOOKUP(H108,'BASE '!$I$112:$J$142,2,0))+(VLOOKUP(S108,'BASE '!#REF!,2,0)))),IF(AND(F108="LAIT",E108="CLIENT L"),(S108*952.4),IF(AND(F108="HUILE",E108="CLIENT D"),(S108*3809.53+(VLOOKUP(H108,'BASE '!$I$112:$J$142,2,0))),IF(AND(F108="LAIT",E108="CLIENT D"),(S108*952.4),IF(AND(F108="HUILE",E108="CLIENT S+D"),((S108*3809.53+(VLOOKUP(H108,'BASE '!$I$112:$J$142,2,0)))-((S108*3809.53)*G108)),IF(AND(F108="LAIT",E108="CLIENT S+D"),((S108*952.4)-((S108*952.4)*G108)),IF(AND(E108="CLIENT S",F108="LAIT"),((S108*952.4)-((S108*952.4)*G108)),IF(AND(F108="HUILE",E108="CLIENT S"),(VLOOKUP(H108,'BASE '!$I$112:$J$142,2,0)+(VLOOKUP(S108,'BASE '!#REF!,2,0)))-(G108*((VLOOKUP(S108,'BASE '!#REF!,2,0)+(VLOOKUP(H108,'BASE '!$I$112:$J$142,2,0))))))))))))))))</f>
        <v>0</v>
      </c>
      <c r="P108" s="52" t="b">
        <f t="shared" si="32"/>
        <v>0</v>
      </c>
      <c r="Q108" s="53" t="b">
        <f t="shared" si="33"/>
        <v>0</v>
      </c>
      <c r="R108" s="152" t="s">
        <v>175</v>
      </c>
      <c r="S108" s="184">
        <f t="shared" si="35"/>
        <v>0</v>
      </c>
      <c r="T108" s="124"/>
      <c r="U108" s="41" t="s">
        <v>175</v>
      </c>
      <c r="V108" s="70" t="e">
        <f>VLOOKUP(U108,'BASE '!$A$4:$H$144,2,0)</f>
        <v>#N/A</v>
      </c>
      <c r="W108" s="159"/>
      <c r="X108" s="159"/>
      <c r="Y108" s="160"/>
      <c r="Z108" s="158" t="e">
        <f>VLOOKUP(U108,'BASE '!$A$4:$H$144,3,0)</f>
        <v>#N/A</v>
      </c>
      <c r="AA108" s="94" t="e">
        <f t="shared" si="34"/>
        <v>#N/A</v>
      </c>
      <c r="AB108" s="95" t="e">
        <f>VLOOKUP(U108,'BASE '!$A$4:$H$144,6,0)*Y108/100</f>
        <v>#N/A</v>
      </c>
      <c r="AC108" s="95" t="e">
        <f>VLOOKUP(U108,'BASE '!$A$4:$H$144,7,0)*Y108/100</f>
        <v>#N/A</v>
      </c>
      <c r="AD108" s="95" t="e">
        <f>VLOOKUP(U108,'BASE '!$A$4:$H$144,8,0)*Y108/100</f>
        <v>#N/A</v>
      </c>
      <c r="AE108" s="96" t="e">
        <f t="shared" si="36"/>
        <v>#N/A</v>
      </c>
      <c r="DN108" s="116" t="e">
        <f>(($I$5*#REF!)/100)+((#REF!*$J$5)/100)+(($K$5*#REF!)/100)+($L$5*#REF!)+($M$5*#REF!)</f>
        <v>#REF!</v>
      </c>
    </row>
    <row r="109" spans="2:118" x14ac:dyDescent="0.3">
      <c r="B109" s="64"/>
      <c r="C109" s="148"/>
      <c r="D109" s="109"/>
      <c r="E109" s="63"/>
      <c r="F109" s="127"/>
      <c r="G109" s="50"/>
      <c r="H109" s="10"/>
      <c r="I109" s="10"/>
      <c r="J109" s="10"/>
      <c r="K109" s="10"/>
      <c r="L109" s="10"/>
      <c r="M109" s="39"/>
      <c r="N109" s="33">
        <f t="shared" si="31"/>
        <v>0</v>
      </c>
      <c r="O109" s="52" t="b">
        <f>IF(AND(E109="CLIENT S+L",F109="HUILE"),(S109*3333.33+(VLOOKUP(H109,'BASE '!$I$112:$J$142,2,0)))-((S109*3333.33)*G109),IF(AND(E109="CLIENT S+L",F109="LAIT"),((S109*952.4)-(S109*952.4)*G109),IF(E109="CLIENT O","OFFERT",IF(AND(F109="HUILE",E109="CLIENT L"),(((VLOOKUP(H109,'BASE '!$I$112:$J$142,2,0))+(VLOOKUP(S109,'BASE '!#REF!,2,0)))),IF(AND(F109="LAIT",E109="CLIENT L"),(S109*952.4),IF(AND(F109="HUILE",E109="CLIENT D"),(S109*3809.53+(VLOOKUP(H109,'BASE '!$I$112:$J$142,2,0))),IF(AND(F109="LAIT",E109="CLIENT D"),(S109*952.4),IF(AND(F109="HUILE",E109="CLIENT S+D"),((S109*3809.53+(VLOOKUP(H109,'BASE '!$I$112:$J$142,2,0)))-((S109*3809.53)*G109)),IF(AND(F109="LAIT",E109="CLIENT S+D"),((S109*952.4)-((S109*952.4)*G109)),IF(AND(E109="CLIENT S",F109="LAIT"),((S109*952.4)-((S109*952.4)*G109)),IF(AND(F109="HUILE",E109="CLIENT S"),(VLOOKUP(H109,'BASE '!$I$112:$J$142,2,0)+(VLOOKUP(S109,'BASE '!#REF!,2,0)))-(G109*((VLOOKUP(S109,'BASE '!#REF!,2,0)+(VLOOKUP(H109,'BASE '!$I$112:$J$142,2,0))))))))))))))))</f>
        <v>0</v>
      </c>
      <c r="P109" s="52" t="b">
        <f t="shared" si="32"/>
        <v>0</v>
      </c>
      <c r="Q109" s="53" t="b">
        <f t="shared" si="33"/>
        <v>0</v>
      </c>
      <c r="R109" s="152" t="s">
        <v>175</v>
      </c>
      <c r="S109" s="184">
        <f t="shared" si="35"/>
        <v>0</v>
      </c>
      <c r="T109" s="124"/>
      <c r="U109" s="41" t="s">
        <v>175</v>
      </c>
      <c r="V109" s="70" t="e">
        <f>VLOOKUP(U109,'BASE '!$A$4:$H$144,2,0)</f>
        <v>#N/A</v>
      </c>
      <c r="W109" s="159"/>
      <c r="X109" s="159"/>
      <c r="Y109" s="160"/>
      <c r="Z109" s="158" t="e">
        <f>VLOOKUP(U109,'BASE '!$A$4:$H$144,3,0)</f>
        <v>#N/A</v>
      </c>
      <c r="AA109" s="94" t="e">
        <f t="shared" si="34"/>
        <v>#N/A</v>
      </c>
      <c r="AB109" s="95" t="e">
        <f>VLOOKUP(U109,'BASE '!$A$4:$H$144,6,0)*Y109/100</f>
        <v>#N/A</v>
      </c>
      <c r="AC109" s="95" t="e">
        <f>VLOOKUP(U109,'BASE '!$A$4:$H$144,7,0)*Y109/100</f>
        <v>#N/A</v>
      </c>
      <c r="AD109" s="95" t="e">
        <f>VLOOKUP(U109,'BASE '!$A$4:$H$144,8,0)*Y109/100</f>
        <v>#N/A</v>
      </c>
      <c r="AE109" s="96" t="e">
        <f t="shared" si="36"/>
        <v>#N/A</v>
      </c>
      <c r="DN109" s="116" t="e">
        <f>(($I$5*#REF!)/100)+((#REF!*$J$5)/100)+(($K$5*#REF!)/100)+($L$5*#REF!)+($M$5*#REF!)</f>
        <v>#REF!</v>
      </c>
    </row>
    <row r="110" spans="2:118" x14ac:dyDescent="0.3">
      <c r="B110" s="64"/>
      <c r="C110" s="148"/>
      <c r="D110" s="109"/>
      <c r="E110" s="63"/>
      <c r="F110" s="127"/>
      <c r="G110" s="50"/>
      <c r="H110" s="10"/>
      <c r="I110" s="10"/>
      <c r="J110" s="10"/>
      <c r="K110" s="10"/>
      <c r="L110" s="10"/>
      <c r="M110" s="39"/>
      <c r="N110" s="33">
        <f t="shared" si="31"/>
        <v>0</v>
      </c>
      <c r="O110" s="52" t="b">
        <f>IF(AND(E110="CLIENT S+L",F110="HUILE"),(S110*3333.33+(VLOOKUP(H110,'BASE '!$I$112:$J$142,2,0)))-((S110*3333.33)*G110),IF(AND(E110="CLIENT S+L",F110="LAIT"),((S110*952.4)-(S110*952.4)*G110),IF(E110="CLIENT O","OFFERT",IF(AND(F110="HUILE",E110="CLIENT L"),(((VLOOKUP(H110,'BASE '!$I$112:$J$142,2,0))+(VLOOKUP(S110,'BASE '!#REF!,2,0)))),IF(AND(F110="LAIT",E110="CLIENT L"),(S110*952.4),IF(AND(F110="HUILE",E110="CLIENT D"),(S110*3809.53+(VLOOKUP(H110,'BASE '!$I$112:$J$142,2,0))),IF(AND(F110="LAIT",E110="CLIENT D"),(S110*952.4),IF(AND(F110="HUILE",E110="CLIENT S+D"),((S110*3809.53+(VLOOKUP(H110,'BASE '!$I$112:$J$142,2,0)))-((S110*3809.53)*G110)),IF(AND(F110="LAIT",E110="CLIENT S+D"),((S110*952.4)-((S110*952.4)*G110)),IF(AND(E110="CLIENT S",F110="LAIT"),((S110*952.4)-((S110*952.4)*G110)),IF(AND(F110="HUILE",E110="CLIENT S"),(VLOOKUP(H110,'BASE '!$I$112:$J$142,2,0)+(VLOOKUP(S110,'BASE '!#REF!,2,0)))-(G110*((VLOOKUP(S110,'BASE '!#REF!,2,0)+(VLOOKUP(H110,'BASE '!$I$112:$J$142,2,0))))))))))))))))</f>
        <v>0</v>
      </c>
      <c r="P110" s="52" t="b">
        <f t="shared" si="32"/>
        <v>0</v>
      </c>
      <c r="Q110" s="53" t="b">
        <f t="shared" si="33"/>
        <v>0</v>
      </c>
      <c r="R110" s="152" t="s">
        <v>175</v>
      </c>
      <c r="S110" s="184">
        <f t="shared" si="35"/>
        <v>0</v>
      </c>
      <c r="T110" s="124"/>
      <c r="U110" s="41" t="s">
        <v>175</v>
      </c>
      <c r="V110" s="70" t="e">
        <f>VLOOKUP(U110,'BASE '!$A$4:$H$144,2,0)</f>
        <v>#N/A</v>
      </c>
      <c r="W110" s="159"/>
      <c r="X110" s="159"/>
      <c r="Y110" s="160"/>
      <c r="Z110" s="158" t="e">
        <f>VLOOKUP(U110,'BASE '!$A$4:$H$144,3,0)</f>
        <v>#N/A</v>
      </c>
      <c r="AA110" s="94" t="e">
        <f t="shared" si="34"/>
        <v>#N/A</v>
      </c>
      <c r="AB110" s="95" t="e">
        <f>VLOOKUP(U110,'BASE '!$A$4:$H$144,6,0)*Y110/100</f>
        <v>#N/A</v>
      </c>
      <c r="AC110" s="95" t="e">
        <f>VLOOKUP(U110,'BASE '!$A$4:$H$144,7,0)*Y110/100</f>
        <v>#N/A</v>
      </c>
      <c r="AD110" s="95" t="e">
        <f>VLOOKUP(U110,'BASE '!$A$4:$H$144,8,0)*Y110/100</f>
        <v>#N/A</v>
      </c>
      <c r="AE110" s="96" t="e">
        <f t="shared" si="36"/>
        <v>#N/A</v>
      </c>
      <c r="DN110" s="116" t="e">
        <f>(($I$5*#REF!)/100)+((#REF!*$J$5)/100)+(($K$5*#REF!)/100)+($L$5*#REF!)+($M$5*#REF!)</f>
        <v>#REF!</v>
      </c>
    </row>
    <row r="111" spans="2:118" x14ac:dyDescent="0.3">
      <c r="B111" s="64"/>
      <c r="C111" s="148"/>
      <c r="D111" s="109"/>
      <c r="E111" s="63"/>
      <c r="F111" s="127"/>
      <c r="G111" s="50"/>
      <c r="H111" s="10"/>
      <c r="I111" s="10"/>
      <c r="J111" s="10"/>
      <c r="K111" s="10"/>
      <c r="L111" s="10"/>
      <c r="M111" s="39"/>
      <c r="N111" s="33">
        <f t="shared" si="31"/>
        <v>0</v>
      </c>
      <c r="O111" s="52" t="b">
        <f>IF(AND(E111="CLIENT S+L",F111="HUILE"),(S111*3333.33+(VLOOKUP(H111,'BASE '!$I$112:$J$142,2,0)))-((S111*3333.33)*G111),IF(AND(E111="CLIENT S+L",F111="LAIT"),((S111*952.4)-(S111*952.4)*G111),IF(E111="CLIENT O","OFFERT",IF(AND(F111="HUILE",E111="CLIENT L"),(((VLOOKUP(H111,'BASE '!$I$112:$J$142,2,0))+(VLOOKUP(S111,'BASE '!#REF!,2,0)))),IF(AND(F111="LAIT",E111="CLIENT L"),(S111*952.4),IF(AND(F111="HUILE",E111="CLIENT D"),(S111*3809.53+(VLOOKUP(H111,'BASE '!$I$112:$J$142,2,0))),IF(AND(F111="LAIT",E111="CLIENT D"),(S111*952.4),IF(AND(F111="HUILE",E111="CLIENT S+D"),((S111*3809.53+(VLOOKUP(H111,'BASE '!$I$112:$J$142,2,0)))-((S111*3809.53)*G111)),IF(AND(F111="LAIT",E111="CLIENT S+D"),((S111*952.4)-((S111*952.4)*G111)),IF(AND(E111="CLIENT S",F111="LAIT"),((S111*952.4)-((S111*952.4)*G111)),IF(AND(F111="HUILE",E111="CLIENT S"),(VLOOKUP(H111,'BASE '!$I$112:$J$142,2,0)+(VLOOKUP(S111,'BASE '!#REF!,2,0)))-(G111*((VLOOKUP(S111,'BASE '!#REF!,2,0)+(VLOOKUP(H111,'BASE '!$I$112:$J$142,2,0))))))))))))))))</f>
        <v>0</v>
      </c>
      <c r="P111" s="52" t="b">
        <f t="shared" si="32"/>
        <v>0</v>
      </c>
      <c r="Q111" s="53" t="b">
        <f t="shared" si="33"/>
        <v>0</v>
      </c>
      <c r="R111" s="152" t="s">
        <v>175</v>
      </c>
      <c r="S111" s="184">
        <f t="shared" si="35"/>
        <v>0</v>
      </c>
      <c r="T111" s="124"/>
      <c r="U111" s="41" t="s">
        <v>175</v>
      </c>
      <c r="V111" s="70" t="e">
        <f>VLOOKUP(U111,'BASE '!$A$4:$H$144,2,0)</f>
        <v>#N/A</v>
      </c>
      <c r="W111" s="159"/>
      <c r="X111" s="159"/>
      <c r="Y111" s="160"/>
      <c r="Z111" s="158" t="e">
        <f>VLOOKUP(U111,'BASE '!$A$4:$H$144,3,0)</f>
        <v>#N/A</v>
      </c>
      <c r="AA111" s="94" t="e">
        <f t="shared" si="34"/>
        <v>#N/A</v>
      </c>
      <c r="AB111" s="95" t="e">
        <f>VLOOKUP(U111,'BASE '!$A$4:$H$144,6,0)*Y111/100</f>
        <v>#N/A</v>
      </c>
      <c r="AC111" s="95" t="e">
        <f>VLOOKUP(U111,'BASE '!$A$4:$H$144,7,0)*Y111/100</f>
        <v>#N/A</v>
      </c>
      <c r="AD111" s="95" t="e">
        <f>VLOOKUP(U111,'BASE '!$A$4:$H$144,8,0)*Y111/100</f>
        <v>#N/A</v>
      </c>
      <c r="AE111" s="96" t="e">
        <f t="shared" si="36"/>
        <v>#N/A</v>
      </c>
      <c r="DN111" s="116" t="e">
        <f>(($I$5*#REF!)/100)+((#REF!*$J$5)/100)+(($K$5*#REF!)/100)+($L$5*#REF!)+($M$5*#REF!)</f>
        <v>#REF!</v>
      </c>
    </row>
    <row r="112" spans="2:118" x14ac:dyDescent="0.3">
      <c r="B112" s="64"/>
      <c r="C112" s="148"/>
      <c r="D112" s="109"/>
      <c r="E112" s="63"/>
      <c r="F112" s="127"/>
      <c r="G112" s="50"/>
      <c r="H112" s="10"/>
      <c r="I112" s="10"/>
      <c r="J112" s="10"/>
      <c r="K112" s="10"/>
      <c r="L112" s="10"/>
      <c r="M112" s="39"/>
      <c r="N112" s="33">
        <f t="shared" si="31"/>
        <v>0</v>
      </c>
      <c r="O112" s="52" t="b">
        <f>IF(AND(E112="CLIENT S+L",F112="HUILE"),(S112*3333.33+(VLOOKUP(H112,'BASE '!$I$112:$J$142,2,0)))-((S112*3333.33)*G112),IF(AND(E112="CLIENT S+L",F112="LAIT"),((S112*952.4)-(S112*952.4)*G112),IF(E112="CLIENT O","OFFERT",IF(AND(F112="HUILE",E112="CLIENT L"),(((VLOOKUP(H112,'BASE '!$I$112:$J$142,2,0))+(VLOOKUP(S112,'BASE '!#REF!,2,0)))),IF(AND(F112="LAIT",E112="CLIENT L"),(S112*952.4),IF(AND(F112="HUILE",E112="CLIENT D"),(S112*3809.53+(VLOOKUP(H112,'BASE '!$I$112:$J$142,2,0))),IF(AND(F112="LAIT",E112="CLIENT D"),(S112*952.4),IF(AND(F112="HUILE",E112="CLIENT S+D"),((S112*3809.53+(VLOOKUP(H112,'BASE '!$I$112:$J$142,2,0)))-((S112*3809.53)*G112)),IF(AND(F112="LAIT",E112="CLIENT S+D"),((S112*952.4)-((S112*952.4)*G112)),IF(AND(E112="CLIENT S",F112="LAIT"),((S112*952.4)-((S112*952.4)*G112)),IF(AND(F112="HUILE",E112="CLIENT S"),(VLOOKUP(H112,'BASE '!$I$112:$J$142,2,0)+(VLOOKUP(S112,'BASE '!#REF!,2,0)))-(G112*((VLOOKUP(S112,'BASE '!#REF!,2,0)+(VLOOKUP(H112,'BASE '!$I$112:$J$142,2,0))))))))))))))))</f>
        <v>0</v>
      </c>
      <c r="P112" s="52" t="b">
        <f t="shared" si="32"/>
        <v>0</v>
      </c>
      <c r="Q112" s="53" t="b">
        <f t="shared" si="33"/>
        <v>0</v>
      </c>
      <c r="R112" s="152" t="s">
        <v>175</v>
      </c>
      <c r="S112" s="184">
        <f t="shared" si="35"/>
        <v>0</v>
      </c>
      <c r="T112" s="124"/>
      <c r="U112" s="41" t="s">
        <v>175</v>
      </c>
      <c r="V112" s="70" t="e">
        <f>VLOOKUP(U112,'BASE '!$A$4:$H$144,2,0)</f>
        <v>#N/A</v>
      </c>
      <c r="W112" s="159"/>
      <c r="X112" s="159"/>
      <c r="Y112" s="160"/>
      <c r="Z112" s="158" t="e">
        <f>VLOOKUP(U112,'BASE '!$A$4:$H$144,3,0)</f>
        <v>#N/A</v>
      </c>
      <c r="AA112" s="94" t="e">
        <f t="shared" si="34"/>
        <v>#N/A</v>
      </c>
      <c r="AB112" s="95" t="e">
        <f>VLOOKUP(U112,'BASE '!$A$4:$H$144,6,0)*Y112/100</f>
        <v>#N/A</v>
      </c>
      <c r="AC112" s="95" t="e">
        <f>VLOOKUP(U112,'BASE '!$A$4:$H$144,7,0)*Y112/100</f>
        <v>#N/A</v>
      </c>
      <c r="AD112" s="95" t="e">
        <f>VLOOKUP(U112,'BASE '!$A$4:$H$144,8,0)*Y112/100</f>
        <v>#N/A</v>
      </c>
      <c r="AE112" s="96" t="e">
        <f t="shared" si="36"/>
        <v>#N/A</v>
      </c>
      <c r="DN112" s="116" t="e">
        <f>(($I$5*#REF!)/100)+((#REF!*$J$5)/100)+(($K$5*#REF!)/100)+($L$5*#REF!)+($M$5*#REF!)</f>
        <v>#REF!</v>
      </c>
    </row>
    <row r="113" spans="2:118" x14ac:dyDescent="0.3">
      <c r="B113" s="64"/>
      <c r="C113" s="148"/>
      <c r="D113" s="109"/>
      <c r="E113" s="63"/>
      <c r="F113" s="127"/>
      <c r="G113" s="50"/>
      <c r="H113" s="10"/>
      <c r="I113" s="10"/>
      <c r="J113" s="10"/>
      <c r="K113" s="10"/>
      <c r="L113" s="10"/>
      <c r="M113" s="39"/>
      <c r="N113" s="33">
        <f t="shared" si="31"/>
        <v>0</v>
      </c>
      <c r="O113" s="52" t="b">
        <f>IF(AND(E113="CLIENT S+L",F113="HUILE"),(S113*3333.33+(VLOOKUP(H113,'BASE '!$I$112:$J$142,2,0)))-((S113*3333.33)*G113),IF(AND(E113="CLIENT S+L",F113="LAIT"),((S113*952.4)-(S113*952.4)*G113),IF(E113="CLIENT O","OFFERT",IF(AND(F113="HUILE",E113="CLIENT L"),(((VLOOKUP(H113,'BASE '!$I$112:$J$142,2,0))+(VLOOKUP(S113,'BASE '!#REF!,2,0)))),IF(AND(F113="LAIT",E113="CLIENT L"),(S113*952.4),IF(AND(F113="HUILE",E113="CLIENT D"),(S113*3809.53+(VLOOKUP(H113,'BASE '!$I$112:$J$142,2,0))),IF(AND(F113="LAIT",E113="CLIENT D"),(S113*952.4),IF(AND(F113="HUILE",E113="CLIENT S+D"),((S113*3809.53+(VLOOKUP(H113,'BASE '!$I$112:$J$142,2,0)))-((S113*3809.53)*G113)),IF(AND(F113="LAIT",E113="CLIENT S+D"),((S113*952.4)-((S113*952.4)*G113)),IF(AND(E113="CLIENT S",F113="LAIT"),((S113*952.4)-((S113*952.4)*G113)),IF(AND(F113="HUILE",E113="CLIENT S"),(VLOOKUP(H113,'BASE '!$I$112:$J$142,2,0)+(VLOOKUP(S113,'BASE '!#REF!,2,0)))-(G113*((VLOOKUP(S113,'BASE '!#REF!,2,0)+(VLOOKUP(H113,'BASE '!$I$112:$J$142,2,0))))))))))))))))</f>
        <v>0</v>
      </c>
      <c r="P113" s="52" t="b">
        <f t="shared" si="32"/>
        <v>0</v>
      </c>
      <c r="Q113" s="53" t="b">
        <f t="shared" si="33"/>
        <v>0</v>
      </c>
      <c r="R113" s="152" t="s">
        <v>175</v>
      </c>
      <c r="S113" s="184">
        <f t="shared" si="35"/>
        <v>0</v>
      </c>
      <c r="T113" s="124"/>
      <c r="U113" s="41" t="s">
        <v>175</v>
      </c>
      <c r="V113" s="70" t="e">
        <f>VLOOKUP(U113,'BASE '!$A$4:$H$144,2,0)</f>
        <v>#N/A</v>
      </c>
      <c r="W113" s="159"/>
      <c r="X113" s="159"/>
      <c r="Y113" s="160"/>
      <c r="Z113" s="158" t="e">
        <f>VLOOKUP(U113,'BASE '!$A$4:$H$144,3,0)</f>
        <v>#N/A</v>
      </c>
      <c r="AA113" s="94" t="e">
        <f t="shared" si="34"/>
        <v>#N/A</v>
      </c>
      <c r="AB113" s="95" t="e">
        <f>VLOOKUP(U113,'BASE '!$A$4:$H$144,6,0)*Y113/100</f>
        <v>#N/A</v>
      </c>
      <c r="AC113" s="95" t="e">
        <f>VLOOKUP(U113,'BASE '!$A$4:$H$144,7,0)*Y113/100</f>
        <v>#N/A</v>
      </c>
      <c r="AD113" s="95" t="e">
        <f>VLOOKUP(U113,'BASE '!$A$4:$H$144,8,0)*Y113/100</f>
        <v>#N/A</v>
      </c>
      <c r="AE113" s="96" t="e">
        <f t="shared" si="36"/>
        <v>#N/A</v>
      </c>
      <c r="DN113" s="116" t="e">
        <f>(($I$5*#REF!)/100)+((#REF!*$J$5)/100)+(($K$5*#REF!)/100)+($L$5*#REF!)+($M$5*#REF!)</f>
        <v>#REF!</v>
      </c>
    </row>
    <row r="114" spans="2:118" x14ac:dyDescent="0.3">
      <c r="B114" s="64"/>
      <c r="C114" s="148"/>
      <c r="D114" s="109"/>
      <c r="E114" s="63"/>
      <c r="F114" s="127"/>
      <c r="G114" s="50"/>
      <c r="H114" s="10"/>
      <c r="I114" s="10"/>
      <c r="J114" s="10"/>
      <c r="K114" s="10"/>
      <c r="L114" s="10"/>
      <c r="M114" s="39"/>
      <c r="N114" s="33">
        <f t="shared" si="31"/>
        <v>0</v>
      </c>
      <c r="O114" s="52" t="b">
        <f>IF(AND(E114="CLIENT S+L",F114="HUILE"),(S114*3333.33+(VLOOKUP(H114,'BASE '!$I$112:$J$142,2,0)))-((S114*3333.33)*G114),IF(AND(E114="CLIENT S+L",F114="LAIT"),((S114*952.4)-(S114*952.4)*G114),IF(E114="CLIENT O","OFFERT",IF(AND(F114="HUILE",E114="CLIENT L"),(((VLOOKUP(H114,'BASE '!$I$112:$J$142,2,0))+(VLOOKUP(S114,'BASE '!#REF!,2,0)))),IF(AND(F114="LAIT",E114="CLIENT L"),(S114*952.4),IF(AND(F114="HUILE",E114="CLIENT D"),(S114*3809.53+(VLOOKUP(H114,'BASE '!$I$112:$J$142,2,0))),IF(AND(F114="LAIT",E114="CLIENT D"),(S114*952.4),IF(AND(F114="HUILE",E114="CLIENT S+D"),((S114*3809.53+(VLOOKUP(H114,'BASE '!$I$112:$J$142,2,0)))-((S114*3809.53)*G114)),IF(AND(F114="LAIT",E114="CLIENT S+D"),((S114*952.4)-((S114*952.4)*G114)),IF(AND(E114="CLIENT S",F114="LAIT"),((S114*952.4)-((S114*952.4)*G114)),IF(AND(F114="HUILE",E114="CLIENT S"),(VLOOKUP(H114,'BASE '!$I$112:$J$142,2,0)+(VLOOKUP(S114,'BASE '!#REF!,2,0)))-(G114*((VLOOKUP(S114,'BASE '!#REF!,2,0)+(VLOOKUP(H114,'BASE '!$I$112:$J$142,2,0))))))))))))))))</f>
        <v>0</v>
      </c>
      <c r="P114" s="52" t="b">
        <f t="shared" si="32"/>
        <v>0</v>
      </c>
      <c r="Q114" s="53" t="b">
        <f t="shared" si="33"/>
        <v>0</v>
      </c>
      <c r="R114" s="152" t="s">
        <v>175</v>
      </c>
      <c r="S114" s="184">
        <f t="shared" si="35"/>
        <v>0</v>
      </c>
      <c r="T114" s="124"/>
      <c r="U114" s="41" t="s">
        <v>175</v>
      </c>
      <c r="V114" s="70" t="e">
        <f>VLOOKUP(U114,'BASE '!$A$4:$H$144,2,0)</f>
        <v>#N/A</v>
      </c>
      <c r="W114" s="159"/>
      <c r="X114" s="159"/>
      <c r="Y114" s="160"/>
      <c r="Z114" s="158" t="e">
        <f>VLOOKUP(U114,'BASE '!$A$4:$H$144,3,0)</f>
        <v>#N/A</v>
      </c>
      <c r="AA114" s="94" t="e">
        <f t="shared" si="34"/>
        <v>#N/A</v>
      </c>
      <c r="AB114" s="95" t="e">
        <f>VLOOKUP(U114,'BASE '!$A$4:$H$144,6,0)*Y114/100</f>
        <v>#N/A</v>
      </c>
      <c r="AC114" s="95" t="e">
        <f>VLOOKUP(U114,'BASE '!$A$4:$H$144,7,0)*Y114/100</f>
        <v>#N/A</v>
      </c>
      <c r="AD114" s="95" t="e">
        <f>VLOOKUP(U114,'BASE '!$A$4:$H$144,8,0)*Y114/100</f>
        <v>#N/A</v>
      </c>
      <c r="AE114" s="96" t="e">
        <f t="shared" si="36"/>
        <v>#N/A</v>
      </c>
      <c r="DN114" s="116" t="e">
        <f>(($I$5*#REF!)/100)+((#REF!*$J$5)/100)+(($K$5*#REF!)/100)+($L$5*#REF!)+($M$5*#REF!)</f>
        <v>#REF!</v>
      </c>
    </row>
    <row r="115" spans="2:118" x14ac:dyDescent="0.3">
      <c r="B115" s="64"/>
      <c r="C115" s="148"/>
      <c r="D115" s="109"/>
      <c r="E115" s="63"/>
      <c r="F115" s="127"/>
      <c r="G115" s="50"/>
      <c r="H115" s="10"/>
      <c r="I115" s="10"/>
      <c r="J115" s="10"/>
      <c r="K115" s="10"/>
      <c r="L115" s="10"/>
      <c r="M115" s="39"/>
      <c r="N115" s="33">
        <f t="shared" si="31"/>
        <v>0</v>
      </c>
      <c r="O115" s="52" t="b">
        <f>IF(AND(E115="CLIENT S+L",F115="HUILE"),(S115*3333.33+(VLOOKUP(H115,'BASE '!$I$112:$J$142,2,0)))-((S115*3333.33)*G115),IF(AND(E115="CLIENT S+L",F115="LAIT"),((S115*952.4)-(S115*952.4)*G115),IF(E115="CLIENT O","OFFERT",IF(AND(F115="HUILE",E115="CLIENT L"),(((VLOOKUP(H115,'BASE '!$I$112:$J$142,2,0))+(VLOOKUP(S115,'BASE '!#REF!,2,0)))),IF(AND(F115="LAIT",E115="CLIENT L"),(S115*952.4),IF(AND(F115="HUILE",E115="CLIENT D"),(S115*3809.53+(VLOOKUP(H115,'BASE '!$I$112:$J$142,2,0))),IF(AND(F115="LAIT",E115="CLIENT D"),(S115*952.4),IF(AND(F115="HUILE",E115="CLIENT S+D"),((S115*3809.53+(VLOOKUP(H115,'BASE '!$I$112:$J$142,2,0)))-((S115*3809.53)*G115)),IF(AND(F115="LAIT",E115="CLIENT S+D"),((S115*952.4)-((S115*952.4)*G115)),IF(AND(E115="CLIENT S",F115="LAIT"),((S115*952.4)-((S115*952.4)*G115)),IF(AND(F115="HUILE",E115="CLIENT S"),(VLOOKUP(H115,'BASE '!$I$112:$J$142,2,0)+(VLOOKUP(S115,'BASE '!#REF!,2,0)))-(G115*((VLOOKUP(S115,'BASE '!#REF!,2,0)+(VLOOKUP(H115,'BASE '!$I$112:$J$142,2,0))))))))))))))))</f>
        <v>0</v>
      </c>
      <c r="P115" s="52" t="b">
        <f t="shared" si="32"/>
        <v>0</v>
      </c>
      <c r="Q115" s="53" t="b">
        <f t="shared" si="33"/>
        <v>0</v>
      </c>
      <c r="R115" s="152" t="s">
        <v>175</v>
      </c>
      <c r="S115" s="184">
        <f t="shared" si="35"/>
        <v>0</v>
      </c>
      <c r="T115" s="124"/>
      <c r="U115" s="41" t="s">
        <v>175</v>
      </c>
      <c r="V115" s="70" t="e">
        <f>VLOOKUP(U115,'BASE '!$A$4:$H$144,2,0)</f>
        <v>#N/A</v>
      </c>
      <c r="W115" s="159"/>
      <c r="X115" s="159"/>
      <c r="Y115" s="160"/>
      <c r="Z115" s="158" t="e">
        <f>VLOOKUP(U115,'BASE '!$A$4:$H$144,3,0)</f>
        <v>#N/A</v>
      </c>
      <c r="AA115" s="94" t="e">
        <f t="shared" si="34"/>
        <v>#N/A</v>
      </c>
      <c r="AB115" s="95" t="e">
        <f>VLOOKUP(U115,'BASE '!$A$4:$H$144,6,0)*Y115/100</f>
        <v>#N/A</v>
      </c>
      <c r="AC115" s="95" t="e">
        <f>VLOOKUP(U115,'BASE '!$A$4:$H$144,7,0)*Y115/100</f>
        <v>#N/A</v>
      </c>
      <c r="AD115" s="95" t="e">
        <f>VLOOKUP(U115,'BASE '!$A$4:$H$144,8,0)*Y115/100</f>
        <v>#N/A</v>
      </c>
      <c r="AE115" s="96" t="e">
        <f t="shared" si="36"/>
        <v>#N/A</v>
      </c>
      <c r="DN115" s="116" t="e">
        <f>(($I$5*#REF!)/100)+((#REF!*$J$5)/100)+(($K$5*#REF!)/100)+($L$5*#REF!)+($M$5*#REF!)</f>
        <v>#REF!</v>
      </c>
    </row>
    <row r="116" spans="2:118" x14ac:dyDescent="0.3">
      <c r="B116" s="64"/>
      <c r="C116" s="148"/>
      <c r="D116" s="109"/>
      <c r="E116" s="63"/>
      <c r="F116" s="127"/>
      <c r="G116" s="50"/>
      <c r="H116" s="10"/>
      <c r="I116" s="10"/>
      <c r="J116" s="10"/>
      <c r="K116" s="10"/>
      <c r="L116" s="10"/>
      <c r="M116" s="39"/>
      <c r="N116" s="33">
        <f t="shared" si="31"/>
        <v>0</v>
      </c>
      <c r="O116" s="52" t="b">
        <f>IF(AND(E116="CLIENT S+L",F116="HUILE"),(S116*3333.33+(VLOOKUP(H116,'BASE '!$I$112:$J$142,2,0)))-((S116*3333.33)*G116),IF(AND(E116="CLIENT S+L",F116="LAIT"),((S116*952.4)-(S116*952.4)*G116),IF(E116="CLIENT O","OFFERT",IF(AND(F116="HUILE",E116="CLIENT L"),(((VLOOKUP(H116,'BASE '!$I$112:$J$142,2,0))+(VLOOKUP(S116,'BASE '!#REF!,2,0)))),IF(AND(F116="LAIT",E116="CLIENT L"),(S116*952.4),IF(AND(F116="HUILE",E116="CLIENT D"),(S116*3809.53+(VLOOKUP(H116,'BASE '!$I$112:$J$142,2,0))),IF(AND(F116="LAIT",E116="CLIENT D"),(S116*952.4),IF(AND(F116="HUILE",E116="CLIENT S+D"),((S116*3809.53+(VLOOKUP(H116,'BASE '!$I$112:$J$142,2,0)))-((S116*3809.53)*G116)),IF(AND(F116="LAIT",E116="CLIENT S+D"),((S116*952.4)-((S116*952.4)*G116)),IF(AND(E116="CLIENT S",F116="LAIT"),((S116*952.4)-((S116*952.4)*G116)),IF(AND(F116="HUILE",E116="CLIENT S"),(VLOOKUP(H116,'BASE '!$I$112:$J$142,2,0)+(VLOOKUP(S116,'BASE '!#REF!,2,0)))-(G116*((VLOOKUP(S116,'BASE '!#REF!,2,0)+(VLOOKUP(H116,'BASE '!$I$112:$J$142,2,0))))))))))))))))</f>
        <v>0</v>
      </c>
      <c r="P116" s="52" t="b">
        <f t="shared" si="32"/>
        <v>0</v>
      </c>
      <c r="Q116" s="53" t="b">
        <f t="shared" si="33"/>
        <v>0</v>
      </c>
      <c r="R116" s="152" t="s">
        <v>175</v>
      </c>
      <c r="S116" s="184">
        <f t="shared" si="35"/>
        <v>0</v>
      </c>
      <c r="T116" s="124"/>
      <c r="U116" s="41" t="s">
        <v>175</v>
      </c>
      <c r="V116" s="70" t="e">
        <f>VLOOKUP(U116,'BASE '!$A$4:$H$144,2,0)</f>
        <v>#N/A</v>
      </c>
      <c r="W116" s="159"/>
      <c r="X116" s="159"/>
      <c r="Y116" s="160"/>
      <c r="Z116" s="158" t="e">
        <f>VLOOKUP(U116,'BASE '!$A$4:$H$144,3,0)</f>
        <v>#N/A</v>
      </c>
      <c r="AA116" s="94" t="e">
        <f t="shared" si="34"/>
        <v>#N/A</v>
      </c>
      <c r="AB116" s="95" t="e">
        <f>VLOOKUP(U116,'BASE '!$A$4:$H$144,6,0)*Y116/100</f>
        <v>#N/A</v>
      </c>
      <c r="AC116" s="95" t="e">
        <f>VLOOKUP(U116,'BASE '!$A$4:$H$144,7,0)*Y116/100</f>
        <v>#N/A</v>
      </c>
      <c r="AD116" s="95" t="e">
        <f>VLOOKUP(U116,'BASE '!$A$4:$H$144,8,0)*Y116/100</f>
        <v>#N/A</v>
      </c>
      <c r="AE116" s="96" t="e">
        <f t="shared" si="36"/>
        <v>#N/A</v>
      </c>
      <c r="DN116" s="116" t="e">
        <f>(($I$5*#REF!)/100)+((#REF!*$J$5)/100)+(($K$5*#REF!)/100)+($L$5*#REF!)+($M$5*#REF!)</f>
        <v>#REF!</v>
      </c>
    </row>
    <row r="117" spans="2:118" x14ac:dyDescent="0.3">
      <c r="B117" s="64"/>
      <c r="C117" s="148"/>
      <c r="D117" s="109"/>
      <c r="E117" s="63"/>
      <c r="F117" s="127"/>
      <c r="G117" s="50"/>
      <c r="H117" s="10"/>
      <c r="I117" s="10"/>
      <c r="J117" s="10"/>
      <c r="K117" s="10"/>
      <c r="L117" s="10"/>
      <c r="M117" s="39"/>
      <c r="N117" s="33">
        <f t="shared" si="31"/>
        <v>0</v>
      </c>
      <c r="O117" s="52" t="b">
        <f>IF(AND(E117="CLIENT S+L",F117="HUILE"),(S117*3333.33+(VLOOKUP(H117,'BASE '!$I$112:$J$142,2,0)))-((S117*3333.33)*G117),IF(AND(E117="CLIENT S+L",F117="LAIT"),((S117*952.4)-(S117*952.4)*G117),IF(E117="CLIENT O","OFFERT",IF(AND(F117="HUILE",E117="CLIENT L"),(((VLOOKUP(H117,'BASE '!$I$112:$J$142,2,0))+(VLOOKUP(S117,'BASE '!#REF!,2,0)))),IF(AND(F117="LAIT",E117="CLIENT L"),(S117*952.4),IF(AND(F117="HUILE",E117="CLIENT D"),(S117*3809.53+(VLOOKUP(H117,'BASE '!$I$112:$J$142,2,0))),IF(AND(F117="LAIT",E117="CLIENT D"),(S117*952.4),IF(AND(F117="HUILE",E117="CLIENT S+D"),((S117*3809.53+(VLOOKUP(H117,'BASE '!$I$112:$J$142,2,0)))-((S117*3809.53)*G117)),IF(AND(F117="LAIT",E117="CLIENT S+D"),((S117*952.4)-((S117*952.4)*G117)),IF(AND(E117="CLIENT S",F117="LAIT"),((S117*952.4)-((S117*952.4)*G117)),IF(AND(F117="HUILE",E117="CLIENT S"),(VLOOKUP(H117,'BASE '!$I$112:$J$142,2,0)+(VLOOKUP(S117,'BASE '!#REF!,2,0)))-(G117*((VLOOKUP(S117,'BASE '!#REF!,2,0)+(VLOOKUP(H117,'BASE '!$I$112:$J$142,2,0))))))))))))))))</f>
        <v>0</v>
      </c>
      <c r="P117" s="52" t="b">
        <f t="shared" si="32"/>
        <v>0</v>
      </c>
      <c r="Q117" s="53" t="b">
        <f t="shared" si="33"/>
        <v>0</v>
      </c>
      <c r="R117" s="152" t="s">
        <v>175</v>
      </c>
      <c r="S117" s="184">
        <f t="shared" si="35"/>
        <v>0</v>
      </c>
      <c r="T117" s="124"/>
      <c r="U117" s="41" t="s">
        <v>175</v>
      </c>
      <c r="V117" s="70" t="e">
        <f>VLOOKUP(U117,'BASE '!$A$4:$H$144,2,0)</f>
        <v>#N/A</v>
      </c>
      <c r="W117" s="159"/>
      <c r="X117" s="159"/>
      <c r="Y117" s="160"/>
      <c r="Z117" s="158" t="e">
        <f>VLOOKUP(U117,'BASE '!$A$4:$H$144,3,0)</f>
        <v>#N/A</v>
      </c>
      <c r="AA117" s="94" t="e">
        <f t="shared" si="34"/>
        <v>#N/A</v>
      </c>
      <c r="AB117" s="95" t="e">
        <f>VLOOKUP(U117,'BASE '!$A$4:$H$144,6,0)*Y117/100</f>
        <v>#N/A</v>
      </c>
      <c r="AC117" s="95" t="e">
        <f>VLOOKUP(U117,'BASE '!$A$4:$H$144,7,0)*Y117/100</f>
        <v>#N/A</v>
      </c>
      <c r="AD117" s="95" t="e">
        <f>VLOOKUP(U117,'BASE '!$A$4:$H$144,8,0)*Y117/100</f>
        <v>#N/A</v>
      </c>
      <c r="AE117" s="96" t="e">
        <f t="shared" si="36"/>
        <v>#N/A</v>
      </c>
      <c r="DN117" s="116" t="e">
        <f>(($I$5*#REF!)/100)+((#REF!*$J$5)/100)+(($K$5*#REF!)/100)+($L$5*#REF!)+($M$5*#REF!)</f>
        <v>#REF!</v>
      </c>
    </row>
    <row r="118" spans="2:118" x14ac:dyDescent="0.3">
      <c r="B118" s="64"/>
      <c r="C118" s="148"/>
      <c r="D118" s="109"/>
      <c r="E118" s="63"/>
      <c r="F118" s="127"/>
      <c r="G118" s="50"/>
      <c r="H118" s="10"/>
      <c r="I118" s="10"/>
      <c r="J118" s="10"/>
      <c r="K118" s="10"/>
      <c r="L118" s="10"/>
      <c r="M118" s="39"/>
      <c r="N118" s="33">
        <f t="shared" si="31"/>
        <v>0</v>
      </c>
      <c r="O118" s="52" t="b">
        <f>IF(AND(E118="CLIENT S+L",F118="HUILE"),(S118*3333.33+(VLOOKUP(H118,'BASE '!$I$112:$J$142,2,0)))-((S118*3333.33)*G118),IF(AND(E118="CLIENT S+L",F118="LAIT"),((S118*952.4)-(S118*952.4)*G118),IF(E118="CLIENT O","OFFERT",IF(AND(F118="HUILE",E118="CLIENT L"),(((VLOOKUP(H118,'BASE '!$I$112:$J$142,2,0))+(VLOOKUP(S118,'BASE '!#REF!,2,0)))),IF(AND(F118="LAIT",E118="CLIENT L"),(S118*952.4),IF(AND(F118="HUILE",E118="CLIENT D"),(S118*3809.53+(VLOOKUP(H118,'BASE '!$I$112:$J$142,2,0))),IF(AND(F118="LAIT",E118="CLIENT D"),(S118*952.4),IF(AND(F118="HUILE",E118="CLIENT S+D"),((S118*3809.53+(VLOOKUP(H118,'BASE '!$I$112:$J$142,2,0)))-((S118*3809.53)*G118)),IF(AND(F118="LAIT",E118="CLIENT S+D"),((S118*952.4)-((S118*952.4)*G118)),IF(AND(E118="CLIENT S",F118="LAIT"),((S118*952.4)-((S118*952.4)*G118)),IF(AND(F118="HUILE",E118="CLIENT S"),(VLOOKUP(H118,'BASE '!$I$112:$J$142,2,0)+(VLOOKUP(S118,'BASE '!#REF!,2,0)))-(G118*((VLOOKUP(S118,'BASE '!#REF!,2,0)+(VLOOKUP(H118,'BASE '!$I$112:$J$142,2,0))))))))))))))))</f>
        <v>0</v>
      </c>
      <c r="P118" s="52" t="b">
        <f t="shared" si="32"/>
        <v>0</v>
      </c>
      <c r="Q118" s="53" t="b">
        <f t="shared" si="33"/>
        <v>0</v>
      </c>
      <c r="R118" s="152" t="s">
        <v>175</v>
      </c>
      <c r="S118" s="184">
        <f t="shared" si="35"/>
        <v>0</v>
      </c>
      <c r="T118" s="124"/>
      <c r="U118" s="41" t="s">
        <v>175</v>
      </c>
      <c r="V118" s="70" t="e">
        <f>VLOOKUP(U118,'BASE '!$A$4:$H$144,2,0)</f>
        <v>#N/A</v>
      </c>
      <c r="W118" s="159"/>
      <c r="X118" s="159"/>
      <c r="Y118" s="160"/>
      <c r="Z118" s="158" t="e">
        <f>VLOOKUP(U118,'BASE '!$A$4:$H$144,3,0)</f>
        <v>#N/A</v>
      </c>
      <c r="AA118" s="94" t="e">
        <f t="shared" si="34"/>
        <v>#N/A</v>
      </c>
      <c r="AB118" s="95" t="e">
        <f>VLOOKUP(U118,'BASE '!$A$4:$H$144,6,0)*Y118/100</f>
        <v>#N/A</v>
      </c>
      <c r="AC118" s="95" t="e">
        <f>VLOOKUP(U118,'BASE '!$A$4:$H$144,7,0)*Y118/100</f>
        <v>#N/A</v>
      </c>
      <c r="AD118" s="95" t="e">
        <f>VLOOKUP(U118,'BASE '!$A$4:$H$144,8,0)*Y118/100</f>
        <v>#N/A</v>
      </c>
      <c r="AE118" s="96" t="e">
        <f t="shared" si="36"/>
        <v>#N/A</v>
      </c>
      <c r="DN118" s="116" t="e">
        <f>(($I$5*#REF!)/100)+((#REF!*$J$5)/100)+(($K$5*#REF!)/100)+($L$5*#REF!)+($M$5*#REF!)</f>
        <v>#REF!</v>
      </c>
    </row>
    <row r="119" spans="2:118" x14ac:dyDescent="0.3">
      <c r="B119" s="64"/>
      <c r="C119" s="148"/>
      <c r="D119" s="109"/>
      <c r="E119" s="63"/>
      <c r="F119" s="127"/>
      <c r="G119" s="50"/>
      <c r="H119" s="10"/>
      <c r="I119" s="10"/>
      <c r="J119" s="10"/>
      <c r="K119" s="10"/>
      <c r="L119" s="10"/>
      <c r="M119" s="39"/>
      <c r="N119" s="33">
        <f t="shared" si="31"/>
        <v>0</v>
      </c>
      <c r="O119" s="52" t="b">
        <f>IF(AND(E119="CLIENT S+L",F119="HUILE"),(S119*3333.33+(VLOOKUP(H119,'BASE '!$I$112:$J$142,2,0)))-((S119*3333.33)*G119),IF(AND(E119="CLIENT S+L",F119="LAIT"),((S119*952.4)-(S119*952.4)*G119),IF(E119="CLIENT O","OFFERT",IF(AND(F119="HUILE",E119="CLIENT L"),(((VLOOKUP(H119,'BASE '!$I$112:$J$142,2,0))+(VLOOKUP(S119,'BASE '!#REF!,2,0)))),IF(AND(F119="LAIT",E119="CLIENT L"),(S119*952.4),IF(AND(F119="HUILE",E119="CLIENT D"),(S119*3809.53+(VLOOKUP(H119,'BASE '!$I$112:$J$142,2,0))),IF(AND(F119="LAIT",E119="CLIENT D"),(S119*952.4),IF(AND(F119="HUILE",E119="CLIENT S+D"),((S119*3809.53+(VLOOKUP(H119,'BASE '!$I$112:$J$142,2,0)))-((S119*3809.53)*G119)),IF(AND(F119="LAIT",E119="CLIENT S+D"),((S119*952.4)-((S119*952.4)*G119)),IF(AND(E119="CLIENT S",F119="LAIT"),((S119*952.4)-((S119*952.4)*G119)),IF(AND(F119="HUILE",E119="CLIENT S"),(VLOOKUP(H119,'BASE '!$I$112:$J$142,2,0)+(VLOOKUP(S119,'BASE '!#REF!,2,0)))-(G119*((VLOOKUP(S119,'BASE '!#REF!,2,0)+(VLOOKUP(H119,'BASE '!$I$112:$J$142,2,0))))))))))))))))</f>
        <v>0</v>
      </c>
      <c r="P119" s="52" t="b">
        <f t="shared" si="32"/>
        <v>0</v>
      </c>
      <c r="Q119" s="53" t="b">
        <f t="shared" si="33"/>
        <v>0</v>
      </c>
      <c r="R119" s="152" t="s">
        <v>175</v>
      </c>
      <c r="S119" s="184">
        <f t="shared" si="35"/>
        <v>0</v>
      </c>
      <c r="T119" s="124"/>
      <c r="U119" s="41" t="s">
        <v>175</v>
      </c>
      <c r="V119" s="70" t="e">
        <f>VLOOKUP(U119,'BASE '!$A$4:$H$144,2,0)</f>
        <v>#N/A</v>
      </c>
      <c r="W119" s="159"/>
      <c r="X119" s="159"/>
      <c r="Y119" s="160"/>
      <c r="Z119" s="158" t="e">
        <f>VLOOKUP(U119,'BASE '!$A$4:$H$144,3,0)</f>
        <v>#N/A</v>
      </c>
      <c r="AA119" s="94" t="e">
        <f t="shared" si="34"/>
        <v>#N/A</v>
      </c>
      <c r="AB119" s="95" t="e">
        <f>VLOOKUP(U119,'BASE '!$A$4:$H$144,6,0)*Y119/100</f>
        <v>#N/A</v>
      </c>
      <c r="AC119" s="95" t="e">
        <f>VLOOKUP(U119,'BASE '!$A$4:$H$144,7,0)*Y119/100</f>
        <v>#N/A</v>
      </c>
      <c r="AD119" s="95" t="e">
        <f>VLOOKUP(U119,'BASE '!$A$4:$H$144,8,0)*Y119/100</f>
        <v>#N/A</v>
      </c>
      <c r="AE119" s="96" t="e">
        <f t="shared" si="36"/>
        <v>#N/A</v>
      </c>
      <c r="DN119" s="116" t="e">
        <f>(($I$5*#REF!)/100)+((#REF!*$J$5)/100)+(($K$5*#REF!)/100)+($L$5*#REF!)+($M$5*#REF!)</f>
        <v>#REF!</v>
      </c>
    </row>
    <row r="120" spans="2:118" x14ac:dyDescent="0.3">
      <c r="B120" s="64"/>
      <c r="C120" s="148"/>
      <c r="D120" s="109"/>
      <c r="E120" s="63"/>
      <c r="F120" s="127"/>
      <c r="G120" s="50"/>
      <c r="H120" s="10"/>
      <c r="I120" s="10"/>
      <c r="J120" s="10"/>
      <c r="K120" s="10"/>
      <c r="L120" s="10"/>
      <c r="M120" s="39"/>
      <c r="N120" s="33">
        <f t="shared" si="31"/>
        <v>0</v>
      </c>
      <c r="O120" s="52" t="b">
        <f>IF(AND(E120="CLIENT S+L",F120="HUILE"),(S120*3333.33+(VLOOKUP(H120,'BASE '!$I$112:$J$142,2,0)))-((S120*3333.33)*G120),IF(AND(E120="CLIENT S+L",F120="LAIT"),((S120*952.4)-(S120*952.4)*G120),IF(E120="CLIENT O","OFFERT",IF(AND(F120="HUILE",E120="CLIENT L"),(((VLOOKUP(H120,'BASE '!$I$112:$J$142,2,0))+(VLOOKUP(S120,'BASE '!#REF!,2,0)))),IF(AND(F120="LAIT",E120="CLIENT L"),(S120*952.4),IF(AND(F120="HUILE",E120="CLIENT D"),(S120*3809.53+(VLOOKUP(H120,'BASE '!$I$112:$J$142,2,0))),IF(AND(F120="LAIT",E120="CLIENT D"),(S120*952.4),IF(AND(F120="HUILE",E120="CLIENT S+D"),((S120*3809.53+(VLOOKUP(H120,'BASE '!$I$112:$J$142,2,0)))-((S120*3809.53)*G120)),IF(AND(F120="LAIT",E120="CLIENT S+D"),((S120*952.4)-((S120*952.4)*G120)),IF(AND(E120="CLIENT S",F120="LAIT"),((S120*952.4)-((S120*952.4)*G120)),IF(AND(F120="HUILE",E120="CLIENT S"),(VLOOKUP(H120,'BASE '!$I$112:$J$142,2,0)+(VLOOKUP(S120,'BASE '!#REF!,2,0)))-(G120*((VLOOKUP(S120,'BASE '!#REF!,2,0)+(VLOOKUP(H120,'BASE '!$I$112:$J$142,2,0))))))))))))))))</f>
        <v>0</v>
      </c>
      <c r="P120" s="52" t="b">
        <f t="shared" si="32"/>
        <v>0</v>
      </c>
      <c r="Q120" s="53" t="b">
        <f t="shared" si="33"/>
        <v>0</v>
      </c>
      <c r="R120" s="152" t="s">
        <v>175</v>
      </c>
      <c r="S120" s="184">
        <f t="shared" si="35"/>
        <v>0</v>
      </c>
      <c r="T120" s="124"/>
      <c r="U120" s="41" t="s">
        <v>175</v>
      </c>
      <c r="V120" s="70" t="e">
        <f>VLOOKUP(U120,'BASE '!$A$4:$H$144,2,0)</f>
        <v>#N/A</v>
      </c>
      <c r="W120" s="159"/>
      <c r="X120" s="159"/>
      <c r="Y120" s="160"/>
      <c r="Z120" s="158" t="e">
        <f>VLOOKUP(U120,'BASE '!$A$4:$H$144,3,0)</f>
        <v>#N/A</v>
      </c>
      <c r="AA120" s="94" t="e">
        <f t="shared" si="34"/>
        <v>#N/A</v>
      </c>
      <c r="AB120" s="95" t="e">
        <f>VLOOKUP(U120,'BASE '!$A$4:$H$144,6,0)*Y120/100</f>
        <v>#N/A</v>
      </c>
      <c r="AC120" s="95" t="e">
        <f>VLOOKUP(U120,'BASE '!$A$4:$H$144,7,0)*Y120/100</f>
        <v>#N/A</v>
      </c>
      <c r="AD120" s="95" t="e">
        <f>VLOOKUP(U120,'BASE '!$A$4:$H$144,8,0)*Y120/100</f>
        <v>#N/A</v>
      </c>
      <c r="AE120" s="96" t="e">
        <f t="shared" si="36"/>
        <v>#N/A</v>
      </c>
      <c r="DN120" s="116" t="e">
        <f>(($I$5*#REF!)/100)+((#REF!*$J$5)/100)+(($K$5*#REF!)/100)+($L$5*#REF!)+($M$5*#REF!)</f>
        <v>#REF!</v>
      </c>
    </row>
    <row r="121" spans="2:118" x14ac:dyDescent="0.3">
      <c r="B121" s="64"/>
      <c r="C121" s="148"/>
      <c r="D121" s="109"/>
      <c r="E121" s="63"/>
      <c r="F121" s="127"/>
      <c r="G121" s="50"/>
      <c r="H121" s="10"/>
      <c r="I121" s="10"/>
      <c r="J121" s="10"/>
      <c r="K121" s="10"/>
      <c r="L121" s="10"/>
      <c r="M121" s="39"/>
      <c r="N121" s="33">
        <f t="shared" si="31"/>
        <v>0</v>
      </c>
      <c r="O121" s="52" t="b">
        <f>IF(AND(E121="CLIENT S+L",F121="HUILE"),(S121*3333.33+(VLOOKUP(H121,'BASE '!$I$112:$J$142,2,0)))-((S121*3333.33)*G121),IF(AND(E121="CLIENT S+L",F121="LAIT"),((S121*952.4)-(S121*952.4)*G121),IF(E121="CLIENT O","OFFERT",IF(AND(F121="HUILE",E121="CLIENT L"),(((VLOOKUP(H121,'BASE '!$I$112:$J$142,2,0))+(VLOOKUP(S121,'BASE '!#REF!,2,0)))),IF(AND(F121="LAIT",E121="CLIENT L"),(S121*952.4),IF(AND(F121="HUILE",E121="CLIENT D"),(S121*3809.53+(VLOOKUP(H121,'BASE '!$I$112:$J$142,2,0))),IF(AND(F121="LAIT",E121="CLIENT D"),(S121*952.4),IF(AND(F121="HUILE",E121="CLIENT S+D"),((S121*3809.53+(VLOOKUP(H121,'BASE '!$I$112:$J$142,2,0)))-((S121*3809.53)*G121)),IF(AND(F121="LAIT",E121="CLIENT S+D"),((S121*952.4)-((S121*952.4)*G121)),IF(AND(E121="CLIENT S",F121="LAIT"),((S121*952.4)-((S121*952.4)*G121)),IF(AND(F121="HUILE",E121="CLIENT S"),(VLOOKUP(H121,'BASE '!$I$112:$J$142,2,0)+(VLOOKUP(S121,'BASE '!#REF!,2,0)))-(G121*((VLOOKUP(S121,'BASE '!#REF!,2,0)+(VLOOKUP(H121,'BASE '!$I$112:$J$142,2,0))))))))))))))))</f>
        <v>0</v>
      </c>
      <c r="P121" s="52" t="b">
        <f t="shared" si="32"/>
        <v>0</v>
      </c>
      <c r="Q121" s="53" t="b">
        <f t="shared" si="33"/>
        <v>0</v>
      </c>
      <c r="R121" s="152" t="s">
        <v>175</v>
      </c>
      <c r="S121" s="184">
        <f t="shared" si="35"/>
        <v>0</v>
      </c>
      <c r="T121" s="124"/>
      <c r="U121" s="41" t="s">
        <v>175</v>
      </c>
      <c r="V121" s="70" t="e">
        <f>VLOOKUP(U121,'BASE '!$A$4:$H$144,2,0)</f>
        <v>#N/A</v>
      </c>
      <c r="W121" s="159"/>
      <c r="X121" s="159"/>
      <c r="Y121" s="160"/>
      <c r="Z121" s="158" t="e">
        <f>VLOOKUP(U121,'BASE '!$A$4:$H$144,3,0)</f>
        <v>#N/A</v>
      </c>
      <c r="AA121" s="94" t="e">
        <f t="shared" si="34"/>
        <v>#N/A</v>
      </c>
      <c r="AB121" s="95" t="e">
        <f>VLOOKUP(U121,'BASE '!$A$4:$H$144,6,0)*Y121/100</f>
        <v>#N/A</v>
      </c>
      <c r="AC121" s="95" t="e">
        <f>VLOOKUP(U121,'BASE '!$A$4:$H$144,7,0)*Y121/100</f>
        <v>#N/A</v>
      </c>
      <c r="AD121" s="95" t="e">
        <f>VLOOKUP(U121,'BASE '!$A$4:$H$144,8,0)*Y121/100</f>
        <v>#N/A</v>
      </c>
      <c r="AE121" s="96" t="e">
        <f t="shared" si="36"/>
        <v>#N/A</v>
      </c>
      <c r="DN121" s="116" t="e">
        <f>(($I$5*#REF!)/100)+((#REF!*$J$5)/100)+(($K$5*#REF!)/100)+($L$5*#REF!)+($M$5*#REF!)</f>
        <v>#REF!</v>
      </c>
    </row>
    <row r="122" spans="2:118" x14ac:dyDescent="0.3">
      <c r="B122" s="64"/>
      <c r="C122" s="148"/>
      <c r="D122" s="109"/>
      <c r="E122" s="63"/>
      <c r="F122" s="127"/>
      <c r="G122" s="50"/>
      <c r="H122" s="10"/>
      <c r="I122" s="10"/>
      <c r="J122" s="10"/>
      <c r="K122" s="10"/>
      <c r="L122" s="10"/>
      <c r="M122" s="39"/>
      <c r="N122" s="33">
        <f t="shared" si="31"/>
        <v>0</v>
      </c>
      <c r="O122" s="52" t="b">
        <f>IF(AND(E122="CLIENT S+L",F122="HUILE"),(S122*3333.33+(VLOOKUP(H122,'BASE '!$I$112:$J$142,2,0)))-((S122*3333.33)*G122),IF(AND(E122="CLIENT S+L",F122="LAIT"),((S122*952.4)-(S122*952.4)*G122),IF(E122="CLIENT O","OFFERT",IF(AND(F122="HUILE",E122="CLIENT L"),(((VLOOKUP(H122,'BASE '!$I$112:$J$142,2,0))+(VLOOKUP(S122,'BASE '!#REF!,2,0)))),IF(AND(F122="LAIT",E122="CLIENT L"),(S122*952.4),IF(AND(F122="HUILE",E122="CLIENT D"),(S122*3809.53+(VLOOKUP(H122,'BASE '!$I$112:$J$142,2,0))),IF(AND(F122="LAIT",E122="CLIENT D"),(S122*952.4),IF(AND(F122="HUILE",E122="CLIENT S+D"),((S122*3809.53+(VLOOKUP(H122,'BASE '!$I$112:$J$142,2,0)))-((S122*3809.53)*G122)),IF(AND(F122="LAIT",E122="CLIENT S+D"),((S122*952.4)-((S122*952.4)*G122)),IF(AND(E122="CLIENT S",F122="LAIT"),((S122*952.4)-((S122*952.4)*G122)),IF(AND(F122="HUILE",E122="CLIENT S"),(VLOOKUP(H122,'BASE '!$I$112:$J$142,2,0)+(VLOOKUP(S122,'BASE '!#REF!,2,0)))-(G122*((VLOOKUP(S122,'BASE '!#REF!,2,0)+(VLOOKUP(H122,'BASE '!$I$112:$J$142,2,0))))))))))))))))</f>
        <v>0</v>
      </c>
      <c r="P122" s="52" t="b">
        <f t="shared" si="32"/>
        <v>0</v>
      </c>
      <c r="Q122" s="53" t="b">
        <f t="shared" si="33"/>
        <v>0</v>
      </c>
      <c r="R122" s="152" t="s">
        <v>175</v>
      </c>
      <c r="S122" s="184">
        <f t="shared" si="35"/>
        <v>0</v>
      </c>
      <c r="T122" s="124"/>
      <c r="U122" s="41" t="s">
        <v>175</v>
      </c>
      <c r="V122" s="70" t="e">
        <f>VLOOKUP(U122,'BASE '!$A$4:$H$144,2,0)</f>
        <v>#N/A</v>
      </c>
      <c r="W122" s="159"/>
      <c r="X122" s="159"/>
      <c r="Y122" s="160"/>
      <c r="Z122" s="158" t="e">
        <f>VLOOKUP(U122,'BASE '!$A$4:$H$144,3,0)</f>
        <v>#N/A</v>
      </c>
      <c r="AA122" s="94" t="e">
        <f t="shared" si="34"/>
        <v>#N/A</v>
      </c>
      <c r="AB122" s="95" t="e">
        <f>VLOOKUP(U122,'BASE '!$A$4:$H$144,6,0)*Y122/100</f>
        <v>#N/A</v>
      </c>
      <c r="AC122" s="95" t="e">
        <f>VLOOKUP(U122,'BASE '!$A$4:$H$144,7,0)*Y122/100</f>
        <v>#N/A</v>
      </c>
      <c r="AD122" s="95" t="e">
        <f>VLOOKUP(U122,'BASE '!$A$4:$H$144,8,0)*Y122/100</f>
        <v>#N/A</v>
      </c>
      <c r="AE122" s="96" t="e">
        <f t="shared" si="36"/>
        <v>#N/A</v>
      </c>
      <c r="DN122" s="116" t="e">
        <f>(($I$5*#REF!)/100)+((#REF!*$J$5)/100)+(($K$5*#REF!)/100)+($L$5*#REF!)+($M$5*#REF!)</f>
        <v>#REF!</v>
      </c>
    </row>
    <row r="123" spans="2:118" x14ac:dyDescent="0.3">
      <c r="B123" s="64"/>
      <c r="C123" s="148"/>
      <c r="D123" s="109"/>
      <c r="E123" s="63"/>
      <c r="F123" s="127"/>
      <c r="G123" s="50"/>
      <c r="H123" s="10"/>
      <c r="I123" s="10"/>
      <c r="J123" s="10"/>
      <c r="K123" s="10"/>
      <c r="L123" s="10"/>
      <c r="M123" s="39"/>
      <c r="N123" s="33">
        <f t="shared" si="31"/>
        <v>0</v>
      </c>
      <c r="O123" s="52" t="b">
        <f>IF(AND(E123="CLIENT S+L",F123="HUILE"),(S123*3333.33+(VLOOKUP(H123,'BASE '!$I$112:$J$142,2,0)))-((S123*3333.33)*G123),IF(AND(E123="CLIENT S+L",F123="LAIT"),((S123*952.4)-(S123*952.4)*G123),IF(E123="CLIENT O","OFFERT",IF(AND(F123="HUILE",E123="CLIENT L"),(((VLOOKUP(H123,'BASE '!$I$112:$J$142,2,0))+(VLOOKUP(S123,'BASE '!#REF!,2,0)))),IF(AND(F123="LAIT",E123="CLIENT L"),(S123*952.4),IF(AND(F123="HUILE",E123="CLIENT D"),(S123*3809.53+(VLOOKUP(H123,'BASE '!$I$112:$J$142,2,0))),IF(AND(F123="LAIT",E123="CLIENT D"),(S123*952.4),IF(AND(F123="HUILE",E123="CLIENT S+D"),((S123*3809.53+(VLOOKUP(H123,'BASE '!$I$112:$J$142,2,0)))-((S123*3809.53)*G123)),IF(AND(F123="LAIT",E123="CLIENT S+D"),((S123*952.4)-((S123*952.4)*G123)),IF(AND(E123="CLIENT S",F123="LAIT"),((S123*952.4)-((S123*952.4)*G123)),IF(AND(F123="HUILE",E123="CLIENT S"),(VLOOKUP(H123,'BASE '!$I$112:$J$142,2,0)+(VLOOKUP(S123,'BASE '!#REF!,2,0)))-(G123*((VLOOKUP(S123,'BASE '!#REF!,2,0)+(VLOOKUP(H123,'BASE '!$I$112:$J$142,2,0))))))))))))))))</f>
        <v>0</v>
      </c>
      <c r="P123" s="52" t="b">
        <f t="shared" si="32"/>
        <v>0</v>
      </c>
      <c r="Q123" s="53" t="b">
        <f t="shared" si="33"/>
        <v>0</v>
      </c>
      <c r="R123" s="152" t="s">
        <v>175</v>
      </c>
      <c r="S123" s="184">
        <f t="shared" si="35"/>
        <v>0</v>
      </c>
      <c r="T123" s="124"/>
      <c r="U123" s="41" t="s">
        <v>175</v>
      </c>
      <c r="V123" s="70" t="e">
        <f>VLOOKUP(U123,'BASE '!$A$4:$H$144,2,0)</f>
        <v>#N/A</v>
      </c>
      <c r="W123" s="159"/>
      <c r="X123" s="159"/>
      <c r="Y123" s="160"/>
      <c r="Z123" s="158" t="e">
        <f>VLOOKUP(U123,'BASE '!$A$4:$H$144,3,0)</f>
        <v>#N/A</v>
      </c>
      <c r="AA123" s="94" t="e">
        <f t="shared" si="34"/>
        <v>#N/A</v>
      </c>
      <c r="AB123" s="95" t="e">
        <f>VLOOKUP(U123,'BASE '!$A$4:$H$144,6,0)*Y123/100</f>
        <v>#N/A</v>
      </c>
      <c r="AC123" s="95" t="e">
        <f>VLOOKUP(U123,'BASE '!$A$4:$H$144,7,0)*Y123/100</f>
        <v>#N/A</v>
      </c>
      <c r="AD123" s="95" t="e">
        <f>VLOOKUP(U123,'BASE '!$A$4:$H$144,8,0)*Y123/100</f>
        <v>#N/A</v>
      </c>
      <c r="AE123" s="96" t="e">
        <f t="shared" si="36"/>
        <v>#N/A</v>
      </c>
      <c r="DN123" s="116" t="e">
        <f>(($I$5*#REF!)/100)+((#REF!*$J$5)/100)+(($K$5*#REF!)/100)+($L$5*#REF!)+($M$5*#REF!)</f>
        <v>#REF!</v>
      </c>
    </row>
    <row r="124" spans="2:118" x14ac:dyDescent="0.3">
      <c r="B124" s="64"/>
      <c r="C124" s="148"/>
      <c r="D124" s="109"/>
      <c r="E124" s="63"/>
      <c r="F124" s="127"/>
      <c r="G124" s="50"/>
      <c r="H124" s="10"/>
      <c r="I124" s="10"/>
      <c r="J124" s="10"/>
      <c r="K124" s="10"/>
      <c r="L124" s="10"/>
      <c r="M124" s="39"/>
      <c r="N124" s="33">
        <f t="shared" si="31"/>
        <v>0</v>
      </c>
      <c r="O124" s="52" t="b">
        <f>IF(AND(E124="CLIENT S+L",F124="HUILE"),(S124*3333.33+(VLOOKUP(H124,'BASE '!$I$112:$J$142,2,0)))-((S124*3333.33)*G124),IF(AND(E124="CLIENT S+L",F124="LAIT"),((S124*952.4)-(S124*952.4)*G124),IF(E124="CLIENT O","OFFERT",IF(AND(F124="HUILE",E124="CLIENT L"),(((VLOOKUP(H124,'BASE '!$I$112:$J$142,2,0))+(VLOOKUP(S124,'BASE '!#REF!,2,0)))),IF(AND(F124="LAIT",E124="CLIENT L"),(S124*952.4),IF(AND(F124="HUILE",E124="CLIENT D"),(S124*3809.53+(VLOOKUP(H124,'BASE '!$I$112:$J$142,2,0))),IF(AND(F124="LAIT",E124="CLIENT D"),(S124*952.4),IF(AND(F124="HUILE",E124="CLIENT S+D"),((S124*3809.53+(VLOOKUP(H124,'BASE '!$I$112:$J$142,2,0)))-((S124*3809.53)*G124)),IF(AND(F124="LAIT",E124="CLIENT S+D"),((S124*952.4)-((S124*952.4)*G124)),IF(AND(E124="CLIENT S",F124="LAIT"),((S124*952.4)-((S124*952.4)*G124)),IF(AND(F124="HUILE",E124="CLIENT S"),(VLOOKUP(H124,'BASE '!$I$112:$J$142,2,0)+(VLOOKUP(S124,'BASE '!#REF!,2,0)))-(G124*((VLOOKUP(S124,'BASE '!#REF!,2,0)+(VLOOKUP(H124,'BASE '!$I$112:$J$142,2,0))))))))))))))))</f>
        <v>0</v>
      </c>
      <c r="P124" s="52" t="b">
        <f t="shared" si="32"/>
        <v>0</v>
      </c>
      <c r="Q124" s="53" t="b">
        <f t="shared" si="33"/>
        <v>0</v>
      </c>
      <c r="R124" s="152" t="s">
        <v>175</v>
      </c>
      <c r="S124" s="184">
        <f t="shared" si="35"/>
        <v>0</v>
      </c>
      <c r="T124" s="124"/>
      <c r="U124" s="41" t="s">
        <v>175</v>
      </c>
      <c r="V124" s="70" t="e">
        <f>VLOOKUP(U124,'BASE '!$A$4:$H$144,2,0)</f>
        <v>#N/A</v>
      </c>
      <c r="W124" s="159"/>
      <c r="X124" s="159"/>
      <c r="Y124" s="160"/>
      <c r="Z124" s="158" t="e">
        <f>VLOOKUP(U124,'BASE '!$A$4:$H$144,3,0)</f>
        <v>#N/A</v>
      </c>
      <c r="AA124" s="94" t="e">
        <f t="shared" si="34"/>
        <v>#N/A</v>
      </c>
      <c r="AB124" s="95" t="e">
        <f>VLOOKUP(U124,'BASE '!$A$4:$H$144,6,0)*Y124/100</f>
        <v>#N/A</v>
      </c>
      <c r="AC124" s="95" t="e">
        <f>VLOOKUP(U124,'BASE '!$A$4:$H$144,7,0)*Y124/100</f>
        <v>#N/A</v>
      </c>
      <c r="AD124" s="95" t="e">
        <f>VLOOKUP(U124,'BASE '!$A$4:$H$144,8,0)*Y124/100</f>
        <v>#N/A</v>
      </c>
      <c r="AE124" s="96" t="e">
        <f t="shared" si="36"/>
        <v>#N/A</v>
      </c>
      <c r="DN124" s="116" t="e">
        <f>(($I$5*#REF!)/100)+((#REF!*$J$5)/100)+(($K$5*#REF!)/100)+($L$5*#REF!)+($M$5*#REF!)</f>
        <v>#REF!</v>
      </c>
    </row>
    <row r="125" spans="2:118" x14ac:dyDescent="0.3">
      <c r="B125" s="64"/>
      <c r="C125" s="148"/>
      <c r="D125" s="109"/>
      <c r="E125" s="63"/>
      <c r="F125" s="127"/>
      <c r="G125" s="50"/>
      <c r="H125" s="10"/>
      <c r="I125" s="10"/>
      <c r="J125" s="10"/>
      <c r="K125" s="10"/>
      <c r="L125" s="10"/>
      <c r="M125" s="39"/>
      <c r="N125" s="33">
        <f t="shared" si="31"/>
        <v>0</v>
      </c>
      <c r="O125" s="52" t="b">
        <f>IF(AND(E125="CLIENT S+L",F125="HUILE"),(S125*3333.33+(VLOOKUP(H125,'BASE '!$I$112:$J$142,2,0)))-((S125*3333.33)*G125),IF(AND(E125="CLIENT S+L",F125="LAIT"),((S125*952.4)-(S125*952.4)*G125),IF(E125="CLIENT O","OFFERT",IF(AND(F125="HUILE",E125="CLIENT L"),(((VLOOKUP(H125,'BASE '!$I$112:$J$142,2,0))+(VLOOKUP(S125,'BASE '!#REF!,2,0)))),IF(AND(F125="LAIT",E125="CLIENT L"),(S125*952.4),IF(AND(F125="HUILE",E125="CLIENT D"),(S125*3809.53+(VLOOKUP(H125,'BASE '!$I$112:$J$142,2,0))),IF(AND(F125="LAIT",E125="CLIENT D"),(S125*952.4),IF(AND(F125="HUILE",E125="CLIENT S+D"),((S125*3809.53+(VLOOKUP(H125,'BASE '!$I$112:$J$142,2,0)))-((S125*3809.53)*G125)),IF(AND(F125="LAIT",E125="CLIENT S+D"),((S125*952.4)-((S125*952.4)*G125)),IF(AND(E125="CLIENT S",F125="LAIT"),((S125*952.4)-((S125*952.4)*G125)),IF(AND(F125="HUILE",E125="CLIENT S"),(VLOOKUP(H125,'BASE '!$I$112:$J$142,2,0)+(VLOOKUP(S125,'BASE '!#REF!,2,0)))-(G125*((VLOOKUP(S125,'BASE '!#REF!,2,0)+(VLOOKUP(H125,'BASE '!$I$112:$J$142,2,0))))))))))))))))</f>
        <v>0</v>
      </c>
      <c r="P125" s="52" t="b">
        <f t="shared" si="32"/>
        <v>0</v>
      </c>
      <c r="Q125" s="53" t="b">
        <f t="shared" si="33"/>
        <v>0</v>
      </c>
      <c r="R125" s="152" t="s">
        <v>175</v>
      </c>
      <c r="S125" s="184">
        <f t="shared" si="35"/>
        <v>0</v>
      </c>
      <c r="T125" s="124"/>
      <c r="U125" s="41" t="s">
        <v>175</v>
      </c>
      <c r="V125" s="70" t="e">
        <f>VLOOKUP(U125,'BASE '!$A$4:$H$144,2,0)</f>
        <v>#N/A</v>
      </c>
      <c r="W125" s="159"/>
      <c r="X125" s="159"/>
      <c r="Y125" s="160"/>
      <c r="Z125" s="158" t="e">
        <f>VLOOKUP(U125,'BASE '!$A$4:$H$144,3,0)</f>
        <v>#N/A</v>
      </c>
      <c r="AA125" s="94" t="e">
        <f t="shared" si="34"/>
        <v>#N/A</v>
      </c>
      <c r="AB125" s="95" t="e">
        <f>VLOOKUP(U125,'BASE '!$A$4:$H$144,6,0)*Y125/100</f>
        <v>#N/A</v>
      </c>
      <c r="AC125" s="95" t="e">
        <f>VLOOKUP(U125,'BASE '!$A$4:$H$144,7,0)*Y125/100</f>
        <v>#N/A</v>
      </c>
      <c r="AD125" s="95" t="e">
        <f>VLOOKUP(U125,'BASE '!$A$4:$H$144,8,0)*Y125/100</f>
        <v>#N/A</v>
      </c>
      <c r="AE125" s="96" t="e">
        <f t="shared" si="36"/>
        <v>#N/A</v>
      </c>
      <c r="DN125" s="116" t="e">
        <f>(($I$5*#REF!)/100)+((#REF!*$J$5)/100)+(($K$5*#REF!)/100)+($L$5*#REF!)+($M$5*#REF!)</f>
        <v>#REF!</v>
      </c>
    </row>
    <row r="126" spans="2:118" x14ac:dyDescent="0.3">
      <c r="B126" s="64"/>
      <c r="C126" s="148"/>
      <c r="D126" s="109"/>
      <c r="E126" s="63"/>
      <c r="F126" s="127"/>
      <c r="G126" s="50"/>
      <c r="H126" s="10"/>
      <c r="I126" s="10"/>
      <c r="J126" s="10"/>
      <c r="K126" s="10"/>
      <c r="L126" s="10"/>
      <c r="M126" s="39"/>
      <c r="N126" s="33">
        <f t="shared" si="31"/>
        <v>0</v>
      </c>
      <c r="O126" s="52" t="b">
        <f>IF(AND(E126="CLIENT S+L",F126="HUILE"),(S126*3333.33+(VLOOKUP(H126,'BASE '!$I$112:$J$142,2,0)))-((S126*3333.33)*G126),IF(AND(E126="CLIENT S+L",F126="LAIT"),((S126*952.4)-(S126*952.4)*G126),IF(E126="CLIENT O","OFFERT",IF(AND(F126="HUILE",E126="CLIENT L"),(((VLOOKUP(H126,'BASE '!$I$112:$J$142,2,0))+(VLOOKUP(S126,'BASE '!#REF!,2,0)))),IF(AND(F126="LAIT",E126="CLIENT L"),(S126*952.4),IF(AND(F126="HUILE",E126="CLIENT D"),(S126*3809.53+(VLOOKUP(H126,'BASE '!$I$112:$J$142,2,0))),IF(AND(F126="LAIT",E126="CLIENT D"),(S126*952.4),IF(AND(F126="HUILE",E126="CLIENT S+D"),((S126*3809.53+(VLOOKUP(H126,'BASE '!$I$112:$J$142,2,0)))-((S126*3809.53)*G126)),IF(AND(F126="LAIT",E126="CLIENT S+D"),((S126*952.4)-((S126*952.4)*G126)),IF(AND(E126="CLIENT S",F126="LAIT"),((S126*952.4)-((S126*952.4)*G126)),IF(AND(F126="HUILE",E126="CLIENT S"),(VLOOKUP(H126,'BASE '!$I$112:$J$142,2,0)+(VLOOKUP(S126,'BASE '!#REF!,2,0)))-(G126*((VLOOKUP(S126,'BASE '!#REF!,2,0)+(VLOOKUP(H126,'BASE '!$I$112:$J$142,2,0))))))))))))))))</f>
        <v>0</v>
      </c>
      <c r="P126" s="52" t="b">
        <f t="shared" si="32"/>
        <v>0</v>
      </c>
      <c r="Q126" s="53" t="b">
        <f t="shared" si="33"/>
        <v>0</v>
      </c>
      <c r="R126" s="152" t="s">
        <v>175</v>
      </c>
      <c r="S126" s="184">
        <f t="shared" si="35"/>
        <v>0</v>
      </c>
      <c r="T126" s="124"/>
      <c r="U126" s="41" t="s">
        <v>175</v>
      </c>
      <c r="V126" s="70" t="e">
        <f>VLOOKUP(U126,'BASE '!$A$4:$H$144,2,0)</f>
        <v>#N/A</v>
      </c>
      <c r="W126" s="159"/>
      <c r="X126" s="159"/>
      <c r="Y126" s="160"/>
      <c r="Z126" s="158" t="e">
        <f>VLOOKUP(U126,'BASE '!$A$4:$H$144,3,0)</f>
        <v>#N/A</v>
      </c>
      <c r="AA126" s="94" t="e">
        <f t="shared" si="34"/>
        <v>#N/A</v>
      </c>
      <c r="AB126" s="95" t="e">
        <f>VLOOKUP(U126,'BASE '!$A$4:$H$144,6,0)*Y126/100</f>
        <v>#N/A</v>
      </c>
      <c r="AC126" s="95" t="e">
        <f>VLOOKUP(U126,'BASE '!$A$4:$H$144,7,0)*Y126/100</f>
        <v>#N/A</v>
      </c>
      <c r="AD126" s="95" t="e">
        <f>VLOOKUP(U126,'BASE '!$A$4:$H$144,8,0)*Y126/100</f>
        <v>#N/A</v>
      </c>
      <c r="AE126" s="96" t="e">
        <f t="shared" si="36"/>
        <v>#N/A</v>
      </c>
      <c r="DN126" s="116" t="e">
        <f>(($I$5*#REF!)/100)+((#REF!*$J$5)/100)+(($K$5*#REF!)/100)+($L$5*#REF!)+($M$5*#REF!)</f>
        <v>#REF!</v>
      </c>
    </row>
    <row r="127" spans="2:118" x14ac:dyDescent="0.3">
      <c r="B127" s="64"/>
      <c r="C127" s="148"/>
      <c r="D127" s="109"/>
      <c r="E127" s="63"/>
      <c r="F127" s="127"/>
      <c r="G127" s="50"/>
      <c r="H127" s="10"/>
      <c r="I127" s="10"/>
      <c r="J127" s="10"/>
      <c r="K127" s="10"/>
      <c r="L127" s="10"/>
      <c r="M127" s="39"/>
      <c r="N127" s="33">
        <f t="shared" si="31"/>
        <v>0</v>
      </c>
      <c r="O127" s="52" t="b">
        <f>IF(AND(E127="CLIENT S+L",F127="HUILE"),(S127*3333.33+(VLOOKUP(H127,'BASE '!$I$112:$J$142,2,0)))-((S127*3333.33)*G127),IF(AND(E127="CLIENT S+L",F127="LAIT"),((S127*952.4)-(S127*952.4)*G127),IF(E127="CLIENT O","OFFERT",IF(AND(F127="HUILE",E127="CLIENT L"),(((VLOOKUP(H127,'BASE '!$I$112:$J$142,2,0))+(VLOOKUP(S127,'BASE '!#REF!,2,0)))),IF(AND(F127="LAIT",E127="CLIENT L"),(S127*952.4),IF(AND(F127="HUILE",E127="CLIENT D"),(S127*3809.53+(VLOOKUP(H127,'BASE '!$I$112:$J$142,2,0))),IF(AND(F127="LAIT",E127="CLIENT D"),(S127*952.4),IF(AND(F127="HUILE",E127="CLIENT S+D"),((S127*3809.53+(VLOOKUP(H127,'BASE '!$I$112:$J$142,2,0)))-((S127*3809.53)*G127)),IF(AND(F127="LAIT",E127="CLIENT S+D"),((S127*952.4)-((S127*952.4)*G127)),IF(AND(E127="CLIENT S",F127="LAIT"),((S127*952.4)-((S127*952.4)*G127)),IF(AND(F127="HUILE",E127="CLIENT S"),(VLOOKUP(H127,'BASE '!$I$112:$J$142,2,0)+(VLOOKUP(S127,'BASE '!#REF!,2,0)))-(G127*((VLOOKUP(S127,'BASE '!#REF!,2,0)+(VLOOKUP(H127,'BASE '!$I$112:$J$142,2,0))))))))))))))))</f>
        <v>0</v>
      </c>
      <c r="P127" s="52" t="b">
        <f t="shared" si="32"/>
        <v>0</v>
      </c>
      <c r="Q127" s="53" t="b">
        <f t="shared" si="33"/>
        <v>0</v>
      </c>
      <c r="R127" s="152" t="s">
        <v>175</v>
      </c>
      <c r="S127" s="184">
        <f t="shared" si="35"/>
        <v>0</v>
      </c>
      <c r="T127" s="124"/>
      <c r="U127" s="41" t="s">
        <v>175</v>
      </c>
      <c r="V127" s="70" t="e">
        <f>VLOOKUP(U127,'BASE '!$A$4:$H$144,2,0)</f>
        <v>#N/A</v>
      </c>
      <c r="W127" s="159"/>
      <c r="X127" s="159"/>
      <c r="Y127" s="160"/>
      <c r="Z127" s="158" t="e">
        <f>VLOOKUP(U127,'BASE '!$A$4:$H$144,3,0)</f>
        <v>#N/A</v>
      </c>
      <c r="AA127" s="94" t="e">
        <f t="shared" si="34"/>
        <v>#N/A</v>
      </c>
      <c r="AB127" s="95" t="e">
        <f>VLOOKUP(U127,'BASE '!$A$4:$H$144,6,0)*Y127/100</f>
        <v>#N/A</v>
      </c>
      <c r="AC127" s="95" t="e">
        <f>VLOOKUP(U127,'BASE '!$A$4:$H$144,7,0)*Y127/100</f>
        <v>#N/A</v>
      </c>
      <c r="AD127" s="95" t="e">
        <f>VLOOKUP(U127,'BASE '!$A$4:$H$144,8,0)*Y127/100</f>
        <v>#N/A</v>
      </c>
      <c r="AE127" s="96" t="e">
        <f t="shared" si="36"/>
        <v>#N/A</v>
      </c>
      <c r="DN127" s="116" t="e">
        <f>(($I$5*#REF!)/100)+((#REF!*$J$5)/100)+(($K$5*#REF!)/100)+($L$5*#REF!)+($M$5*#REF!)</f>
        <v>#REF!</v>
      </c>
    </row>
    <row r="128" spans="2:118" x14ac:dyDescent="0.3">
      <c r="B128" s="64"/>
      <c r="C128" s="148"/>
      <c r="D128" s="109"/>
      <c r="E128" s="63"/>
      <c r="F128" s="127"/>
      <c r="G128" s="50"/>
      <c r="H128" s="10"/>
      <c r="I128" s="10"/>
      <c r="J128" s="10"/>
      <c r="K128" s="10"/>
      <c r="L128" s="10"/>
      <c r="M128" s="39"/>
      <c r="N128" s="33">
        <f t="shared" si="31"/>
        <v>0</v>
      </c>
      <c r="O128" s="52" t="b">
        <f>IF(AND(E128="CLIENT S+L",F128="HUILE"),(S128*3333.33+(VLOOKUP(H128,'BASE '!$I$112:$J$142,2,0)))-((S128*3333.33)*G128),IF(AND(E128="CLIENT S+L",F128="LAIT"),((S128*952.4)-(S128*952.4)*G128),IF(E128="CLIENT O","OFFERT",IF(AND(F128="HUILE",E128="CLIENT L"),(((VLOOKUP(H128,'BASE '!$I$112:$J$142,2,0))+(VLOOKUP(S128,'BASE '!#REF!,2,0)))),IF(AND(F128="LAIT",E128="CLIENT L"),(S128*952.4),IF(AND(F128="HUILE",E128="CLIENT D"),(S128*3809.53+(VLOOKUP(H128,'BASE '!$I$112:$J$142,2,0))),IF(AND(F128="LAIT",E128="CLIENT D"),(S128*952.4),IF(AND(F128="HUILE",E128="CLIENT S+D"),((S128*3809.53+(VLOOKUP(H128,'BASE '!$I$112:$J$142,2,0)))-((S128*3809.53)*G128)),IF(AND(F128="LAIT",E128="CLIENT S+D"),((S128*952.4)-((S128*952.4)*G128)),IF(AND(E128="CLIENT S",F128="LAIT"),((S128*952.4)-((S128*952.4)*G128)),IF(AND(F128="HUILE",E128="CLIENT S"),(VLOOKUP(H128,'BASE '!$I$112:$J$142,2,0)+(VLOOKUP(S128,'BASE '!#REF!,2,0)))-(G128*((VLOOKUP(S128,'BASE '!#REF!,2,0)+(VLOOKUP(H128,'BASE '!$I$112:$J$142,2,0))))))))))))))))</f>
        <v>0</v>
      </c>
      <c r="P128" s="52" t="b">
        <f t="shared" si="32"/>
        <v>0</v>
      </c>
      <c r="Q128" s="53" t="b">
        <f t="shared" si="33"/>
        <v>0</v>
      </c>
      <c r="R128" s="152" t="s">
        <v>175</v>
      </c>
      <c r="S128" s="184">
        <f t="shared" si="35"/>
        <v>0</v>
      </c>
      <c r="T128" s="124"/>
      <c r="U128" s="41" t="s">
        <v>175</v>
      </c>
      <c r="V128" s="70" t="e">
        <f>VLOOKUP(U128,'BASE '!$A$4:$H$144,2,0)</f>
        <v>#N/A</v>
      </c>
      <c r="W128" s="159"/>
      <c r="X128" s="159"/>
      <c r="Y128" s="160"/>
      <c r="Z128" s="158" t="e">
        <f>VLOOKUP(U128,'BASE '!$A$4:$H$144,3,0)</f>
        <v>#N/A</v>
      </c>
      <c r="AA128" s="94" t="e">
        <f t="shared" si="34"/>
        <v>#N/A</v>
      </c>
      <c r="AB128" s="95" t="e">
        <f>VLOOKUP(U128,'BASE '!$A$4:$H$144,6,0)*Y128/100</f>
        <v>#N/A</v>
      </c>
      <c r="AC128" s="95" t="e">
        <f>VLOOKUP(U128,'BASE '!$A$4:$H$144,7,0)*Y128/100</f>
        <v>#N/A</v>
      </c>
      <c r="AD128" s="95" t="e">
        <f>VLOOKUP(U128,'BASE '!$A$4:$H$144,8,0)*Y128/100</f>
        <v>#N/A</v>
      </c>
      <c r="AE128" s="96" t="e">
        <f t="shared" si="36"/>
        <v>#N/A</v>
      </c>
      <c r="DN128" s="116" t="e">
        <f>(($I$5*#REF!)/100)+((#REF!*$J$5)/100)+(($K$5*#REF!)/100)+($L$5*#REF!)+($M$5*#REF!)</f>
        <v>#REF!</v>
      </c>
    </row>
    <row r="129" spans="2:118" x14ac:dyDescent="0.3">
      <c r="B129" s="64"/>
      <c r="C129" s="148"/>
      <c r="D129" s="109"/>
      <c r="E129" s="63"/>
      <c r="F129" s="127"/>
      <c r="G129" s="50"/>
      <c r="H129" s="10"/>
      <c r="I129" s="10"/>
      <c r="J129" s="10"/>
      <c r="K129" s="10"/>
      <c r="L129" s="10"/>
      <c r="M129" s="39"/>
      <c r="N129" s="33">
        <f t="shared" si="31"/>
        <v>0</v>
      </c>
      <c r="O129" s="52" t="b">
        <f>IF(AND(E129="CLIENT S+L",F129="HUILE"),(S129*3333.33+(VLOOKUP(H129,'BASE '!$I$112:$J$142,2,0)))-((S129*3333.33)*G129),IF(AND(E129="CLIENT S+L",F129="LAIT"),((S129*952.4)-(S129*952.4)*G129),IF(E129="CLIENT O","OFFERT",IF(AND(F129="HUILE",E129="CLIENT L"),(((VLOOKUP(H129,'BASE '!$I$112:$J$142,2,0))+(VLOOKUP(S129,'BASE '!#REF!,2,0)))),IF(AND(F129="LAIT",E129="CLIENT L"),(S129*952.4),IF(AND(F129="HUILE",E129="CLIENT D"),(S129*3809.53+(VLOOKUP(H129,'BASE '!$I$112:$J$142,2,0))),IF(AND(F129="LAIT",E129="CLIENT D"),(S129*952.4),IF(AND(F129="HUILE",E129="CLIENT S+D"),((S129*3809.53+(VLOOKUP(H129,'BASE '!$I$112:$J$142,2,0)))-((S129*3809.53)*G129)),IF(AND(F129="LAIT",E129="CLIENT S+D"),((S129*952.4)-((S129*952.4)*G129)),IF(AND(E129="CLIENT S",F129="LAIT"),((S129*952.4)-((S129*952.4)*G129)),IF(AND(F129="HUILE",E129="CLIENT S"),(VLOOKUP(H129,'BASE '!$I$112:$J$142,2,0)+(VLOOKUP(S129,'BASE '!#REF!,2,0)))-(G129*((VLOOKUP(S129,'BASE '!#REF!,2,0)+(VLOOKUP(H129,'BASE '!$I$112:$J$142,2,0))))))))))))))))</f>
        <v>0</v>
      </c>
      <c r="P129" s="52" t="b">
        <f t="shared" si="32"/>
        <v>0</v>
      </c>
      <c r="Q129" s="53" t="b">
        <f t="shared" si="33"/>
        <v>0</v>
      </c>
      <c r="R129" s="152" t="s">
        <v>175</v>
      </c>
      <c r="S129" s="184">
        <f t="shared" si="35"/>
        <v>0</v>
      </c>
      <c r="T129" s="124"/>
      <c r="U129" s="41" t="s">
        <v>175</v>
      </c>
      <c r="V129" s="70" t="e">
        <f>VLOOKUP(U129,'BASE '!$A$4:$H$144,2,0)</f>
        <v>#N/A</v>
      </c>
      <c r="W129" s="159"/>
      <c r="X129" s="159"/>
      <c r="Y129" s="160"/>
      <c r="Z129" s="158" t="e">
        <f>VLOOKUP(U129,'BASE '!$A$4:$H$144,3,0)</f>
        <v>#N/A</v>
      </c>
      <c r="AA129" s="94" t="e">
        <f t="shared" si="34"/>
        <v>#N/A</v>
      </c>
      <c r="AB129" s="95" t="e">
        <f>VLOOKUP(U129,'BASE '!$A$4:$H$144,6,0)*Y129/100</f>
        <v>#N/A</v>
      </c>
      <c r="AC129" s="95" t="e">
        <f>VLOOKUP(U129,'BASE '!$A$4:$H$144,7,0)*Y129/100</f>
        <v>#N/A</v>
      </c>
      <c r="AD129" s="95" t="e">
        <f>VLOOKUP(U129,'BASE '!$A$4:$H$144,8,0)*Y129/100</f>
        <v>#N/A</v>
      </c>
      <c r="AE129" s="96" t="e">
        <f t="shared" si="36"/>
        <v>#N/A</v>
      </c>
      <c r="DN129" s="116" t="e">
        <f>(($I$5*#REF!)/100)+((#REF!*$J$5)/100)+(($K$5*#REF!)/100)+($L$5*#REF!)+($M$5*#REF!)</f>
        <v>#REF!</v>
      </c>
    </row>
    <row r="130" spans="2:118" x14ac:dyDescent="0.3">
      <c r="B130" s="64"/>
      <c r="C130" s="148"/>
      <c r="D130" s="109"/>
      <c r="E130" s="63"/>
      <c r="F130" s="127"/>
      <c r="G130" s="50"/>
      <c r="H130" s="10"/>
      <c r="I130" s="10"/>
      <c r="J130" s="10"/>
      <c r="K130" s="10"/>
      <c r="L130" s="10"/>
      <c r="M130" s="39"/>
      <c r="N130" s="33">
        <f t="shared" si="31"/>
        <v>0</v>
      </c>
      <c r="O130" s="52" t="b">
        <f>IF(AND(E130="CLIENT S+L",F130="HUILE"),(S130*3333.33+(VLOOKUP(H130,'BASE '!$I$112:$J$142,2,0)))-((S130*3333.33)*G130),IF(AND(E130="CLIENT S+L",F130="LAIT"),((S130*952.4)-(S130*952.4)*G130),IF(E130="CLIENT O","OFFERT",IF(AND(F130="HUILE",E130="CLIENT L"),(((VLOOKUP(H130,'BASE '!$I$112:$J$142,2,0))+(VLOOKUP(S130,'BASE '!#REF!,2,0)))),IF(AND(F130="LAIT",E130="CLIENT L"),(S130*952.4),IF(AND(F130="HUILE",E130="CLIENT D"),(S130*3809.53+(VLOOKUP(H130,'BASE '!$I$112:$J$142,2,0))),IF(AND(F130="LAIT",E130="CLIENT D"),(S130*952.4),IF(AND(F130="HUILE",E130="CLIENT S+D"),((S130*3809.53+(VLOOKUP(H130,'BASE '!$I$112:$J$142,2,0)))-((S130*3809.53)*G130)),IF(AND(F130="LAIT",E130="CLIENT S+D"),((S130*952.4)-((S130*952.4)*G130)),IF(AND(E130="CLIENT S",F130="LAIT"),((S130*952.4)-((S130*952.4)*G130)),IF(AND(F130="HUILE",E130="CLIENT S"),(VLOOKUP(H130,'BASE '!$I$112:$J$142,2,0)+(VLOOKUP(S130,'BASE '!#REF!,2,0)))-(G130*((VLOOKUP(S130,'BASE '!#REF!,2,0)+(VLOOKUP(H130,'BASE '!$I$112:$J$142,2,0))))))))))))))))</f>
        <v>0</v>
      </c>
      <c r="P130" s="52" t="b">
        <f t="shared" si="32"/>
        <v>0</v>
      </c>
      <c r="Q130" s="53" t="b">
        <f t="shared" si="33"/>
        <v>0</v>
      </c>
      <c r="R130" s="152" t="s">
        <v>175</v>
      </c>
      <c r="S130" s="184">
        <f t="shared" si="35"/>
        <v>0</v>
      </c>
      <c r="T130" s="124"/>
      <c r="U130" s="41" t="s">
        <v>175</v>
      </c>
      <c r="V130" s="70" t="e">
        <f>VLOOKUP(U130,'BASE '!$A$4:$H$144,2,0)</f>
        <v>#N/A</v>
      </c>
      <c r="W130" s="159"/>
      <c r="X130" s="159"/>
      <c r="Y130" s="160"/>
      <c r="Z130" s="158" t="e">
        <f>VLOOKUP(U130,'BASE '!$A$4:$H$144,3,0)</f>
        <v>#N/A</v>
      </c>
      <c r="AA130" s="94" t="e">
        <f t="shared" si="34"/>
        <v>#N/A</v>
      </c>
      <c r="AB130" s="95" t="e">
        <f>VLOOKUP(U130,'BASE '!$A$4:$H$144,6,0)*Y130/100</f>
        <v>#N/A</v>
      </c>
      <c r="AC130" s="95" t="e">
        <f>VLOOKUP(U130,'BASE '!$A$4:$H$144,7,0)*Y130/100</f>
        <v>#N/A</v>
      </c>
      <c r="AD130" s="95" t="e">
        <f>VLOOKUP(U130,'BASE '!$A$4:$H$144,8,0)*Y130/100</f>
        <v>#N/A</v>
      </c>
      <c r="AE130" s="96" t="e">
        <f t="shared" si="36"/>
        <v>#N/A</v>
      </c>
      <c r="DN130" s="116" t="e">
        <f>(($I$5*#REF!)/100)+((#REF!*$J$5)/100)+(($K$5*#REF!)/100)+($L$5*#REF!)+($M$5*#REF!)</f>
        <v>#REF!</v>
      </c>
    </row>
    <row r="131" spans="2:118" x14ac:dyDescent="0.3">
      <c r="B131" s="64"/>
      <c r="C131" s="148"/>
      <c r="D131" s="109"/>
      <c r="E131" s="63"/>
      <c r="F131" s="127"/>
      <c r="G131" s="50"/>
      <c r="H131" s="10"/>
      <c r="I131" s="10"/>
      <c r="J131" s="10"/>
      <c r="K131" s="10"/>
      <c r="L131" s="10"/>
      <c r="M131" s="39"/>
      <c r="N131" s="33">
        <f t="shared" si="31"/>
        <v>0</v>
      </c>
      <c r="O131" s="52" t="b">
        <f>IF(AND(E131="CLIENT S+L",F131="HUILE"),(S131*3333.33+(VLOOKUP(H131,'BASE '!$I$112:$J$142,2,0)))-((S131*3333.33)*G131),IF(AND(E131="CLIENT S+L",F131="LAIT"),((S131*952.4)-(S131*952.4)*G131),IF(E131="CLIENT O","OFFERT",IF(AND(F131="HUILE",E131="CLIENT L"),(((VLOOKUP(H131,'BASE '!$I$112:$J$142,2,0))+(VLOOKUP(S131,'BASE '!#REF!,2,0)))),IF(AND(F131="LAIT",E131="CLIENT L"),(S131*952.4),IF(AND(F131="HUILE",E131="CLIENT D"),(S131*3809.53+(VLOOKUP(H131,'BASE '!$I$112:$J$142,2,0))),IF(AND(F131="LAIT",E131="CLIENT D"),(S131*952.4),IF(AND(F131="HUILE",E131="CLIENT S+D"),((S131*3809.53+(VLOOKUP(H131,'BASE '!$I$112:$J$142,2,0)))-((S131*3809.53)*G131)),IF(AND(F131="LAIT",E131="CLIENT S+D"),((S131*952.4)-((S131*952.4)*G131)),IF(AND(E131="CLIENT S",F131="LAIT"),((S131*952.4)-((S131*952.4)*G131)),IF(AND(F131="HUILE",E131="CLIENT S"),(VLOOKUP(H131,'BASE '!$I$112:$J$142,2,0)+(VLOOKUP(S131,'BASE '!#REF!,2,0)))-(G131*((VLOOKUP(S131,'BASE '!#REF!,2,0)+(VLOOKUP(H131,'BASE '!$I$112:$J$142,2,0))))))))))))))))</f>
        <v>0</v>
      </c>
      <c r="P131" s="52" t="b">
        <f t="shared" si="32"/>
        <v>0</v>
      </c>
      <c r="Q131" s="53" t="b">
        <f t="shared" si="33"/>
        <v>0</v>
      </c>
      <c r="R131" s="152" t="s">
        <v>175</v>
      </c>
      <c r="S131" s="184">
        <f t="shared" si="35"/>
        <v>0</v>
      </c>
      <c r="T131" s="124"/>
      <c r="U131" s="41" t="s">
        <v>175</v>
      </c>
      <c r="V131" s="70" t="e">
        <f>VLOOKUP(U131,'BASE '!$A$4:$H$144,2,0)</f>
        <v>#N/A</v>
      </c>
      <c r="W131" s="159"/>
      <c r="X131" s="159"/>
      <c r="Y131" s="160"/>
      <c r="Z131" s="158" t="e">
        <f>VLOOKUP(U131,'BASE '!$A$4:$H$144,3,0)</f>
        <v>#N/A</v>
      </c>
      <c r="AA131" s="94" t="e">
        <f t="shared" si="34"/>
        <v>#N/A</v>
      </c>
      <c r="AB131" s="95" t="e">
        <f>VLOOKUP(U131,'BASE '!$A$4:$H$144,6,0)*Y131/100</f>
        <v>#N/A</v>
      </c>
      <c r="AC131" s="95" t="e">
        <f>VLOOKUP(U131,'BASE '!$A$4:$H$144,7,0)*Y131/100</f>
        <v>#N/A</v>
      </c>
      <c r="AD131" s="95" t="e">
        <f>VLOOKUP(U131,'BASE '!$A$4:$H$144,8,0)*Y131/100</f>
        <v>#N/A</v>
      </c>
      <c r="AE131" s="96" t="e">
        <f t="shared" si="36"/>
        <v>#N/A</v>
      </c>
      <c r="DN131" s="116" t="e">
        <f>(($I$5*#REF!)/100)+((#REF!*$J$5)/100)+(($K$5*#REF!)/100)+($L$5*#REF!)+($M$5*#REF!)</f>
        <v>#REF!</v>
      </c>
    </row>
    <row r="132" spans="2:118" x14ac:dyDescent="0.3">
      <c r="B132" s="64"/>
      <c r="C132" s="148"/>
      <c r="D132" s="109"/>
      <c r="E132" s="63"/>
      <c r="F132" s="127"/>
      <c r="G132" s="50"/>
      <c r="H132" s="10"/>
      <c r="I132" s="10"/>
      <c r="J132" s="10"/>
      <c r="K132" s="10"/>
      <c r="L132" s="10"/>
      <c r="M132" s="39"/>
      <c r="N132" s="33">
        <f t="shared" si="31"/>
        <v>0</v>
      </c>
      <c r="O132" s="52" t="b">
        <f>IF(AND(E132="CLIENT S+L",F132="HUILE"),(S132*3333.33+(VLOOKUP(H132,'BASE '!$I$112:$J$142,2,0)))-((S132*3333.33)*G132),IF(AND(E132="CLIENT S+L",F132="LAIT"),((S132*952.4)-(S132*952.4)*G132),IF(E132="CLIENT O","OFFERT",IF(AND(F132="HUILE",E132="CLIENT L"),(((VLOOKUP(H132,'BASE '!$I$112:$J$142,2,0))+(VLOOKUP(S132,'BASE '!#REF!,2,0)))),IF(AND(F132="LAIT",E132="CLIENT L"),(S132*952.4),IF(AND(F132="HUILE",E132="CLIENT D"),(S132*3809.53+(VLOOKUP(H132,'BASE '!$I$112:$J$142,2,0))),IF(AND(F132="LAIT",E132="CLIENT D"),(S132*952.4),IF(AND(F132="HUILE",E132="CLIENT S+D"),((S132*3809.53+(VLOOKUP(H132,'BASE '!$I$112:$J$142,2,0)))-((S132*3809.53)*G132)),IF(AND(F132="LAIT",E132="CLIENT S+D"),((S132*952.4)-((S132*952.4)*G132)),IF(AND(E132="CLIENT S",F132="LAIT"),((S132*952.4)-((S132*952.4)*G132)),IF(AND(F132="HUILE",E132="CLIENT S"),(VLOOKUP(H132,'BASE '!$I$112:$J$142,2,0)+(VLOOKUP(S132,'BASE '!#REF!,2,0)))-(G132*((VLOOKUP(S132,'BASE '!#REF!,2,0)+(VLOOKUP(H132,'BASE '!$I$112:$J$142,2,0))))))))))))))))</f>
        <v>0</v>
      </c>
      <c r="P132" s="52" t="b">
        <f t="shared" si="32"/>
        <v>0</v>
      </c>
      <c r="Q132" s="53" t="b">
        <f t="shared" si="33"/>
        <v>0</v>
      </c>
      <c r="R132" s="152" t="s">
        <v>175</v>
      </c>
      <c r="S132" s="184">
        <f t="shared" si="35"/>
        <v>0</v>
      </c>
      <c r="T132" s="124"/>
      <c r="U132" s="41" t="s">
        <v>175</v>
      </c>
      <c r="V132" s="70" t="e">
        <f>VLOOKUP(U132,'BASE '!$A$4:$H$144,2,0)</f>
        <v>#N/A</v>
      </c>
      <c r="W132" s="159"/>
      <c r="X132" s="159"/>
      <c r="Y132" s="160"/>
      <c r="Z132" s="158" t="e">
        <f>VLOOKUP(U132,'BASE '!$A$4:$H$144,3,0)</f>
        <v>#N/A</v>
      </c>
      <c r="AA132" s="94" t="e">
        <f t="shared" si="34"/>
        <v>#N/A</v>
      </c>
      <c r="AB132" s="95" t="e">
        <f>VLOOKUP(U132,'BASE '!$A$4:$H$144,6,0)*Y132/100</f>
        <v>#N/A</v>
      </c>
      <c r="AC132" s="95" t="e">
        <f>VLOOKUP(U132,'BASE '!$A$4:$H$144,7,0)*Y132/100</f>
        <v>#N/A</v>
      </c>
      <c r="AD132" s="95" t="e">
        <f>VLOOKUP(U132,'BASE '!$A$4:$H$144,8,0)*Y132/100</f>
        <v>#N/A</v>
      </c>
      <c r="AE132" s="96" t="e">
        <f t="shared" si="36"/>
        <v>#N/A</v>
      </c>
      <c r="DN132" s="116" t="e">
        <f>(($I$5*#REF!)/100)+((#REF!*$J$5)/100)+(($K$5*#REF!)/100)+($L$5*#REF!)+($M$5*#REF!)</f>
        <v>#REF!</v>
      </c>
    </row>
    <row r="133" spans="2:118" x14ac:dyDescent="0.3">
      <c r="B133" s="64"/>
      <c r="C133" s="148"/>
      <c r="D133" s="109"/>
      <c r="E133" s="63"/>
      <c r="F133" s="127"/>
      <c r="G133" s="50"/>
      <c r="H133" s="10"/>
      <c r="I133" s="10"/>
      <c r="J133" s="10"/>
      <c r="K133" s="10"/>
      <c r="L133" s="10"/>
      <c r="M133" s="39"/>
      <c r="N133" s="33">
        <f t="shared" si="31"/>
        <v>0</v>
      </c>
      <c r="O133" s="52" t="b">
        <f>IF(AND(E133="CLIENT S+L",F133="HUILE"),(S133*3333.33+(VLOOKUP(H133,'BASE '!$I$112:$J$142,2,0)))-((S133*3333.33)*G133),IF(AND(E133="CLIENT S+L",F133="LAIT"),((S133*952.4)-(S133*952.4)*G133),IF(E133="CLIENT O","OFFERT",IF(AND(F133="HUILE",E133="CLIENT L"),(((VLOOKUP(H133,'BASE '!$I$112:$J$142,2,0))+(VLOOKUP(S133,'BASE '!#REF!,2,0)))),IF(AND(F133="LAIT",E133="CLIENT L"),(S133*952.4),IF(AND(F133="HUILE",E133="CLIENT D"),(S133*3809.53+(VLOOKUP(H133,'BASE '!$I$112:$J$142,2,0))),IF(AND(F133="LAIT",E133="CLIENT D"),(S133*952.4),IF(AND(F133="HUILE",E133="CLIENT S+D"),((S133*3809.53+(VLOOKUP(H133,'BASE '!$I$112:$J$142,2,0)))-((S133*3809.53)*G133)),IF(AND(F133="LAIT",E133="CLIENT S+D"),((S133*952.4)-((S133*952.4)*G133)),IF(AND(E133="CLIENT S",F133="LAIT"),((S133*952.4)-((S133*952.4)*G133)),IF(AND(F133="HUILE",E133="CLIENT S"),(VLOOKUP(H133,'BASE '!$I$112:$J$142,2,0)+(VLOOKUP(S133,'BASE '!#REF!,2,0)))-(G133*((VLOOKUP(S133,'BASE '!#REF!,2,0)+(VLOOKUP(H133,'BASE '!$I$112:$J$142,2,0))))))))))))))))</f>
        <v>0</v>
      </c>
      <c r="P133" s="52" t="b">
        <f t="shared" si="32"/>
        <v>0</v>
      </c>
      <c r="Q133" s="53" t="b">
        <f t="shared" si="33"/>
        <v>0</v>
      </c>
      <c r="R133" s="152" t="s">
        <v>175</v>
      </c>
      <c r="S133" s="184">
        <f t="shared" si="35"/>
        <v>0</v>
      </c>
      <c r="T133" s="124"/>
      <c r="U133" s="41" t="s">
        <v>175</v>
      </c>
      <c r="V133" s="70" t="e">
        <f>VLOOKUP(U133,'BASE '!$A$4:$H$144,2,0)</f>
        <v>#N/A</v>
      </c>
      <c r="W133" s="159"/>
      <c r="X133" s="159"/>
      <c r="Y133" s="160"/>
      <c r="Z133" s="158" t="e">
        <f>VLOOKUP(U133,'BASE '!$A$4:$H$144,3,0)</f>
        <v>#N/A</v>
      </c>
      <c r="AA133" s="94" t="e">
        <f t="shared" si="34"/>
        <v>#N/A</v>
      </c>
      <c r="AB133" s="95" t="e">
        <f>VLOOKUP(U133,'BASE '!$A$4:$H$144,6,0)*Y133/100</f>
        <v>#N/A</v>
      </c>
      <c r="AC133" s="95" t="e">
        <f>VLOOKUP(U133,'BASE '!$A$4:$H$144,7,0)*Y133/100</f>
        <v>#N/A</v>
      </c>
      <c r="AD133" s="95" t="e">
        <f>VLOOKUP(U133,'BASE '!$A$4:$H$144,8,0)*Y133/100</f>
        <v>#N/A</v>
      </c>
      <c r="AE133" s="96" t="e">
        <f t="shared" si="36"/>
        <v>#N/A</v>
      </c>
      <c r="DN133" s="116" t="e">
        <f>(($I$5*#REF!)/100)+((#REF!*$J$5)/100)+(($K$5*#REF!)/100)+($L$5*#REF!)+($M$5*#REF!)</f>
        <v>#REF!</v>
      </c>
    </row>
    <row r="134" spans="2:118" x14ac:dyDescent="0.3">
      <c r="B134" s="64"/>
      <c r="C134" s="148"/>
      <c r="D134" s="109"/>
      <c r="E134" s="63"/>
      <c r="F134" s="127"/>
      <c r="G134" s="50"/>
      <c r="H134" s="10"/>
      <c r="I134" s="10"/>
      <c r="J134" s="10"/>
      <c r="K134" s="10"/>
      <c r="L134" s="10"/>
      <c r="M134" s="39"/>
      <c r="N134" s="33">
        <f t="shared" ref="N134:N165" si="37">((($H$5*H134)/100)+($I$5*I134)/100)+((J134*$J$5)/100)+(($K$5*K134)/100)+($L$5*L134)+($M$5*M134)</f>
        <v>0</v>
      </c>
      <c r="O134" s="52" t="b">
        <f>IF(AND(E134="CLIENT S+L",F134="HUILE"),(S134*3333.33+(VLOOKUP(H134,'BASE '!$I$112:$J$142,2,0)))-((S134*3333.33)*G134),IF(AND(E134="CLIENT S+L",F134="LAIT"),((S134*952.4)-(S134*952.4)*G134),IF(E134="CLIENT O","OFFERT",IF(AND(F134="HUILE",E134="CLIENT L"),(((VLOOKUP(H134,'BASE '!$I$112:$J$142,2,0))+(VLOOKUP(S134,'BASE '!#REF!,2,0)))),IF(AND(F134="LAIT",E134="CLIENT L"),(S134*952.4),IF(AND(F134="HUILE",E134="CLIENT D"),(S134*3809.53+(VLOOKUP(H134,'BASE '!$I$112:$J$142,2,0))),IF(AND(F134="LAIT",E134="CLIENT D"),(S134*952.4),IF(AND(F134="HUILE",E134="CLIENT S+D"),((S134*3809.53+(VLOOKUP(H134,'BASE '!$I$112:$J$142,2,0)))-((S134*3809.53)*G134)),IF(AND(F134="LAIT",E134="CLIENT S+D"),((S134*952.4)-((S134*952.4)*G134)),IF(AND(E134="CLIENT S",F134="LAIT"),((S134*952.4)-((S134*952.4)*G134)),IF(AND(F134="HUILE",E134="CLIENT S"),(VLOOKUP(H134,'BASE '!$I$112:$J$142,2,0)+(VLOOKUP(S134,'BASE '!#REF!,2,0)))-(G134*((VLOOKUP(S134,'BASE '!#REF!,2,0)+(VLOOKUP(H134,'BASE '!$I$112:$J$142,2,0))))))))))))))))</f>
        <v>0</v>
      </c>
      <c r="P134" s="52" t="b">
        <f t="shared" ref="P134:P165" si="38">IF(E134="CLIENT S+L",(O134*0.05),IF(E134="CLIENT S",(O134*0.05),IF(E134="CLIENT D",(O134*5/100),IF(E134="CLIENT L",(O134*5)/100,IF(E134="CLIENT S+D",(O134*0.05),IF(E134="CLIENT O",O134))))))</f>
        <v>0</v>
      </c>
      <c r="Q134" s="53" t="b">
        <f t="shared" ref="Q134:Q165" si="39">IF(E134="CLIENT S+L",(O134+P134),IF(E134="CLIENT D",O134+P134,IF(E134="CLIENT S",(O134+P134),IF(E134="CLIENT L",O134+P134,IF(E134="CLIENT S+D",(O134+P134),IF(E134="CLIENT O",P134))))))</f>
        <v>0</v>
      </c>
      <c r="R134" s="152" t="s">
        <v>175</v>
      </c>
      <c r="S134" s="184">
        <f t="shared" si="35"/>
        <v>0</v>
      </c>
      <c r="T134" s="124"/>
      <c r="U134" s="41" t="s">
        <v>175</v>
      </c>
      <c r="V134" s="70" t="e">
        <f>VLOOKUP(U134,'BASE '!$A$4:$H$144,2,0)</f>
        <v>#N/A</v>
      </c>
      <c r="W134" s="159"/>
      <c r="X134" s="159"/>
      <c r="Y134" s="160"/>
      <c r="Z134" s="158" t="e">
        <f>VLOOKUP(U134,'BASE '!$A$4:$H$144,3,0)</f>
        <v>#N/A</v>
      </c>
      <c r="AA134" s="94" t="e">
        <f t="shared" ref="AA134:AA144" si="40">(Y134*Z134)/100</f>
        <v>#N/A</v>
      </c>
      <c r="AB134" s="95" t="e">
        <f>VLOOKUP(U134,'BASE '!$A$4:$H$144,6,0)*Y134/100</f>
        <v>#N/A</v>
      </c>
      <c r="AC134" s="95" t="e">
        <f>VLOOKUP(U134,'BASE '!$A$4:$H$144,7,0)*Y134/100</f>
        <v>#N/A</v>
      </c>
      <c r="AD134" s="95" t="e">
        <f>VLOOKUP(U134,'BASE '!$A$4:$H$144,8,0)*Y134/100</f>
        <v>#N/A</v>
      </c>
      <c r="AE134" s="96" t="e">
        <f t="shared" si="36"/>
        <v>#N/A</v>
      </c>
      <c r="DN134" s="116"/>
    </row>
    <row r="135" spans="2:118" x14ac:dyDescent="0.3">
      <c r="B135" s="64"/>
      <c r="C135" s="148"/>
      <c r="D135" s="109"/>
      <c r="E135" s="63"/>
      <c r="F135" s="127"/>
      <c r="G135" s="50"/>
      <c r="H135" s="10"/>
      <c r="I135" s="10"/>
      <c r="J135" s="10"/>
      <c r="K135" s="10"/>
      <c r="L135" s="10"/>
      <c r="M135" s="39"/>
      <c r="N135" s="33">
        <f t="shared" si="37"/>
        <v>0</v>
      </c>
      <c r="O135" s="52" t="b">
        <f>IF(AND(E135="CLIENT S+L",F135="HUILE"),(S135*3333.33+(VLOOKUP(H135,'BASE '!$I$112:$J$142,2,0)))-((S135*3333.33)*G135),IF(AND(E135="CLIENT S+L",F135="LAIT"),((S135*952.4)-(S135*952.4)*G135),IF(E135="CLIENT O","OFFERT",IF(AND(F135="HUILE",E135="CLIENT L"),(((VLOOKUP(H135,'BASE '!$I$112:$J$142,2,0))+(VLOOKUP(S135,'BASE '!#REF!,2,0)))),IF(AND(F135="LAIT",E135="CLIENT L"),(S135*952.4),IF(AND(F135="HUILE",E135="CLIENT D"),(S135*3809.53+(VLOOKUP(H135,'BASE '!$I$112:$J$142,2,0))),IF(AND(F135="LAIT",E135="CLIENT D"),(S135*952.4),IF(AND(F135="HUILE",E135="CLIENT S+D"),((S135*3809.53+(VLOOKUP(H135,'BASE '!$I$112:$J$142,2,0)))-((S135*3809.53)*G135)),IF(AND(F135="LAIT",E135="CLIENT S+D"),((S135*952.4)-((S135*952.4)*G135)),IF(AND(E135="CLIENT S",F135="LAIT"),((S135*952.4)-((S135*952.4)*G135)),IF(AND(F135="HUILE",E135="CLIENT S"),(VLOOKUP(H135,'BASE '!$I$112:$J$142,2,0)+(VLOOKUP(S135,'BASE '!#REF!,2,0)))-(G135*((VLOOKUP(S135,'BASE '!#REF!,2,0)+(VLOOKUP(H135,'BASE '!$I$112:$J$142,2,0))))))))))))))))</f>
        <v>0</v>
      </c>
      <c r="P135" s="52" t="b">
        <f t="shared" si="38"/>
        <v>0</v>
      </c>
      <c r="Q135" s="53" t="b">
        <f t="shared" si="39"/>
        <v>0</v>
      </c>
      <c r="R135" s="152" t="s">
        <v>175</v>
      </c>
      <c r="S135" s="184">
        <f t="shared" ref="S135:S165" si="41">(($I$5*I135)/100)+((J135*$J$5)/100)+(($K$5*K135)/100)+($L$5*L135)+($M$5*M135)</f>
        <v>0</v>
      </c>
      <c r="T135" s="124"/>
      <c r="U135" s="41" t="s">
        <v>175</v>
      </c>
      <c r="V135" s="70" t="e">
        <f>VLOOKUP(U135,'BASE '!$A$4:$H$144,2,0)</f>
        <v>#N/A</v>
      </c>
      <c r="W135" s="159"/>
      <c r="X135" s="159"/>
      <c r="Y135" s="160"/>
      <c r="Z135" s="158" t="e">
        <f>VLOOKUP(U135,'BASE '!$A$4:$H$144,3,0)</f>
        <v>#N/A</v>
      </c>
      <c r="AA135" s="94" t="e">
        <f t="shared" si="40"/>
        <v>#N/A</v>
      </c>
      <c r="AB135" s="95" t="e">
        <f>VLOOKUP(U135,'BASE '!$A$4:$H$144,6,0)*Y135/100</f>
        <v>#N/A</v>
      </c>
      <c r="AC135" s="95" t="e">
        <f>VLOOKUP(U135,'BASE '!$A$4:$H$144,7,0)*Y135/100</f>
        <v>#N/A</v>
      </c>
      <c r="AD135" s="95" t="e">
        <f>VLOOKUP(U135,'BASE '!$A$4:$H$144,8,0)*Y135/100</f>
        <v>#N/A</v>
      </c>
      <c r="AE135" s="96" t="e">
        <f t="shared" ref="AE135:AE144" si="42">AA135+AB135+AC135+AD135</f>
        <v>#N/A</v>
      </c>
      <c r="DN135" s="116"/>
    </row>
    <row r="136" spans="2:118" x14ac:dyDescent="0.3">
      <c r="B136" s="64"/>
      <c r="C136" s="148"/>
      <c r="D136" s="109"/>
      <c r="E136" s="63"/>
      <c r="F136" s="127"/>
      <c r="G136" s="50"/>
      <c r="H136" s="10"/>
      <c r="I136" s="10"/>
      <c r="J136" s="10"/>
      <c r="K136" s="10"/>
      <c r="L136" s="10"/>
      <c r="M136" s="39"/>
      <c r="N136" s="33">
        <f t="shared" si="37"/>
        <v>0</v>
      </c>
      <c r="O136" s="52" t="b">
        <f>IF(AND(E136="CLIENT S+L",F136="HUILE"),(S136*3333.33+(VLOOKUP(H136,'BASE '!$I$112:$J$142,2,0)))-((S136*3333.33)*G136),IF(AND(E136="CLIENT S+L",F136="LAIT"),((S136*952.4)-(S136*952.4)*G136),IF(E136="CLIENT O","OFFERT",IF(AND(F136="HUILE",E136="CLIENT L"),(((VLOOKUP(H136,'BASE '!$I$112:$J$142,2,0))+(VLOOKUP(S136,'BASE '!#REF!,2,0)))),IF(AND(F136="LAIT",E136="CLIENT L"),(S136*952.4),IF(AND(F136="HUILE",E136="CLIENT D"),(S136*3809.53+(VLOOKUP(H136,'BASE '!$I$112:$J$142,2,0))),IF(AND(F136="LAIT",E136="CLIENT D"),(S136*952.4),IF(AND(F136="HUILE",E136="CLIENT S+D"),((S136*3809.53+(VLOOKUP(H136,'BASE '!$I$112:$J$142,2,0)))-((S136*3809.53)*G136)),IF(AND(F136="LAIT",E136="CLIENT S+D"),((S136*952.4)-((S136*952.4)*G136)),IF(AND(E136="CLIENT S",F136="LAIT"),((S136*952.4)-((S136*952.4)*G136)),IF(AND(F136="HUILE",E136="CLIENT S"),(VLOOKUP(H136,'BASE '!$I$112:$J$142,2,0)+(VLOOKUP(S136,'BASE '!#REF!,2,0)))-(G136*((VLOOKUP(S136,'BASE '!#REF!,2,0)+(VLOOKUP(H136,'BASE '!$I$112:$J$142,2,0))))))))))))))))</f>
        <v>0</v>
      </c>
      <c r="P136" s="52" t="b">
        <f t="shared" si="38"/>
        <v>0</v>
      </c>
      <c r="Q136" s="53" t="b">
        <f t="shared" si="39"/>
        <v>0</v>
      </c>
      <c r="R136" s="152" t="s">
        <v>175</v>
      </c>
      <c r="S136" s="184">
        <f t="shared" si="41"/>
        <v>0</v>
      </c>
      <c r="T136" s="124"/>
      <c r="U136" s="41" t="s">
        <v>175</v>
      </c>
      <c r="V136" s="70" t="e">
        <f>VLOOKUP(U136,'BASE '!$A$4:$H$144,2,0)</f>
        <v>#N/A</v>
      </c>
      <c r="W136" s="159"/>
      <c r="X136" s="159"/>
      <c r="Y136" s="160"/>
      <c r="Z136" s="158" t="e">
        <f>VLOOKUP(U136,'BASE '!$A$4:$H$144,3,0)</f>
        <v>#N/A</v>
      </c>
      <c r="AA136" s="94" t="e">
        <f t="shared" si="40"/>
        <v>#N/A</v>
      </c>
      <c r="AB136" s="95" t="e">
        <f>VLOOKUP(U136,'BASE '!$A$4:$H$144,6,0)*Y136/100</f>
        <v>#N/A</v>
      </c>
      <c r="AC136" s="95" t="e">
        <f>VLOOKUP(U136,'BASE '!$A$4:$H$144,7,0)*Y136/100</f>
        <v>#N/A</v>
      </c>
      <c r="AD136" s="95" t="e">
        <f>VLOOKUP(U136,'BASE '!$A$4:$H$144,8,0)*Y136/100</f>
        <v>#N/A</v>
      </c>
      <c r="AE136" s="96" t="e">
        <f t="shared" si="42"/>
        <v>#N/A</v>
      </c>
      <c r="DN136" s="116"/>
    </row>
    <row r="137" spans="2:118" x14ac:dyDescent="0.3">
      <c r="B137" s="64"/>
      <c r="C137" s="148"/>
      <c r="D137" s="109"/>
      <c r="E137" s="63"/>
      <c r="F137" s="127"/>
      <c r="G137" s="50"/>
      <c r="H137" s="10"/>
      <c r="I137" s="10"/>
      <c r="J137" s="10"/>
      <c r="K137" s="10"/>
      <c r="L137" s="10"/>
      <c r="M137" s="39"/>
      <c r="N137" s="33">
        <f t="shared" si="37"/>
        <v>0</v>
      </c>
      <c r="O137" s="52" t="b">
        <f>IF(AND(E137="CLIENT S+L",F137="HUILE"),(S137*3333.33+(VLOOKUP(H137,'BASE '!$I$112:$J$142,2,0)))-((S137*3333.33)*G137),IF(AND(E137="CLIENT S+L",F137="LAIT"),((S137*952.4)-(S137*952.4)*G137),IF(E137="CLIENT O","OFFERT",IF(AND(F137="HUILE",E137="CLIENT L"),(((VLOOKUP(H137,'BASE '!$I$112:$J$142,2,0))+(VLOOKUP(S137,'BASE '!#REF!,2,0)))),IF(AND(F137="LAIT",E137="CLIENT L"),(S137*952.4),IF(AND(F137="HUILE",E137="CLIENT D"),(S137*3809.53+(VLOOKUP(H137,'BASE '!$I$112:$J$142,2,0))),IF(AND(F137="LAIT",E137="CLIENT D"),(S137*952.4),IF(AND(F137="HUILE",E137="CLIENT S+D"),((S137*3809.53+(VLOOKUP(H137,'BASE '!$I$112:$J$142,2,0)))-((S137*3809.53)*G137)),IF(AND(F137="LAIT",E137="CLIENT S+D"),((S137*952.4)-((S137*952.4)*G137)),IF(AND(E137="CLIENT S",F137="LAIT"),((S137*952.4)-((S137*952.4)*G137)),IF(AND(F137="HUILE",E137="CLIENT S"),(VLOOKUP(H137,'BASE '!$I$112:$J$142,2,0)+(VLOOKUP(S137,'BASE '!#REF!,2,0)))-(G137*((VLOOKUP(S137,'BASE '!#REF!,2,0)+(VLOOKUP(H137,'BASE '!$I$112:$J$142,2,0))))))))))))))))</f>
        <v>0</v>
      </c>
      <c r="P137" s="52" t="b">
        <f t="shared" si="38"/>
        <v>0</v>
      </c>
      <c r="Q137" s="53" t="b">
        <f t="shared" si="39"/>
        <v>0</v>
      </c>
      <c r="R137" s="152" t="s">
        <v>175</v>
      </c>
      <c r="S137" s="184">
        <f t="shared" si="41"/>
        <v>0</v>
      </c>
      <c r="T137" s="124"/>
      <c r="U137" s="41" t="s">
        <v>175</v>
      </c>
      <c r="V137" s="70" t="e">
        <f>VLOOKUP(U137,'BASE '!$A$4:$H$144,2,0)</f>
        <v>#N/A</v>
      </c>
      <c r="W137" s="159"/>
      <c r="X137" s="159"/>
      <c r="Y137" s="160"/>
      <c r="Z137" s="158" t="e">
        <f>VLOOKUP(U137,'BASE '!$A$4:$H$144,3,0)</f>
        <v>#N/A</v>
      </c>
      <c r="AA137" s="94" t="e">
        <f t="shared" si="40"/>
        <v>#N/A</v>
      </c>
      <c r="AB137" s="95" t="e">
        <f>VLOOKUP(U137,'BASE '!$A$4:$H$144,6,0)*Y137/100</f>
        <v>#N/A</v>
      </c>
      <c r="AC137" s="95" t="e">
        <f>VLOOKUP(U137,'BASE '!$A$4:$H$144,7,0)*Y137/100</f>
        <v>#N/A</v>
      </c>
      <c r="AD137" s="95" t="e">
        <f>VLOOKUP(U137,'BASE '!$A$4:$H$144,8,0)*Y137/100</f>
        <v>#N/A</v>
      </c>
      <c r="AE137" s="96" t="e">
        <f t="shared" si="42"/>
        <v>#N/A</v>
      </c>
      <c r="DN137" s="116"/>
    </row>
    <row r="138" spans="2:118" x14ac:dyDescent="0.3">
      <c r="B138" s="64"/>
      <c r="C138" s="148"/>
      <c r="D138" s="109"/>
      <c r="E138" s="63"/>
      <c r="F138" s="127"/>
      <c r="G138" s="50"/>
      <c r="H138" s="10"/>
      <c r="I138" s="10"/>
      <c r="J138" s="10"/>
      <c r="K138" s="10"/>
      <c r="L138" s="10"/>
      <c r="M138" s="39"/>
      <c r="N138" s="33">
        <f t="shared" si="37"/>
        <v>0</v>
      </c>
      <c r="O138" s="52" t="b">
        <f>IF(AND(E138="CLIENT S+L",F138="HUILE"),(S138*3333.33+(VLOOKUP(H138,'BASE '!$I$112:$J$142,2,0)))-((S138*3333.33)*G138),IF(AND(E138="CLIENT S+L",F138="LAIT"),((S138*952.4)-(S138*952.4)*G138),IF(E138="CLIENT O","OFFERT",IF(AND(F138="HUILE",E138="CLIENT L"),(((VLOOKUP(H138,'BASE '!$I$112:$J$142,2,0))+(VLOOKUP(S138,'BASE '!#REF!,2,0)))),IF(AND(F138="LAIT",E138="CLIENT L"),(S138*952.4),IF(AND(F138="HUILE",E138="CLIENT D"),(S138*3809.53+(VLOOKUP(H138,'BASE '!$I$112:$J$142,2,0))),IF(AND(F138="LAIT",E138="CLIENT D"),(S138*952.4),IF(AND(F138="HUILE",E138="CLIENT S+D"),((S138*3809.53+(VLOOKUP(H138,'BASE '!$I$112:$J$142,2,0)))-((S138*3809.53)*G138)),IF(AND(F138="LAIT",E138="CLIENT S+D"),((S138*952.4)-((S138*952.4)*G138)),IF(AND(E138="CLIENT S",F138="LAIT"),((S138*952.4)-((S138*952.4)*G138)),IF(AND(F138="HUILE",E138="CLIENT S"),(VLOOKUP(H138,'BASE '!$I$112:$J$142,2,0)+(VLOOKUP(S138,'BASE '!#REF!,2,0)))-(G138*((VLOOKUP(S138,'BASE '!#REF!,2,0)+(VLOOKUP(H138,'BASE '!$I$112:$J$142,2,0))))))))))))))))</f>
        <v>0</v>
      </c>
      <c r="P138" s="52" t="b">
        <f t="shared" si="38"/>
        <v>0</v>
      </c>
      <c r="Q138" s="53" t="b">
        <f t="shared" si="39"/>
        <v>0</v>
      </c>
      <c r="R138" s="152" t="s">
        <v>175</v>
      </c>
      <c r="S138" s="184">
        <f t="shared" si="41"/>
        <v>0</v>
      </c>
      <c r="T138" s="124"/>
      <c r="U138" s="41" t="s">
        <v>175</v>
      </c>
      <c r="V138" s="70" t="e">
        <f>VLOOKUP(U138,'BASE '!$A$4:$H$144,2,0)</f>
        <v>#N/A</v>
      </c>
      <c r="W138" s="159"/>
      <c r="X138" s="159"/>
      <c r="Y138" s="160"/>
      <c r="Z138" s="158" t="e">
        <f>VLOOKUP(U138,'BASE '!$A$4:$H$144,3,0)</f>
        <v>#N/A</v>
      </c>
      <c r="AA138" s="94" t="e">
        <f t="shared" si="40"/>
        <v>#N/A</v>
      </c>
      <c r="AB138" s="95" t="e">
        <f>VLOOKUP(U138,'BASE '!$A$4:$H$144,6,0)*Y138/100</f>
        <v>#N/A</v>
      </c>
      <c r="AC138" s="95" t="e">
        <f>VLOOKUP(U138,'BASE '!$A$4:$H$144,7,0)*Y138/100</f>
        <v>#N/A</v>
      </c>
      <c r="AD138" s="95" t="e">
        <f>VLOOKUP(U138,'BASE '!$A$4:$H$144,8,0)*Y138/100</f>
        <v>#N/A</v>
      </c>
      <c r="AE138" s="96" t="e">
        <f t="shared" si="42"/>
        <v>#N/A</v>
      </c>
      <c r="DN138" s="116" t="e">
        <f>(($I$5*#REF!)/100)+((#REF!*$J$5)/100)+(($K$5*#REF!)/100)+($L$5*#REF!)+($M$5*#REF!)</f>
        <v>#REF!</v>
      </c>
    </row>
    <row r="139" spans="2:118" x14ac:dyDescent="0.3">
      <c r="B139" s="64"/>
      <c r="C139" s="148"/>
      <c r="D139" s="109"/>
      <c r="E139" s="63"/>
      <c r="F139" s="127"/>
      <c r="G139" s="50"/>
      <c r="H139" s="10"/>
      <c r="I139" s="10"/>
      <c r="J139" s="10"/>
      <c r="K139" s="10"/>
      <c r="L139" s="10"/>
      <c r="M139" s="39"/>
      <c r="N139" s="33">
        <f t="shared" si="37"/>
        <v>0</v>
      </c>
      <c r="O139" s="52" t="b">
        <f>IF(AND(E139="CLIENT S+L",F139="HUILE"),(S139*3333.33+(VLOOKUP(H139,'BASE '!$I$112:$J$142,2,0)))-((S139*3333.33)*G139),IF(AND(E139="CLIENT S+L",F139="LAIT"),((S139*952.4)-(S139*952.4)*G139),IF(E139="CLIENT O","OFFERT",IF(AND(F139="HUILE",E139="CLIENT L"),(((VLOOKUP(H139,'BASE '!$I$112:$J$142,2,0))+(VLOOKUP(S139,'BASE '!#REF!,2,0)))),IF(AND(F139="LAIT",E139="CLIENT L"),(S139*952.4),IF(AND(F139="HUILE",E139="CLIENT D"),(S139*3809.53+(VLOOKUP(H139,'BASE '!$I$112:$J$142,2,0))),IF(AND(F139="LAIT",E139="CLIENT D"),(S139*952.4),IF(AND(F139="HUILE",E139="CLIENT S+D"),((S139*3809.53+(VLOOKUP(H139,'BASE '!$I$112:$J$142,2,0)))-((S139*3809.53)*G139)),IF(AND(F139="LAIT",E139="CLIENT S+D"),((S139*952.4)-((S139*952.4)*G139)),IF(AND(E139="CLIENT S",F139="LAIT"),((S139*952.4)-((S139*952.4)*G139)),IF(AND(F139="HUILE",E139="CLIENT S"),(VLOOKUP(H139,'BASE '!$I$112:$J$142,2,0)+(VLOOKUP(S139,'BASE '!#REF!,2,0)))-(G139*((VLOOKUP(S139,'BASE '!#REF!,2,0)+(VLOOKUP(H139,'BASE '!$I$112:$J$142,2,0))))))))))))))))</f>
        <v>0</v>
      </c>
      <c r="P139" s="52" t="b">
        <f t="shared" si="38"/>
        <v>0</v>
      </c>
      <c r="Q139" s="53" t="b">
        <f t="shared" si="39"/>
        <v>0</v>
      </c>
      <c r="R139" s="152" t="s">
        <v>175</v>
      </c>
      <c r="S139" s="184">
        <f t="shared" si="41"/>
        <v>0</v>
      </c>
      <c r="T139" s="124"/>
      <c r="U139" s="41" t="s">
        <v>175</v>
      </c>
      <c r="V139" s="70" t="e">
        <f>VLOOKUP(U139,'BASE '!$A$4:$H$144,2,0)</f>
        <v>#N/A</v>
      </c>
      <c r="W139" s="159"/>
      <c r="X139" s="159"/>
      <c r="Y139" s="160"/>
      <c r="Z139" s="158" t="e">
        <f>VLOOKUP(U139,'BASE '!$A$4:$H$144,3,0)</f>
        <v>#N/A</v>
      </c>
      <c r="AA139" s="94" t="e">
        <f t="shared" si="40"/>
        <v>#N/A</v>
      </c>
      <c r="AB139" s="95" t="e">
        <f>VLOOKUP(U139,'BASE '!$A$4:$H$144,6,0)*Y139/100</f>
        <v>#N/A</v>
      </c>
      <c r="AC139" s="95" t="e">
        <f>VLOOKUP(U139,'BASE '!$A$4:$H$144,7,0)*Y139/100</f>
        <v>#N/A</v>
      </c>
      <c r="AD139" s="95" t="e">
        <f>VLOOKUP(U139,'BASE '!$A$4:$H$144,8,0)*Y139/100</f>
        <v>#N/A</v>
      </c>
      <c r="AE139" s="96" t="e">
        <f t="shared" si="42"/>
        <v>#N/A</v>
      </c>
      <c r="DN139" s="116" t="e">
        <f>(($I$5*#REF!)/100)+((#REF!*$J$5)/100)+(($K$5*#REF!)/100)+($L$5*#REF!)+($M$5*#REF!)</f>
        <v>#REF!</v>
      </c>
    </row>
    <row r="140" spans="2:118" x14ac:dyDescent="0.3">
      <c r="B140" s="64"/>
      <c r="C140" s="148"/>
      <c r="D140" s="109"/>
      <c r="E140" s="63"/>
      <c r="F140" s="127"/>
      <c r="G140" s="50"/>
      <c r="H140" s="10"/>
      <c r="I140" s="10"/>
      <c r="J140" s="10"/>
      <c r="K140" s="10"/>
      <c r="L140" s="10"/>
      <c r="M140" s="39"/>
      <c r="N140" s="33">
        <f t="shared" si="37"/>
        <v>0</v>
      </c>
      <c r="O140" s="52" t="b">
        <f>IF(AND(E140="CLIENT S+L",F140="HUILE"),(S140*3333.33+(VLOOKUP(H140,'BASE '!$I$112:$J$142,2,0)))-((S140*3333.33)*G140),IF(AND(E140="CLIENT S+L",F140="LAIT"),((S140*952.4)-(S140*952.4)*G140),IF(E140="CLIENT O","OFFERT",IF(AND(F140="HUILE",E140="CLIENT L"),(((VLOOKUP(H140,'BASE '!$I$112:$J$142,2,0))+(VLOOKUP(S140,'BASE '!#REF!,2,0)))),IF(AND(F140="LAIT",E140="CLIENT L"),(S140*952.4),IF(AND(F140="HUILE",E140="CLIENT D"),(S140*3809.53+(VLOOKUP(H140,'BASE '!$I$112:$J$142,2,0))),IF(AND(F140="LAIT",E140="CLIENT D"),(S140*952.4),IF(AND(F140="HUILE",E140="CLIENT S+D"),((S140*3809.53+(VLOOKUP(H140,'BASE '!$I$112:$J$142,2,0)))-((S140*3809.53)*G140)),IF(AND(F140="LAIT",E140="CLIENT S+D"),((S140*952.4)-((S140*952.4)*G140)),IF(AND(E140="CLIENT S",F140="LAIT"),((S140*952.4)-((S140*952.4)*G140)),IF(AND(F140="HUILE",E140="CLIENT S"),(VLOOKUP(H140,'BASE '!$I$112:$J$142,2,0)+(VLOOKUP(S140,'BASE '!#REF!,2,0)))-(G140*((VLOOKUP(S140,'BASE '!#REF!,2,0)+(VLOOKUP(H140,'BASE '!$I$112:$J$142,2,0))))))))))))))))</f>
        <v>0</v>
      </c>
      <c r="P140" s="52" t="b">
        <f t="shared" si="38"/>
        <v>0</v>
      </c>
      <c r="Q140" s="53" t="b">
        <f t="shared" si="39"/>
        <v>0</v>
      </c>
      <c r="R140" s="152" t="s">
        <v>175</v>
      </c>
      <c r="S140" s="184">
        <f t="shared" si="41"/>
        <v>0</v>
      </c>
      <c r="T140" s="124"/>
      <c r="U140" s="41" t="s">
        <v>175</v>
      </c>
      <c r="V140" s="70" t="e">
        <f>VLOOKUP(U140,'BASE '!$A$4:$H$144,2,0)</f>
        <v>#N/A</v>
      </c>
      <c r="W140" s="159"/>
      <c r="X140" s="159"/>
      <c r="Y140" s="160"/>
      <c r="Z140" s="158" t="e">
        <f>VLOOKUP(U140,'BASE '!$A$4:$H$144,3,0)</f>
        <v>#N/A</v>
      </c>
      <c r="AA140" s="94" t="e">
        <f t="shared" si="40"/>
        <v>#N/A</v>
      </c>
      <c r="AB140" s="95" t="e">
        <f>VLOOKUP(U140,'BASE '!$A$4:$H$144,6,0)*Y140/100</f>
        <v>#N/A</v>
      </c>
      <c r="AC140" s="95" t="e">
        <f>VLOOKUP(U140,'BASE '!$A$4:$H$144,7,0)*Y140/100</f>
        <v>#N/A</v>
      </c>
      <c r="AD140" s="95" t="e">
        <f>VLOOKUP(U140,'BASE '!$A$4:$H$144,8,0)*Y140/100</f>
        <v>#N/A</v>
      </c>
      <c r="AE140" s="96" t="e">
        <f t="shared" si="42"/>
        <v>#N/A</v>
      </c>
      <c r="DN140" s="116" t="e">
        <f>(($I$5*#REF!)/100)+((#REF!*$J$5)/100)+(($K$5*#REF!)/100)+($L$5*#REF!)+($M$5*#REF!)</f>
        <v>#REF!</v>
      </c>
    </row>
    <row r="141" spans="2:118" x14ac:dyDescent="0.3">
      <c r="B141" s="64"/>
      <c r="C141" s="148"/>
      <c r="D141" s="109"/>
      <c r="E141" s="63"/>
      <c r="F141" s="127"/>
      <c r="G141" s="50"/>
      <c r="H141" s="10"/>
      <c r="I141" s="10"/>
      <c r="J141" s="10"/>
      <c r="K141" s="10"/>
      <c r="L141" s="10"/>
      <c r="M141" s="39"/>
      <c r="N141" s="33">
        <f t="shared" si="37"/>
        <v>0</v>
      </c>
      <c r="O141" s="52" t="b">
        <f>IF(AND(E141="CLIENT S+L",F141="HUILE"),(S141*3333.33+(VLOOKUP(H141,'BASE '!$I$112:$J$142,2,0)))-((S141*3333.33)*G141),IF(AND(E141="CLIENT S+L",F141="LAIT"),((S141*952.4)-(S141*952.4)*G141),IF(E141="CLIENT O","OFFERT",IF(AND(F141="HUILE",E141="CLIENT L"),(((VLOOKUP(H141,'BASE '!$I$112:$J$142,2,0))+(VLOOKUP(S141,'BASE '!#REF!,2,0)))),IF(AND(F141="LAIT",E141="CLIENT L"),(S141*952.4),IF(AND(F141="HUILE",E141="CLIENT D"),(S141*3809.53+(VLOOKUP(H141,'BASE '!$I$112:$J$142,2,0))),IF(AND(F141="LAIT",E141="CLIENT D"),(S141*952.4),IF(AND(F141="HUILE",E141="CLIENT S+D"),((S141*3809.53+(VLOOKUP(H141,'BASE '!$I$112:$J$142,2,0)))-((S141*3809.53)*G141)),IF(AND(F141="LAIT",E141="CLIENT S+D"),((S141*952.4)-((S141*952.4)*G141)),IF(AND(E141="CLIENT S",F141="LAIT"),((S141*952.4)-((S141*952.4)*G141)),IF(AND(F141="HUILE",E141="CLIENT S"),(VLOOKUP(H141,'BASE '!$I$112:$J$142,2,0)+(VLOOKUP(S141,'BASE '!#REF!,2,0)))-(G141*((VLOOKUP(S141,'BASE '!#REF!,2,0)+(VLOOKUP(H141,'BASE '!$I$112:$J$142,2,0))))))))))))))))</f>
        <v>0</v>
      </c>
      <c r="P141" s="52" t="b">
        <f t="shared" si="38"/>
        <v>0</v>
      </c>
      <c r="Q141" s="53" t="b">
        <f t="shared" si="39"/>
        <v>0</v>
      </c>
      <c r="R141" s="152" t="s">
        <v>175</v>
      </c>
      <c r="S141" s="184">
        <f t="shared" si="41"/>
        <v>0</v>
      </c>
      <c r="T141" s="124"/>
      <c r="U141" s="41" t="s">
        <v>175</v>
      </c>
      <c r="V141" s="70" t="e">
        <f>VLOOKUP(U141,'BASE '!$A$4:$H$144,2,0)</f>
        <v>#N/A</v>
      </c>
      <c r="W141" s="159"/>
      <c r="X141" s="159"/>
      <c r="Y141" s="160"/>
      <c r="Z141" s="158" t="e">
        <f>VLOOKUP(U141,'BASE '!$A$4:$H$144,3,0)</f>
        <v>#N/A</v>
      </c>
      <c r="AA141" s="94" t="e">
        <f t="shared" si="40"/>
        <v>#N/A</v>
      </c>
      <c r="AB141" s="95" t="e">
        <f>VLOOKUP(U141,'BASE '!$A$4:$H$144,6,0)*Y141/100</f>
        <v>#N/A</v>
      </c>
      <c r="AC141" s="95" t="e">
        <f>VLOOKUP(U141,'BASE '!$A$4:$H$144,7,0)*Y141/100</f>
        <v>#N/A</v>
      </c>
      <c r="AD141" s="95" t="e">
        <f>VLOOKUP(U141,'BASE '!$A$4:$H$144,8,0)*Y141/100</f>
        <v>#N/A</v>
      </c>
      <c r="AE141" s="96" t="e">
        <f t="shared" si="42"/>
        <v>#N/A</v>
      </c>
      <c r="DN141" s="116" t="e">
        <f>(($I$5*#REF!)/100)+((#REF!*$J$5)/100)+(($K$5*#REF!)/100)+($L$5*#REF!)+($M$5*#REF!)</f>
        <v>#REF!</v>
      </c>
    </row>
    <row r="142" spans="2:118" x14ac:dyDescent="0.3">
      <c r="B142" s="64"/>
      <c r="C142" s="148"/>
      <c r="D142" s="109"/>
      <c r="E142" s="63"/>
      <c r="F142" s="127"/>
      <c r="G142" s="50"/>
      <c r="H142" s="10"/>
      <c r="I142" s="10"/>
      <c r="J142" s="10"/>
      <c r="K142" s="10"/>
      <c r="L142" s="10"/>
      <c r="M142" s="39"/>
      <c r="N142" s="33">
        <f t="shared" si="37"/>
        <v>0</v>
      </c>
      <c r="O142" s="52" t="b">
        <f>IF(AND(E142="CLIENT S+L",F142="HUILE"),(S142*3333.33+(VLOOKUP(H142,'BASE '!$I$112:$J$142,2,0)))-((S142*3333.33)*G142),IF(AND(E142="CLIENT S+L",F142="LAIT"),((S142*952.4)-(S142*952.4)*G142),IF(E142="CLIENT O","OFFERT",IF(AND(F142="HUILE",E142="CLIENT L"),(((VLOOKUP(H142,'BASE '!$I$112:$J$142,2,0))+(VLOOKUP(S142,'BASE '!#REF!,2,0)))),IF(AND(F142="LAIT",E142="CLIENT L"),(S142*952.4),IF(AND(F142="HUILE",E142="CLIENT D"),(S142*3809.53+(VLOOKUP(H142,'BASE '!$I$112:$J$142,2,0))),IF(AND(F142="LAIT",E142="CLIENT D"),(S142*952.4),IF(AND(F142="HUILE",E142="CLIENT S+D"),((S142*3809.53+(VLOOKUP(H142,'BASE '!$I$112:$J$142,2,0)))-((S142*3809.53)*G142)),IF(AND(F142="LAIT",E142="CLIENT S+D"),((S142*952.4)-((S142*952.4)*G142)),IF(AND(E142="CLIENT S",F142="LAIT"),((S142*952.4)-((S142*952.4)*G142)),IF(AND(F142="HUILE",E142="CLIENT S"),(VLOOKUP(H142,'BASE '!$I$112:$J$142,2,0)+(VLOOKUP(S142,'BASE '!#REF!,2,0)))-(G142*((VLOOKUP(S142,'BASE '!#REF!,2,0)+(VLOOKUP(H142,'BASE '!$I$112:$J$142,2,0))))))))))))))))</f>
        <v>0</v>
      </c>
      <c r="P142" s="52" t="b">
        <f t="shared" si="38"/>
        <v>0</v>
      </c>
      <c r="Q142" s="53" t="b">
        <f t="shared" si="39"/>
        <v>0</v>
      </c>
      <c r="R142" s="152" t="s">
        <v>175</v>
      </c>
      <c r="S142" s="184">
        <f t="shared" si="41"/>
        <v>0</v>
      </c>
      <c r="T142" s="124"/>
      <c r="U142" s="41" t="s">
        <v>175</v>
      </c>
      <c r="V142" s="70" t="e">
        <f>VLOOKUP(U142,'BASE '!$A$4:$H$144,2,0)</f>
        <v>#N/A</v>
      </c>
      <c r="W142" s="159"/>
      <c r="X142" s="159"/>
      <c r="Y142" s="160"/>
      <c r="Z142" s="158" t="e">
        <f>VLOOKUP(U142,'BASE '!$A$4:$H$144,3,0)</f>
        <v>#N/A</v>
      </c>
      <c r="AA142" s="94" t="e">
        <f t="shared" si="40"/>
        <v>#N/A</v>
      </c>
      <c r="AB142" s="95" t="e">
        <f>VLOOKUP(U142,'BASE '!$A$4:$H$144,6,0)*Y142/100</f>
        <v>#N/A</v>
      </c>
      <c r="AC142" s="95" t="e">
        <f>VLOOKUP(U142,'BASE '!$A$4:$H$144,7,0)*Y142/100</f>
        <v>#N/A</v>
      </c>
      <c r="AD142" s="95" t="e">
        <f>VLOOKUP(U142,'BASE '!$A$4:$H$144,8,0)*Y142/100</f>
        <v>#N/A</v>
      </c>
      <c r="AE142" s="96" t="e">
        <f t="shared" si="42"/>
        <v>#N/A</v>
      </c>
      <c r="DN142" s="116" t="e">
        <f>(($I$5*#REF!)/100)+((#REF!*$J$5)/100)+(($K$5*#REF!)/100)+($L$5*#REF!)+($M$5*#REF!)</f>
        <v>#REF!</v>
      </c>
    </row>
    <row r="143" spans="2:118" x14ac:dyDescent="0.3">
      <c r="B143" s="64"/>
      <c r="C143" s="148"/>
      <c r="D143" s="109"/>
      <c r="E143" s="63"/>
      <c r="F143" s="127"/>
      <c r="G143" s="50"/>
      <c r="H143" s="10"/>
      <c r="I143" s="10"/>
      <c r="J143" s="10"/>
      <c r="K143" s="10"/>
      <c r="L143" s="10"/>
      <c r="M143" s="39"/>
      <c r="N143" s="33">
        <f t="shared" si="37"/>
        <v>0</v>
      </c>
      <c r="O143" s="52" t="b">
        <f>IF(AND(E143="CLIENT S+L",F143="HUILE"),(S143*3333.33+(VLOOKUP(H143,'BASE '!$I$112:$J$142,2,0)))-((S143*3333.33)*G143),IF(AND(E143="CLIENT S+L",F143="LAIT"),((S143*952.4)-(S143*952.4)*G143),IF(E143="CLIENT O","OFFERT",IF(AND(F143="HUILE",E143="CLIENT L"),(((VLOOKUP(H143,'BASE '!$I$112:$J$142,2,0))+(VLOOKUP(S143,'BASE '!#REF!,2,0)))),IF(AND(F143="LAIT",E143="CLIENT L"),(S143*952.4),IF(AND(F143="HUILE",E143="CLIENT D"),(S143*3809.53+(VLOOKUP(H143,'BASE '!$I$112:$J$142,2,0))),IF(AND(F143="LAIT",E143="CLIENT D"),(S143*952.4),IF(AND(F143="HUILE",E143="CLIENT S+D"),((S143*3809.53+(VLOOKUP(H143,'BASE '!$I$112:$J$142,2,0)))-((S143*3809.53)*G143)),IF(AND(F143="LAIT",E143="CLIENT S+D"),((S143*952.4)-((S143*952.4)*G143)),IF(AND(E143="CLIENT S",F143="LAIT"),((S143*952.4)-((S143*952.4)*G143)),IF(AND(F143="HUILE",E143="CLIENT S"),(VLOOKUP(H143,'BASE '!$I$112:$J$142,2,0)+(VLOOKUP(S143,'BASE '!#REF!,2,0)))-(G143*((VLOOKUP(S143,'BASE '!#REF!,2,0)+(VLOOKUP(H143,'BASE '!$I$112:$J$142,2,0))))))))))))))))</f>
        <v>0</v>
      </c>
      <c r="P143" s="52" t="b">
        <f t="shared" si="38"/>
        <v>0</v>
      </c>
      <c r="Q143" s="53" t="b">
        <f t="shared" si="39"/>
        <v>0</v>
      </c>
      <c r="R143" s="152" t="s">
        <v>175</v>
      </c>
      <c r="S143" s="184">
        <f t="shared" si="41"/>
        <v>0</v>
      </c>
      <c r="T143" s="124"/>
      <c r="U143" s="41" t="s">
        <v>175</v>
      </c>
      <c r="V143" s="70" t="e">
        <f>VLOOKUP(U143,'BASE '!$A$4:$H$144,2,0)</f>
        <v>#N/A</v>
      </c>
      <c r="W143" s="159"/>
      <c r="X143" s="159"/>
      <c r="Y143" s="160"/>
      <c r="Z143" s="158" t="e">
        <f>VLOOKUP(U143,'BASE '!$A$4:$H$144,3,0)</f>
        <v>#N/A</v>
      </c>
      <c r="AA143" s="94" t="e">
        <f t="shared" si="40"/>
        <v>#N/A</v>
      </c>
      <c r="AB143" s="95" t="e">
        <f>VLOOKUP(U143,'BASE '!$A$4:$H$144,6,0)*Y143/100</f>
        <v>#N/A</v>
      </c>
      <c r="AC143" s="95" t="e">
        <f>VLOOKUP(U143,'BASE '!$A$4:$H$144,7,0)*Y143/100</f>
        <v>#N/A</v>
      </c>
      <c r="AD143" s="95" t="e">
        <f>VLOOKUP(U143,'BASE '!$A$4:$H$144,8,0)*Y143/100</f>
        <v>#N/A</v>
      </c>
      <c r="AE143" s="96" t="e">
        <f t="shared" si="42"/>
        <v>#N/A</v>
      </c>
      <c r="DN143" s="116" t="e">
        <f>(($I$5*#REF!)/100)+((#REF!*$J$5)/100)+(($K$5*#REF!)/100)+($L$5*#REF!)+($M$5*#REF!)</f>
        <v>#REF!</v>
      </c>
    </row>
    <row r="144" spans="2:118" ht="15" thickBot="1" x14ac:dyDescent="0.35">
      <c r="B144" s="64"/>
      <c r="C144" s="148"/>
      <c r="D144" s="109"/>
      <c r="E144" s="63"/>
      <c r="F144" s="127"/>
      <c r="G144" s="50"/>
      <c r="H144" s="10"/>
      <c r="I144" s="10"/>
      <c r="J144" s="10"/>
      <c r="K144" s="10"/>
      <c r="L144" s="10"/>
      <c r="M144" s="39"/>
      <c r="N144" s="33">
        <f t="shared" si="37"/>
        <v>0</v>
      </c>
      <c r="O144" s="52" t="b">
        <f>IF(AND(E144="CLIENT S+L",F144="HUILE"),(S144*3333.33+(VLOOKUP(H144,'BASE '!$I$112:$J$142,2,0)))-((S144*3333.33)*G144),IF(AND(E144="CLIENT S+L",F144="LAIT"),((S144*952.4)-(S144*952.4)*G144),IF(E144="CLIENT O","OFFERT",IF(AND(F144="HUILE",E144="CLIENT L"),(((VLOOKUP(H144,'BASE '!$I$112:$J$142,2,0))+(VLOOKUP(S144,'BASE '!#REF!,2,0)))),IF(AND(F144="LAIT",E144="CLIENT L"),(S144*952.4),IF(AND(F144="HUILE",E144="CLIENT D"),(S144*3809.53+(VLOOKUP(H144,'BASE '!$I$112:$J$142,2,0))),IF(AND(F144="LAIT",E144="CLIENT D"),(S144*952.4),IF(AND(F144="HUILE",E144="CLIENT S+D"),((S144*3809.53+(VLOOKUP(H144,'BASE '!$I$112:$J$142,2,0)))-((S144*3809.53)*G144)),IF(AND(F144="LAIT",E144="CLIENT S+D"),((S144*952.4)-((S144*952.4)*G144)),IF(AND(E144="CLIENT S",F144="LAIT"),((S144*952.4)-((S144*952.4)*G144)),IF(AND(F144="HUILE",E144="CLIENT S"),(VLOOKUP(H144,'BASE '!$I$112:$J$142,2,0)+(VLOOKUP(S144,'BASE '!#REF!,2,0)))-(G144*((VLOOKUP(S144,'BASE '!#REF!,2,0)+(VLOOKUP(H144,'BASE '!$I$112:$J$142,2,0))))))))))))))))</f>
        <v>0</v>
      </c>
      <c r="P144" s="52" t="b">
        <f t="shared" si="38"/>
        <v>0</v>
      </c>
      <c r="Q144" s="53" t="b">
        <f t="shared" si="39"/>
        <v>0</v>
      </c>
      <c r="R144" s="152" t="s">
        <v>175</v>
      </c>
      <c r="S144" s="184">
        <f t="shared" si="41"/>
        <v>0</v>
      </c>
      <c r="T144" s="125"/>
      <c r="U144" s="185" t="s">
        <v>175</v>
      </c>
      <c r="V144" s="97" t="e">
        <f>VLOOKUP(U144,'BASE '!$A$4:$H$144,2,0)</f>
        <v>#N/A</v>
      </c>
      <c r="W144" s="163"/>
      <c r="X144" s="163"/>
      <c r="Y144" s="164"/>
      <c r="Z144" s="98" t="e">
        <f>VLOOKUP(U144,'BASE '!$A$4:$H$144,3,0)</f>
        <v>#N/A</v>
      </c>
      <c r="AA144" s="99" t="e">
        <f t="shared" si="40"/>
        <v>#N/A</v>
      </c>
      <c r="AB144" s="100" t="e">
        <f>VLOOKUP(U144,'BASE '!$A$4:$H$144,6,0)*Y144/100</f>
        <v>#N/A</v>
      </c>
      <c r="AC144" s="100" t="e">
        <f>VLOOKUP(U144,'BASE '!$A$4:$H$144,7,0)*Y144/100</f>
        <v>#N/A</v>
      </c>
      <c r="AD144" s="100" t="e">
        <f>VLOOKUP(U144,'BASE '!$A$4:$H$144,8,0)*Y144/100</f>
        <v>#N/A</v>
      </c>
      <c r="AE144" s="101" t="e">
        <f t="shared" si="42"/>
        <v>#N/A</v>
      </c>
      <c r="DN144" s="116" t="e">
        <f>(($I$5*#REF!)/100)+((#REF!*$J$5)/100)+(($K$5*#REF!)/100)+($L$5*#REF!)+($M$5*#REF!)</f>
        <v>#REF!</v>
      </c>
    </row>
    <row r="145" spans="2:118" ht="15.6" thickTop="1" thickBot="1" x14ac:dyDescent="0.35">
      <c r="B145" s="64"/>
      <c r="C145" s="148"/>
      <c r="D145" s="109"/>
      <c r="E145" s="63"/>
      <c r="F145" s="127"/>
      <c r="G145" s="50"/>
      <c r="H145" s="10"/>
      <c r="I145" s="10"/>
      <c r="J145" s="10"/>
      <c r="K145" s="10"/>
      <c r="L145" s="10"/>
      <c r="M145" s="39"/>
      <c r="N145" s="33">
        <f t="shared" si="37"/>
        <v>0</v>
      </c>
      <c r="O145" s="52" t="b">
        <f>IF(AND(E145="CLIENT S+L",F145="HUILE"),(S145*3333.33+(VLOOKUP(H145,'BASE '!$I$112:$J$142,2,0)))-((S145*3333.33)*G145),IF(AND(E145="CLIENT S+L",F145="LAIT"),((S145*952.4)-(S145*952.4)*G145),IF(E145="CLIENT O","OFFERT",IF(AND(F145="HUILE",E145="CLIENT L"),(((VLOOKUP(H145,'BASE '!$I$112:$J$142,2,0))+(VLOOKUP(S145,'BASE '!#REF!,2,0)))),IF(AND(F145="LAIT",E145="CLIENT L"),(S145*952.4),IF(AND(F145="HUILE",E145="CLIENT D"),(S145*3809.53+(VLOOKUP(H145,'BASE '!$I$112:$J$142,2,0))),IF(AND(F145="LAIT",E145="CLIENT D"),(S145*952.4),IF(AND(F145="HUILE",E145="CLIENT S+D"),((S145*3809.53+(VLOOKUP(H145,'BASE '!$I$112:$J$142,2,0)))-((S145*3809.53)*G145)),IF(AND(F145="LAIT",E145="CLIENT S+D"),((S145*952.4)-((S145*952.4)*G145)),IF(AND(E145="CLIENT S",F145="LAIT"),((S145*952.4)-((S145*952.4)*G145)),IF(AND(F145="HUILE",E145="CLIENT S"),(VLOOKUP(H145,'BASE '!$I$112:$J$142,2,0)+(VLOOKUP(S145,'BASE '!#REF!,2,0)))-(G145*((VLOOKUP(S145,'BASE '!#REF!,2,0)+(VLOOKUP(H145,'BASE '!$I$112:$J$142,2,0))))))))))))))))</f>
        <v>0</v>
      </c>
      <c r="P145" s="52" t="b">
        <f t="shared" si="38"/>
        <v>0</v>
      </c>
      <c r="Q145" s="53" t="b">
        <f t="shared" si="39"/>
        <v>0</v>
      </c>
      <c r="R145" s="152" t="s">
        <v>175</v>
      </c>
      <c r="S145" s="184">
        <f t="shared" si="41"/>
        <v>0</v>
      </c>
      <c r="T145" s="412" t="s">
        <v>48</v>
      </c>
      <c r="U145" s="413"/>
      <c r="V145" s="413"/>
      <c r="W145" s="413"/>
      <c r="X145" s="413"/>
      <c r="Y145" s="414">
        <f>SUMIF(Y6:Y144,"&lt;&gt;#N/A")</f>
        <v>0</v>
      </c>
      <c r="Z145" s="414"/>
      <c r="AA145" s="414"/>
      <c r="AB145" s="414"/>
      <c r="AC145" s="414"/>
      <c r="AD145" s="414"/>
      <c r="AE145" s="414"/>
      <c r="DN145" s="116" t="e">
        <f>(($I$5*#REF!)/100)+((#REF!*$J$5)/100)+(($K$5*#REF!)/100)+($L$5*#REF!)+($M$5*#REF!)</f>
        <v>#REF!</v>
      </c>
    </row>
    <row r="146" spans="2:118" ht="15" thickBot="1" x14ac:dyDescent="0.35">
      <c r="B146" s="64"/>
      <c r="C146" s="148"/>
      <c r="D146" s="109"/>
      <c r="E146" s="63"/>
      <c r="F146" s="127"/>
      <c r="G146" s="50"/>
      <c r="H146" s="10"/>
      <c r="I146" s="10"/>
      <c r="J146" s="10"/>
      <c r="K146" s="10"/>
      <c r="L146" s="10"/>
      <c r="M146" s="39"/>
      <c r="N146" s="33">
        <f t="shared" si="37"/>
        <v>0</v>
      </c>
      <c r="O146" s="52" t="b">
        <f>IF(AND(E146="CLIENT S+L",F146="HUILE"),(S146*3333.33+(VLOOKUP(H146,'BASE '!$I$112:$J$142,2,0)))-((S146*3333.33)*G146),IF(AND(E146="CLIENT S+L",F146="LAIT"),((S146*952.4)-(S146*952.4)*G146),IF(E146="CLIENT O","OFFERT",IF(AND(F146="HUILE",E146="CLIENT L"),(((VLOOKUP(H146,'BASE '!$I$112:$J$142,2,0))+(VLOOKUP(S146,'BASE '!#REF!,2,0)))),IF(AND(F146="LAIT",E146="CLIENT L"),(S146*952.4),IF(AND(F146="HUILE",E146="CLIENT D"),(S146*3809.53+(VLOOKUP(H146,'BASE '!$I$112:$J$142,2,0))),IF(AND(F146="LAIT",E146="CLIENT D"),(S146*952.4),IF(AND(F146="HUILE",E146="CLIENT S+D"),((S146*3809.53+(VLOOKUP(H146,'BASE '!$I$112:$J$142,2,0)))-((S146*3809.53)*G146)),IF(AND(F146="LAIT",E146="CLIENT S+D"),((S146*952.4)-((S146*952.4)*G146)),IF(AND(E146="CLIENT S",F146="LAIT"),((S146*952.4)-((S146*952.4)*G146)),IF(AND(F146="HUILE",E146="CLIENT S"),(VLOOKUP(H146,'BASE '!$I$112:$J$142,2,0)+(VLOOKUP(S146,'BASE '!#REF!,2,0)))-(G146*((VLOOKUP(S146,'BASE '!#REF!,2,0)+(VLOOKUP(H146,'BASE '!$I$112:$J$142,2,0))))))))))))))))</f>
        <v>0</v>
      </c>
      <c r="P146" s="52" t="b">
        <f t="shared" si="38"/>
        <v>0</v>
      </c>
      <c r="Q146" s="53" t="b">
        <f t="shared" si="39"/>
        <v>0</v>
      </c>
      <c r="R146" s="152" t="s">
        <v>175</v>
      </c>
      <c r="S146" s="184">
        <f t="shared" si="41"/>
        <v>0</v>
      </c>
      <c r="T146" s="406" t="s">
        <v>43</v>
      </c>
      <c r="U146" s="407"/>
      <c r="V146" s="407"/>
      <c r="W146" s="407"/>
      <c r="X146" s="407"/>
      <c r="Y146" s="407"/>
      <c r="Z146" s="407"/>
      <c r="AA146" s="416">
        <f>SUMIF(AA6:AA144,"&lt;&gt;#N/A")</f>
        <v>0</v>
      </c>
      <c r="AB146" s="416"/>
      <c r="AC146" s="416"/>
      <c r="AD146" s="416"/>
      <c r="AE146" s="416"/>
      <c r="DN146" s="116" t="e">
        <f>(($I$5*#REF!)/100)+((#REF!*$J$5)/100)+(($K$5*#REF!)/100)+($L$5*#REF!)+($M$5*#REF!)</f>
        <v>#REF!</v>
      </c>
    </row>
    <row r="147" spans="2:118" ht="15" thickBot="1" x14ac:dyDescent="0.35">
      <c r="B147" s="64"/>
      <c r="C147" s="148"/>
      <c r="D147" s="109"/>
      <c r="E147" s="63"/>
      <c r="F147" s="127"/>
      <c r="G147" s="50"/>
      <c r="H147" s="10"/>
      <c r="I147" s="10"/>
      <c r="J147" s="10"/>
      <c r="K147" s="10"/>
      <c r="L147" s="10"/>
      <c r="M147" s="39"/>
      <c r="N147" s="33">
        <f t="shared" si="37"/>
        <v>0</v>
      </c>
      <c r="O147" s="52" t="b">
        <f>IF(AND(E147="CLIENT S+L",F147="HUILE"),(S147*3333.33+(VLOOKUP(H147,'BASE '!$I$112:$J$142,2,0)))-((S147*3333.33)*G147),IF(AND(E147="CLIENT S+L",F147="LAIT"),((S147*952.4)-(S147*952.4)*G147),IF(E147="CLIENT O","OFFERT",IF(AND(F147="HUILE",E147="CLIENT L"),(((VLOOKUP(H147,'BASE '!$I$112:$J$142,2,0))+(VLOOKUP(S147,'BASE '!#REF!,2,0)))),IF(AND(F147="LAIT",E147="CLIENT L"),(S147*952.4),IF(AND(F147="HUILE",E147="CLIENT D"),(S147*3809.53+(VLOOKUP(H147,'BASE '!$I$112:$J$142,2,0))),IF(AND(F147="LAIT",E147="CLIENT D"),(S147*952.4),IF(AND(F147="HUILE",E147="CLIENT S+D"),((S147*3809.53+(VLOOKUP(H147,'BASE '!$I$112:$J$142,2,0)))-((S147*3809.53)*G147)),IF(AND(F147="LAIT",E147="CLIENT S+D"),((S147*952.4)-((S147*952.4)*G147)),IF(AND(E147="CLIENT S",F147="LAIT"),((S147*952.4)-((S147*952.4)*G147)),IF(AND(F147="HUILE",E147="CLIENT S"),(VLOOKUP(H147,'BASE '!$I$112:$J$142,2,0)+(VLOOKUP(S147,'BASE '!#REF!,2,0)))-(G147*((VLOOKUP(S147,'BASE '!#REF!,2,0)+(VLOOKUP(H147,'BASE '!$I$112:$J$142,2,0))))))))))))))))</f>
        <v>0</v>
      </c>
      <c r="P147" s="52" t="b">
        <f t="shared" si="38"/>
        <v>0</v>
      </c>
      <c r="Q147" s="53" t="b">
        <f t="shared" si="39"/>
        <v>0</v>
      </c>
      <c r="R147" s="152" t="s">
        <v>175</v>
      </c>
      <c r="S147" s="184">
        <f t="shared" si="41"/>
        <v>0</v>
      </c>
      <c r="T147" s="406" t="s">
        <v>47</v>
      </c>
      <c r="U147" s="407"/>
      <c r="V147" s="407"/>
      <c r="W147" s="407"/>
      <c r="X147" s="407"/>
      <c r="Y147" s="407"/>
      <c r="Z147" s="407"/>
      <c r="AA147" s="408">
        <f>SUMIF(AB6:AB144,"&lt;&gt;#N/A")</f>
        <v>0</v>
      </c>
      <c r="AB147" s="408"/>
      <c r="AC147" s="408"/>
      <c r="AD147" s="408"/>
      <c r="AE147" s="408"/>
      <c r="DN147" s="68"/>
    </row>
    <row r="148" spans="2:118" ht="15" thickBot="1" x14ac:dyDescent="0.35">
      <c r="B148" s="64"/>
      <c r="C148" s="148"/>
      <c r="D148" s="109"/>
      <c r="E148" s="63"/>
      <c r="F148" s="127"/>
      <c r="G148" s="50"/>
      <c r="H148" s="10"/>
      <c r="I148" s="10"/>
      <c r="J148" s="10"/>
      <c r="K148" s="10"/>
      <c r="L148" s="10"/>
      <c r="M148" s="39"/>
      <c r="N148" s="33">
        <f t="shared" si="37"/>
        <v>0</v>
      </c>
      <c r="O148" s="52" t="b">
        <f>IF(AND(E148="CLIENT S+L",F148="HUILE"),(S148*3333.33+(VLOOKUP(H148,'BASE '!$I$112:$J$142,2,0)))-((S148*3333.33)*G148),IF(AND(E148="CLIENT S+L",F148="LAIT"),((S148*952.4)-(S148*952.4)*G148),IF(E148="CLIENT O","OFFERT",IF(AND(F148="HUILE",E148="CLIENT L"),(((VLOOKUP(H148,'BASE '!$I$112:$J$142,2,0))+(VLOOKUP(S148,'BASE '!#REF!,2,0)))),IF(AND(F148="LAIT",E148="CLIENT L"),(S148*952.4),IF(AND(F148="HUILE",E148="CLIENT D"),(S148*3809.53+(VLOOKUP(H148,'BASE '!$I$112:$J$142,2,0))),IF(AND(F148="LAIT",E148="CLIENT D"),(S148*952.4),IF(AND(F148="HUILE",E148="CLIENT S+D"),((S148*3809.53+(VLOOKUP(H148,'BASE '!$I$112:$J$142,2,0)))-((S148*3809.53)*G148)),IF(AND(F148="LAIT",E148="CLIENT S+D"),((S148*952.4)-((S148*952.4)*G148)),IF(AND(E148="CLIENT S",F148="LAIT"),((S148*952.4)-((S148*952.4)*G148)),IF(AND(F148="HUILE",E148="CLIENT S"),(VLOOKUP(H148,'BASE '!$I$112:$J$142,2,0)+(VLOOKUP(S148,'BASE '!#REF!,2,0)))-(G148*((VLOOKUP(S148,'BASE '!#REF!,2,0)+(VLOOKUP(H148,'BASE '!$I$112:$J$142,2,0))))))))))))))))</f>
        <v>0</v>
      </c>
      <c r="P148" s="52" t="b">
        <f t="shared" si="38"/>
        <v>0</v>
      </c>
      <c r="Q148" s="53" t="b">
        <f t="shared" si="39"/>
        <v>0</v>
      </c>
      <c r="R148" s="152" t="s">
        <v>175</v>
      </c>
      <c r="S148" s="184">
        <f t="shared" si="41"/>
        <v>0</v>
      </c>
      <c r="T148" s="406" t="s">
        <v>46</v>
      </c>
      <c r="U148" s="407"/>
      <c r="V148" s="407"/>
      <c r="W148" s="407"/>
      <c r="X148" s="407"/>
      <c r="Y148" s="407"/>
      <c r="Z148" s="407"/>
      <c r="AA148" s="407"/>
      <c r="AB148" s="415">
        <f>SUMIF(AC6:AC144,"&lt;&gt;#N/A")</f>
        <v>0</v>
      </c>
      <c r="AC148" s="415"/>
      <c r="AD148" s="415"/>
      <c r="AE148" s="415"/>
      <c r="DN148" s="68"/>
    </row>
    <row r="149" spans="2:118" ht="15" thickBot="1" x14ac:dyDescent="0.35">
      <c r="B149" s="64"/>
      <c r="C149" s="148"/>
      <c r="D149" s="109"/>
      <c r="E149" s="63"/>
      <c r="F149" s="127"/>
      <c r="G149" s="50"/>
      <c r="H149" s="10"/>
      <c r="I149" s="10"/>
      <c r="J149" s="10"/>
      <c r="K149" s="10"/>
      <c r="L149" s="10"/>
      <c r="M149" s="39"/>
      <c r="N149" s="33">
        <f t="shared" si="37"/>
        <v>0</v>
      </c>
      <c r="O149" s="52" t="b">
        <f>IF(AND(E149="CLIENT S+L",F149="HUILE"),(S149*3333.33+(VLOOKUP(H149,'BASE '!$I$112:$J$142,2,0)))-((S149*3333.33)*G149),IF(AND(E149="CLIENT S+L",F149="LAIT"),((S149*952.4)-(S149*952.4)*G149),IF(E149="CLIENT O","OFFERT",IF(AND(F149="HUILE",E149="CLIENT L"),(((VLOOKUP(H149,'BASE '!$I$112:$J$142,2,0))+(VLOOKUP(S149,'BASE '!#REF!,2,0)))),IF(AND(F149="LAIT",E149="CLIENT L"),(S149*952.4),IF(AND(F149="HUILE",E149="CLIENT D"),(S149*3809.53+(VLOOKUP(H149,'BASE '!$I$112:$J$142,2,0))),IF(AND(F149="LAIT",E149="CLIENT D"),(S149*952.4),IF(AND(F149="HUILE",E149="CLIENT S+D"),((S149*3809.53+(VLOOKUP(H149,'BASE '!$I$112:$J$142,2,0)))-((S149*3809.53)*G149)),IF(AND(F149="LAIT",E149="CLIENT S+D"),((S149*952.4)-((S149*952.4)*G149)),IF(AND(E149="CLIENT S",F149="LAIT"),((S149*952.4)-((S149*952.4)*G149)),IF(AND(F149="HUILE",E149="CLIENT S"),(VLOOKUP(H149,'BASE '!$I$112:$J$142,2,0)+(VLOOKUP(S149,'BASE '!#REF!,2,0)))-(G149*((VLOOKUP(S149,'BASE '!#REF!,2,0)+(VLOOKUP(H149,'BASE '!$I$112:$J$142,2,0))))))))))))))))</f>
        <v>0</v>
      </c>
      <c r="P149" s="52" t="b">
        <f t="shared" si="38"/>
        <v>0</v>
      </c>
      <c r="Q149" s="53" t="b">
        <f t="shared" si="39"/>
        <v>0</v>
      </c>
      <c r="R149" s="152" t="s">
        <v>175</v>
      </c>
      <c r="S149" s="184">
        <f t="shared" si="41"/>
        <v>0</v>
      </c>
      <c r="T149" s="406" t="s">
        <v>45</v>
      </c>
      <c r="U149" s="407"/>
      <c r="V149" s="407"/>
      <c r="W149" s="407"/>
      <c r="X149" s="407"/>
      <c r="Y149" s="407"/>
      <c r="Z149" s="407"/>
      <c r="AA149" s="407"/>
      <c r="AB149" s="407"/>
      <c r="AC149" s="415">
        <f>SUMIF(AD6:AD144,"&lt;&gt;#N/A")</f>
        <v>0</v>
      </c>
      <c r="AD149" s="415"/>
      <c r="AE149" s="415"/>
      <c r="DN149" s="66"/>
    </row>
    <row r="150" spans="2:118" ht="15" thickBot="1" x14ac:dyDescent="0.35">
      <c r="B150" s="64"/>
      <c r="C150" s="148"/>
      <c r="D150" s="109"/>
      <c r="E150" s="63"/>
      <c r="F150" s="127"/>
      <c r="G150" s="50"/>
      <c r="H150" s="10"/>
      <c r="I150" s="10"/>
      <c r="J150" s="10"/>
      <c r="K150" s="10"/>
      <c r="L150" s="10"/>
      <c r="M150" s="39"/>
      <c r="N150" s="33">
        <f t="shared" si="37"/>
        <v>0</v>
      </c>
      <c r="O150" s="52" t="b">
        <f>IF(AND(E150="CLIENT S+L",F150="HUILE"),(S150*3333.33+(VLOOKUP(H150,'BASE '!$I$112:$J$142,2,0)))-((S150*3333.33)*G150),IF(AND(E150="CLIENT S+L",F150="LAIT"),((S150*952.4)-(S150*952.4)*G150),IF(E150="CLIENT O","OFFERT",IF(AND(F150="HUILE",E150="CLIENT L"),(((VLOOKUP(H150,'BASE '!$I$112:$J$142,2,0))+(VLOOKUP(S150,'BASE '!#REF!,2,0)))),IF(AND(F150="LAIT",E150="CLIENT L"),(S150*952.4),IF(AND(F150="HUILE",E150="CLIENT D"),(S150*3809.53+(VLOOKUP(H150,'BASE '!$I$112:$J$142,2,0))),IF(AND(F150="LAIT",E150="CLIENT D"),(S150*952.4),IF(AND(F150="HUILE",E150="CLIENT S+D"),((S150*3809.53+(VLOOKUP(H150,'BASE '!$I$112:$J$142,2,0)))-((S150*3809.53)*G150)),IF(AND(F150="LAIT",E150="CLIENT S+D"),((S150*952.4)-((S150*952.4)*G150)),IF(AND(E150="CLIENT S",F150="LAIT"),((S150*952.4)-((S150*952.4)*G150)),IF(AND(F150="HUILE",E150="CLIENT S"),(VLOOKUP(H150,'BASE '!$I$112:$J$142,2,0)+(VLOOKUP(S150,'BASE '!#REF!,2,0)))-(G150*((VLOOKUP(S150,'BASE '!#REF!,2,0)+(VLOOKUP(H150,'BASE '!$I$112:$J$142,2,0))))))))))))))))</f>
        <v>0</v>
      </c>
      <c r="P150" s="52" t="b">
        <f t="shared" si="38"/>
        <v>0</v>
      </c>
      <c r="Q150" s="53" t="b">
        <f t="shared" si="39"/>
        <v>0</v>
      </c>
      <c r="R150" s="152" t="s">
        <v>175</v>
      </c>
      <c r="S150" s="184">
        <f t="shared" si="41"/>
        <v>0</v>
      </c>
      <c r="T150" s="406" t="s">
        <v>44</v>
      </c>
      <c r="U150" s="407"/>
      <c r="V150" s="407"/>
      <c r="W150" s="407"/>
      <c r="X150" s="407"/>
      <c r="Y150" s="407"/>
      <c r="Z150" s="407"/>
      <c r="AA150" s="407"/>
      <c r="AB150" s="407"/>
      <c r="AC150" s="407"/>
      <c r="AD150" s="408">
        <f>SUMIF(AE6:AE144,"&lt;&gt;#N/A")</f>
        <v>0</v>
      </c>
      <c r="AE150" s="408"/>
      <c r="DN150" s="66"/>
    </row>
    <row r="151" spans="2:118" x14ac:dyDescent="0.3">
      <c r="B151" s="64"/>
      <c r="C151" s="148"/>
      <c r="D151" s="109"/>
      <c r="E151" s="63"/>
      <c r="F151" s="127"/>
      <c r="G151" s="50"/>
      <c r="H151" s="10"/>
      <c r="I151" s="10"/>
      <c r="J151" s="10"/>
      <c r="K151" s="10"/>
      <c r="L151" s="10"/>
      <c r="M151" s="39"/>
      <c r="N151" s="33">
        <f t="shared" si="37"/>
        <v>0</v>
      </c>
      <c r="O151" s="52" t="b">
        <f>IF(AND(E151="CLIENT S+L",F151="HUILE"),(S151*3333.33+(VLOOKUP(H151,'BASE '!$I$112:$J$142,2,0)))-((S151*3333.33)*G151),IF(AND(E151="CLIENT S+L",F151="LAIT"),((S151*952.4)-(S151*952.4)*G151),IF(E151="CLIENT O","OFFERT",IF(AND(F151="HUILE",E151="CLIENT L"),(((VLOOKUP(H151,'BASE '!$I$112:$J$142,2,0))+(VLOOKUP(S151,'BASE '!#REF!,2,0)))),IF(AND(F151="LAIT",E151="CLIENT L"),(S151*952.4),IF(AND(F151="HUILE",E151="CLIENT D"),(S151*3809.53+(VLOOKUP(H151,'BASE '!$I$112:$J$142,2,0))),IF(AND(F151="LAIT",E151="CLIENT D"),(S151*952.4),IF(AND(F151="HUILE",E151="CLIENT S+D"),((S151*3809.53+(VLOOKUP(H151,'BASE '!$I$112:$J$142,2,0)))-((S151*3809.53)*G151)),IF(AND(F151="LAIT",E151="CLIENT S+D"),((S151*952.4)-((S151*952.4)*G151)),IF(AND(E151="CLIENT S",F151="LAIT"),((S151*952.4)-((S151*952.4)*G151)),IF(AND(F151="HUILE",E151="CLIENT S"),(VLOOKUP(H151,'BASE '!$I$112:$J$142,2,0)+(VLOOKUP(S151,'BASE '!#REF!,2,0)))-(G151*((VLOOKUP(S151,'BASE '!#REF!,2,0)+(VLOOKUP(H151,'BASE '!$I$112:$J$142,2,0))))))))))))))))</f>
        <v>0</v>
      </c>
      <c r="P151" s="52" t="b">
        <f t="shared" si="38"/>
        <v>0</v>
      </c>
      <c r="Q151" s="53" t="b">
        <f t="shared" si="39"/>
        <v>0</v>
      </c>
      <c r="R151" s="152" t="s">
        <v>175</v>
      </c>
      <c r="S151" s="184">
        <f t="shared" si="41"/>
        <v>0</v>
      </c>
      <c r="DN151" s="66"/>
    </row>
    <row r="152" spans="2:118" x14ac:dyDescent="0.3">
      <c r="B152" s="64"/>
      <c r="C152" s="148"/>
      <c r="D152" s="109"/>
      <c r="E152" s="63"/>
      <c r="F152" s="127"/>
      <c r="G152" s="50"/>
      <c r="H152" s="10"/>
      <c r="I152" s="10"/>
      <c r="J152" s="10"/>
      <c r="K152" s="10"/>
      <c r="L152" s="10"/>
      <c r="M152" s="39"/>
      <c r="N152" s="33">
        <f t="shared" si="37"/>
        <v>0</v>
      </c>
      <c r="O152" s="52" t="b">
        <f>IF(AND(E152="CLIENT S+L",F152="HUILE"),(S152*3333.33+(VLOOKUP(H152,'BASE '!$I$112:$J$142,2,0)))-((S152*3333.33)*G152),IF(AND(E152="CLIENT S+L",F152="LAIT"),((S152*952.4)-(S152*952.4)*G152),IF(E152="CLIENT O","OFFERT",IF(AND(F152="HUILE",E152="CLIENT L"),(((VLOOKUP(H152,'BASE '!$I$112:$J$142,2,0))+(VLOOKUP(S152,'BASE '!#REF!,2,0)))),IF(AND(F152="LAIT",E152="CLIENT L"),(S152*952.4),IF(AND(F152="HUILE",E152="CLIENT D"),(S152*3809.53+(VLOOKUP(H152,'BASE '!$I$112:$J$142,2,0))),IF(AND(F152="LAIT",E152="CLIENT D"),(S152*952.4),IF(AND(F152="HUILE",E152="CLIENT S+D"),((S152*3809.53+(VLOOKUP(H152,'BASE '!$I$112:$J$142,2,0)))-((S152*3809.53)*G152)),IF(AND(F152="LAIT",E152="CLIENT S+D"),((S152*952.4)-((S152*952.4)*G152)),IF(AND(E152="CLIENT S",F152="LAIT"),((S152*952.4)-((S152*952.4)*G152)),IF(AND(F152="HUILE",E152="CLIENT S"),(VLOOKUP(H152,'BASE '!$I$112:$J$142,2,0)+(VLOOKUP(S152,'BASE '!#REF!,2,0)))-(G152*((VLOOKUP(S152,'BASE '!#REF!,2,0)+(VLOOKUP(H152,'BASE '!$I$112:$J$142,2,0))))))))))))))))</f>
        <v>0</v>
      </c>
      <c r="P152" s="52" t="b">
        <f t="shared" si="38"/>
        <v>0</v>
      </c>
      <c r="Q152" s="53" t="b">
        <f t="shared" si="39"/>
        <v>0</v>
      </c>
      <c r="R152" s="152" t="s">
        <v>175</v>
      </c>
      <c r="S152" s="184">
        <f t="shared" si="41"/>
        <v>0</v>
      </c>
      <c r="DN152" s="66"/>
    </row>
    <row r="153" spans="2:118" x14ac:dyDescent="0.3">
      <c r="B153" s="64"/>
      <c r="C153" s="148"/>
      <c r="D153" s="109"/>
      <c r="E153" s="63"/>
      <c r="F153" s="127"/>
      <c r="G153" s="50"/>
      <c r="H153" s="10"/>
      <c r="I153" s="10"/>
      <c r="J153" s="10"/>
      <c r="K153" s="10"/>
      <c r="L153" s="10"/>
      <c r="M153" s="39"/>
      <c r="N153" s="33">
        <f t="shared" si="37"/>
        <v>0</v>
      </c>
      <c r="O153" s="52" t="b">
        <f>IF(AND(E153="CLIENT S+L",F153="HUILE"),(S153*3333.33+(VLOOKUP(H153,'BASE '!$I$112:$J$142,2,0)))-((S153*3333.33)*G153),IF(AND(E153="CLIENT S+L",F153="LAIT"),((S153*952.4)-(S153*952.4)*G153),IF(E153="CLIENT O","OFFERT",IF(AND(F153="HUILE",E153="CLIENT L"),(((VLOOKUP(H153,'BASE '!$I$112:$J$142,2,0))+(VLOOKUP(S153,'BASE '!#REF!,2,0)))),IF(AND(F153="LAIT",E153="CLIENT L"),(S153*952.4),IF(AND(F153="HUILE",E153="CLIENT D"),(S153*3809.53+(VLOOKUP(H153,'BASE '!$I$112:$J$142,2,0))),IF(AND(F153="LAIT",E153="CLIENT D"),(S153*952.4),IF(AND(F153="HUILE",E153="CLIENT S+D"),((S153*3809.53+(VLOOKUP(H153,'BASE '!$I$112:$J$142,2,0)))-((S153*3809.53)*G153)),IF(AND(F153="LAIT",E153="CLIENT S+D"),((S153*952.4)-((S153*952.4)*G153)),IF(AND(E153="CLIENT S",F153="LAIT"),((S153*952.4)-((S153*952.4)*G153)),IF(AND(F153="HUILE",E153="CLIENT S"),(VLOOKUP(H153,'BASE '!$I$112:$J$142,2,0)+(VLOOKUP(S153,'BASE '!#REF!,2,0)))-(G153*((VLOOKUP(S153,'BASE '!#REF!,2,0)+(VLOOKUP(H153,'BASE '!$I$112:$J$142,2,0))))))))))))))))</f>
        <v>0</v>
      </c>
      <c r="P153" s="52" t="b">
        <f t="shared" si="38"/>
        <v>0</v>
      </c>
      <c r="Q153" s="53" t="b">
        <f t="shared" si="39"/>
        <v>0</v>
      </c>
      <c r="R153" s="152" t="s">
        <v>175</v>
      </c>
      <c r="S153" s="184">
        <f t="shared" si="41"/>
        <v>0</v>
      </c>
      <c r="DN153" s="67"/>
    </row>
    <row r="154" spans="2:118" x14ac:dyDescent="0.3">
      <c r="B154" s="64"/>
      <c r="C154" s="148"/>
      <c r="D154" s="109"/>
      <c r="E154" s="63"/>
      <c r="F154" s="127"/>
      <c r="G154" s="50"/>
      <c r="H154" s="10"/>
      <c r="I154" s="10"/>
      <c r="J154" s="10"/>
      <c r="K154" s="10"/>
      <c r="L154" s="10"/>
      <c r="M154" s="39"/>
      <c r="N154" s="33">
        <f t="shared" si="37"/>
        <v>0</v>
      </c>
      <c r="O154" s="52" t="b">
        <f>IF(AND(E154="CLIENT S+L",F154="HUILE"),(S154*3333.33+(VLOOKUP(H154,'BASE '!$I$112:$J$142,2,0)))-((S154*3333.33)*G154),IF(AND(E154="CLIENT S+L",F154="LAIT"),((S154*952.4)-(S154*952.4)*G154),IF(E154="CLIENT O","OFFERT",IF(AND(F154="HUILE",E154="CLIENT L"),(((VLOOKUP(H154,'BASE '!$I$112:$J$142,2,0))+(VLOOKUP(S154,'BASE '!#REF!,2,0)))),IF(AND(F154="LAIT",E154="CLIENT L"),(S154*952.4),IF(AND(F154="HUILE",E154="CLIENT D"),(S154*3809.53+(VLOOKUP(H154,'BASE '!$I$112:$J$142,2,0))),IF(AND(F154="LAIT",E154="CLIENT D"),(S154*952.4),IF(AND(F154="HUILE",E154="CLIENT S+D"),((S154*3809.53+(VLOOKUP(H154,'BASE '!$I$112:$J$142,2,0)))-((S154*3809.53)*G154)),IF(AND(F154="LAIT",E154="CLIENT S+D"),((S154*952.4)-((S154*952.4)*G154)),IF(AND(E154="CLIENT S",F154="LAIT"),((S154*952.4)-((S154*952.4)*G154)),IF(AND(F154="HUILE",E154="CLIENT S"),(VLOOKUP(H154,'BASE '!$I$112:$J$142,2,0)+(VLOOKUP(S154,'BASE '!#REF!,2,0)))-(G154*((VLOOKUP(S154,'BASE '!#REF!,2,0)+(VLOOKUP(H154,'BASE '!$I$112:$J$142,2,0))))))))))))))))</f>
        <v>0</v>
      </c>
      <c r="P154" s="52" t="b">
        <f t="shared" si="38"/>
        <v>0</v>
      </c>
      <c r="Q154" s="53" t="b">
        <f t="shared" si="39"/>
        <v>0</v>
      </c>
      <c r="R154" s="152" t="s">
        <v>175</v>
      </c>
      <c r="S154" s="184">
        <f t="shared" si="41"/>
        <v>0</v>
      </c>
      <c r="DN154" s="67"/>
    </row>
    <row r="155" spans="2:118" x14ac:dyDescent="0.3">
      <c r="B155" s="64"/>
      <c r="C155" s="148"/>
      <c r="D155" s="109"/>
      <c r="E155" s="63"/>
      <c r="F155" s="127"/>
      <c r="G155" s="50"/>
      <c r="H155" s="10"/>
      <c r="I155" s="10"/>
      <c r="J155" s="10"/>
      <c r="K155" s="10"/>
      <c r="L155" s="10"/>
      <c r="M155" s="39"/>
      <c r="N155" s="33">
        <f t="shared" si="37"/>
        <v>0</v>
      </c>
      <c r="O155" s="52" t="b">
        <f>IF(AND(E155="CLIENT S+L",F155="HUILE"),(S155*3333.33+(VLOOKUP(H155,'BASE '!$I$112:$J$142,2,0)))-((S155*3333.33)*G155),IF(AND(E155="CLIENT S+L",F155="LAIT"),((S155*952.4)-(S155*952.4)*G155),IF(E155="CLIENT O","OFFERT",IF(AND(F155="HUILE",E155="CLIENT L"),(((VLOOKUP(H155,'BASE '!$I$112:$J$142,2,0))+(VLOOKUP(S155,'BASE '!#REF!,2,0)))),IF(AND(F155="LAIT",E155="CLIENT L"),(S155*952.4),IF(AND(F155="HUILE",E155="CLIENT D"),(S155*3809.53+(VLOOKUP(H155,'BASE '!$I$112:$J$142,2,0))),IF(AND(F155="LAIT",E155="CLIENT D"),(S155*952.4),IF(AND(F155="HUILE",E155="CLIENT S+D"),((S155*3809.53+(VLOOKUP(H155,'BASE '!$I$112:$J$142,2,0)))-((S155*3809.53)*G155)),IF(AND(F155="LAIT",E155="CLIENT S+D"),((S155*952.4)-((S155*952.4)*G155)),IF(AND(E155="CLIENT S",F155="LAIT"),((S155*952.4)-((S155*952.4)*G155)),IF(AND(F155="HUILE",E155="CLIENT S"),(VLOOKUP(H155,'BASE '!$I$112:$J$142,2,0)+(VLOOKUP(S155,'BASE '!#REF!,2,0)))-(G155*((VLOOKUP(S155,'BASE '!#REF!,2,0)+(VLOOKUP(H155,'BASE '!$I$112:$J$142,2,0))))))))))))))))</f>
        <v>0</v>
      </c>
      <c r="P155" s="52" t="b">
        <f t="shared" si="38"/>
        <v>0</v>
      </c>
      <c r="Q155" s="53" t="b">
        <f t="shared" si="39"/>
        <v>0</v>
      </c>
      <c r="R155" s="152" t="s">
        <v>175</v>
      </c>
      <c r="S155" s="184">
        <f t="shared" si="41"/>
        <v>0</v>
      </c>
    </row>
    <row r="156" spans="2:118" x14ac:dyDescent="0.3">
      <c r="B156" s="64"/>
      <c r="C156" s="148"/>
      <c r="D156" s="109"/>
      <c r="E156" s="63"/>
      <c r="F156" s="127"/>
      <c r="G156" s="50"/>
      <c r="H156" s="10"/>
      <c r="I156" s="10"/>
      <c r="J156" s="10"/>
      <c r="K156" s="10"/>
      <c r="L156" s="10"/>
      <c r="M156" s="39"/>
      <c r="N156" s="33">
        <f t="shared" si="37"/>
        <v>0</v>
      </c>
      <c r="O156" s="52" t="b">
        <f>IF(AND(E156="CLIENT S+L",F156="HUILE"),(S156*3333.33+(VLOOKUP(H156,'BASE '!$I$112:$J$142,2,0)))-((S156*3333.33)*G156),IF(AND(E156="CLIENT S+L",F156="LAIT"),((S156*952.4)-(S156*952.4)*G156),IF(E156="CLIENT O","OFFERT",IF(AND(F156="HUILE",E156="CLIENT L"),(((VLOOKUP(H156,'BASE '!$I$112:$J$142,2,0))+(VLOOKUP(S156,'BASE '!#REF!,2,0)))),IF(AND(F156="LAIT",E156="CLIENT L"),(S156*952.4),IF(AND(F156="HUILE",E156="CLIENT D"),(S156*3809.53+(VLOOKUP(H156,'BASE '!$I$112:$J$142,2,0))),IF(AND(F156="LAIT",E156="CLIENT D"),(S156*952.4),IF(AND(F156="HUILE",E156="CLIENT S+D"),((S156*3809.53+(VLOOKUP(H156,'BASE '!$I$112:$J$142,2,0)))-((S156*3809.53)*G156)),IF(AND(F156="LAIT",E156="CLIENT S+D"),((S156*952.4)-((S156*952.4)*G156)),IF(AND(E156="CLIENT S",F156="LAIT"),((S156*952.4)-((S156*952.4)*G156)),IF(AND(F156="HUILE",E156="CLIENT S"),(VLOOKUP(H156,'BASE '!$I$112:$J$142,2,0)+(VLOOKUP(S156,'BASE '!#REF!,2,0)))-(G156*((VLOOKUP(S156,'BASE '!#REF!,2,0)+(VLOOKUP(H156,'BASE '!$I$112:$J$142,2,0))))))))))))))))</f>
        <v>0</v>
      </c>
      <c r="P156" s="52" t="b">
        <f t="shared" si="38"/>
        <v>0</v>
      </c>
      <c r="Q156" s="53" t="b">
        <f t="shared" si="39"/>
        <v>0</v>
      </c>
      <c r="R156" s="152" t="s">
        <v>175</v>
      </c>
      <c r="S156" s="184">
        <f t="shared" si="41"/>
        <v>0</v>
      </c>
    </row>
    <row r="157" spans="2:118" x14ac:dyDescent="0.3">
      <c r="B157" s="64"/>
      <c r="C157" s="148"/>
      <c r="D157" s="109"/>
      <c r="E157" s="63"/>
      <c r="F157" s="127"/>
      <c r="G157" s="50"/>
      <c r="H157" s="10"/>
      <c r="I157" s="10"/>
      <c r="J157" s="10"/>
      <c r="K157" s="10"/>
      <c r="L157" s="10"/>
      <c r="M157" s="39"/>
      <c r="N157" s="33">
        <f t="shared" si="37"/>
        <v>0</v>
      </c>
      <c r="O157" s="52" t="b">
        <f>IF(AND(E157="CLIENT S+L",F157="HUILE"),(S157*3333.33+(VLOOKUP(H157,'BASE '!$I$112:$J$142,2,0)))-((S157*3333.33)*G157),IF(AND(E157="CLIENT S+L",F157="LAIT"),((S157*952.4)-(S157*952.4)*G157),IF(E157="CLIENT O","OFFERT",IF(AND(F157="HUILE",E157="CLIENT L"),(((VLOOKUP(H157,'BASE '!$I$112:$J$142,2,0))+(VLOOKUP(S157,'BASE '!#REF!,2,0)))),IF(AND(F157="LAIT",E157="CLIENT L"),(S157*952.4),IF(AND(F157="HUILE",E157="CLIENT D"),(S157*3809.53+(VLOOKUP(H157,'BASE '!$I$112:$J$142,2,0))),IF(AND(F157="LAIT",E157="CLIENT D"),(S157*952.4),IF(AND(F157="HUILE",E157="CLIENT S+D"),((S157*3809.53+(VLOOKUP(H157,'BASE '!$I$112:$J$142,2,0)))-((S157*3809.53)*G157)),IF(AND(F157="LAIT",E157="CLIENT S+D"),((S157*952.4)-((S157*952.4)*G157)),IF(AND(E157="CLIENT S",F157="LAIT"),((S157*952.4)-((S157*952.4)*G157)),IF(AND(F157="HUILE",E157="CLIENT S"),(VLOOKUP(H157,'BASE '!$I$112:$J$142,2,0)+(VLOOKUP(S157,'BASE '!#REF!,2,0)))-(G157*((VLOOKUP(S157,'BASE '!#REF!,2,0)+(VLOOKUP(H157,'BASE '!$I$112:$J$142,2,0))))))))))))))))</f>
        <v>0</v>
      </c>
      <c r="P157" s="52" t="b">
        <f t="shared" si="38"/>
        <v>0</v>
      </c>
      <c r="Q157" s="53" t="b">
        <f t="shared" si="39"/>
        <v>0</v>
      </c>
      <c r="R157" s="152" t="s">
        <v>175</v>
      </c>
      <c r="S157" s="184">
        <f t="shared" si="41"/>
        <v>0</v>
      </c>
    </row>
    <row r="158" spans="2:118" x14ac:dyDescent="0.3">
      <c r="B158" s="64"/>
      <c r="C158" s="148"/>
      <c r="D158" s="109"/>
      <c r="E158" s="63"/>
      <c r="F158" s="127"/>
      <c r="G158" s="50"/>
      <c r="H158" s="10"/>
      <c r="I158" s="10"/>
      <c r="J158" s="10"/>
      <c r="K158" s="10"/>
      <c r="L158" s="10"/>
      <c r="M158" s="39"/>
      <c r="N158" s="33">
        <f t="shared" si="37"/>
        <v>0</v>
      </c>
      <c r="O158" s="52" t="b">
        <f>IF(AND(E158="CLIENT S+L",F158="HUILE"),(S158*3333.33+(VLOOKUP(H158,'BASE '!$I$112:$J$142,2,0)))-((S158*3333.33)*G158),IF(AND(E158="CLIENT S+L",F158="LAIT"),((S158*952.4)-(S158*952.4)*G158),IF(E158="CLIENT O","OFFERT",IF(AND(F158="HUILE",E158="CLIENT L"),(((VLOOKUP(H158,'BASE '!$I$112:$J$142,2,0))+(VLOOKUP(S158,'BASE '!#REF!,2,0)))),IF(AND(F158="LAIT",E158="CLIENT L"),(S158*952.4),IF(AND(F158="HUILE",E158="CLIENT D"),(S158*3809.53+(VLOOKUP(H158,'BASE '!$I$112:$J$142,2,0))),IF(AND(F158="LAIT",E158="CLIENT D"),(S158*952.4),IF(AND(F158="HUILE",E158="CLIENT S+D"),((S158*3809.53+(VLOOKUP(H158,'BASE '!$I$112:$J$142,2,0)))-((S158*3809.53)*G158)),IF(AND(F158="LAIT",E158="CLIENT S+D"),((S158*952.4)-((S158*952.4)*G158)),IF(AND(E158="CLIENT S",F158="LAIT"),((S158*952.4)-((S158*952.4)*G158)),IF(AND(F158="HUILE",E158="CLIENT S"),(VLOOKUP(H158,'BASE '!$I$112:$J$142,2,0)+(VLOOKUP(S158,'BASE '!#REF!,2,0)))-(G158*((VLOOKUP(S158,'BASE '!#REF!,2,0)+(VLOOKUP(H158,'BASE '!$I$112:$J$142,2,0))))))))))))))))</f>
        <v>0</v>
      </c>
      <c r="P158" s="52" t="b">
        <f t="shared" si="38"/>
        <v>0</v>
      </c>
      <c r="Q158" s="53" t="b">
        <f t="shared" si="39"/>
        <v>0</v>
      </c>
      <c r="R158" s="152" t="s">
        <v>175</v>
      </c>
      <c r="S158" s="184">
        <f t="shared" si="41"/>
        <v>0</v>
      </c>
    </row>
    <row r="159" spans="2:118" x14ac:dyDescent="0.3">
      <c r="B159" s="64"/>
      <c r="C159" s="148"/>
      <c r="D159" s="109"/>
      <c r="E159" s="63"/>
      <c r="F159" s="127"/>
      <c r="G159" s="50"/>
      <c r="H159" s="10"/>
      <c r="I159" s="10"/>
      <c r="J159" s="10"/>
      <c r="K159" s="10"/>
      <c r="L159" s="10"/>
      <c r="M159" s="39"/>
      <c r="N159" s="33">
        <f t="shared" si="37"/>
        <v>0</v>
      </c>
      <c r="O159" s="52" t="b">
        <f>IF(AND(E159="CLIENT S+L",F159="HUILE"),(S159*3333.33+(VLOOKUP(H159,'BASE '!$I$112:$J$142,2,0)))-((S159*3333.33)*G159),IF(AND(E159="CLIENT S+L",F159="LAIT"),((S159*952.4)-(S159*952.4)*G159),IF(E159="CLIENT O","OFFERT",IF(AND(F159="HUILE",E159="CLIENT L"),(((VLOOKUP(H159,'BASE '!$I$112:$J$142,2,0))+(VLOOKUP(S159,'BASE '!#REF!,2,0)))),IF(AND(F159="LAIT",E159="CLIENT L"),(S159*952.4),IF(AND(F159="HUILE",E159="CLIENT D"),(S159*3809.53+(VLOOKUP(H159,'BASE '!$I$112:$J$142,2,0))),IF(AND(F159="LAIT",E159="CLIENT D"),(S159*952.4),IF(AND(F159="HUILE",E159="CLIENT S+D"),((S159*3809.53+(VLOOKUP(H159,'BASE '!$I$112:$J$142,2,0)))-((S159*3809.53)*G159)),IF(AND(F159="LAIT",E159="CLIENT S+D"),((S159*952.4)-((S159*952.4)*G159)),IF(AND(E159="CLIENT S",F159="LAIT"),((S159*952.4)-((S159*952.4)*G159)),IF(AND(F159="HUILE",E159="CLIENT S"),(VLOOKUP(H159,'BASE '!$I$112:$J$142,2,0)+(VLOOKUP(S159,'BASE '!#REF!,2,0)))-(G159*((VLOOKUP(S159,'BASE '!#REF!,2,0)+(VLOOKUP(H159,'BASE '!$I$112:$J$142,2,0))))))))))))))))</f>
        <v>0</v>
      </c>
      <c r="P159" s="52" t="b">
        <f t="shared" si="38"/>
        <v>0</v>
      </c>
      <c r="Q159" s="53" t="b">
        <f t="shared" si="39"/>
        <v>0</v>
      </c>
      <c r="R159" s="152" t="s">
        <v>175</v>
      </c>
      <c r="S159" s="184">
        <f t="shared" si="41"/>
        <v>0</v>
      </c>
    </row>
    <row r="160" spans="2:118" x14ac:dyDescent="0.3">
      <c r="B160" s="64"/>
      <c r="C160" s="148"/>
      <c r="D160" s="109"/>
      <c r="E160" s="63"/>
      <c r="F160" s="127"/>
      <c r="G160" s="50"/>
      <c r="H160" s="10"/>
      <c r="I160" s="10"/>
      <c r="J160" s="10"/>
      <c r="K160" s="10"/>
      <c r="L160" s="10"/>
      <c r="M160" s="39"/>
      <c r="N160" s="33">
        <f t="shared" si="37"/>
        <v>0</v>
      </c>
      <c r="O160" s="52" t="b">
        <f>IF(AND(E160="CLIENT S+L",F160="HUILE"),(S160*3333.33+(VLOOKUP(H160,'BASE '!$I$112:$J$142,2,0)))-((S160*3333.33)*G160),IF(AND(E160="CLIENT S+L",F160="LAIT"),((S160*952.4)-(S160*952.4)*G160),IF(E160="CLIENT O","OFFERT",IF(AND(F160="HUILE",E160="CLIENT L"),(((VLOOKUP(H160,'BASE '!$I$112:$J$142,2,0))+(VLOOKUP(S160,'BASE '!#REF!,2,0)))),IF(AND(F160="LAIT",E160="CLIENT L"),(S160*952.4),IF(AND(F160="HUILE",E160="CLIENT D"),(S160*3809.53+(VLOOKUP(H160,'BASE '!$I$112:$J$142,2,0))),IF(AND(F160="LAIT",E160="CLIENT D"),(S160*952.4),IF(AND(F160="HUILE",E160="CLIENT S+D"),((S160*3809.53+(VLOOKUP(H160,'BASE '!$I$112:$J$142,2,0)))-((S160*3809.53)*G160)),IF(AND(F160="LAIT",E160="CLIENT S+D"),((S160*952.4)-((S160*952.4)*G160)),IF(AND(E160="CLIENT S",F160="LAIT"),((S160*952.4)-((S160*952.4)*G160)),IF(AND(F160="HUILE",E160="CLIENT S"),(VLOOKUP(H160,'BASE '!$I$112:$J$142,2,0)+(VLOOKUP(S160,'BASE '!#REF!,2,0)))-(G160*((VLOOKUP(S160,'BASE '!#REF!,2,0)+(VLOOKUP(H160,'BASE '!$I$112:$J$142,2,0))))))))))))))))</f>
        <v>0</v>
      </c>
      <c r="P160" s="52" t="b">
        <f t="shared" si="38"/>
        <v>0</v>
      </c>
      <c r="Q160" s="53" t="b">
        <f t="shared" si="39"/>
        <v>0</v>
      </c>
      <c r="R160" s="152" t="s">
        <v>175</v>
      </c>
      <c r="S160" s="184">
        <f t="shared" si="41"/>
        <v>0</v>
      </c>
    </row>
    <row r="161" spans="2:19" x14ac:dyDescent="0.3">
      <c r="B161" s="64"/>
      <c r="C161" s="148"/>
      <c r="D161" s="109"/>
      <c r="E161" s="63"/>
      <c r="F161" s="127"/>
      <c r="G161" s="50"/>
      <c r="H161" s="10"/>
      <c r="I161" s="10"/>
      <c r="J161" s="10"/>
      <c r="K161" s="10"/>
      <c r="L161" s="10"/>
      <c r="M161" s="39"/>
      <c r="N161" s="33">
        <f t="shared" si="37"/>
        <v>0</v>
      </c>
      <c r="O161" s="52" t="b">
        <f>IF(AND(E161="CLIENT S+L",F161="HUILE"),(S161*3333.33+(VLOOKUP(H161,'BASE '!$I$112:$J$142,2,0)))-((S161*3333.33)*G161),IF(AND(E161="CLIENT S+L",F161="LAIT"),((S161*952.4)-(S161*952.4)*G161),IF(E161="CLIENT O","OFFERT",IF(AND(F161="HUILE",E161="CLIENT L"),(((VLOOKUP(H161,'BASE '!$I$112:$J$142,2,0))+(VLOOKUP(S161,'BASE '!#REF!,2,0)))),IF(AND(F161="LAIT",E161="CLIENT L"),(S161*952.4),IF(AND(F161="HUILE",E161="CLIENT D"),(S161*3809.53+(VLOOKUP(H161,'BASE '!$I$112:$J$142,2,0))),IF(AND(F161="LAIT",E161="CLIENT D"),(S161*952.4),IF(AND(F161="HUILE",E161="CLIENT S+D"),((S161*3809.53+(VLOOKUP(H161,'BASE '!$I$112:$J$142,2,0)))-((S161*3809.53)*G161)),IF(AND(F161="LAIT",E161="CLIENT S+D"),((S161*952.4)-((S161*952.4)*G161)),IF(AND(E161="CLIENT S",F161="LAIT"),((S161*952.4)-((S161*952.4)*G161)),IF(AND(F161="HUILE",E161="CLIENT S"),(VLOOKUP(H161,'BASE '!$I$112:$J$142,2,0)+(VLOOKUP(S161,'BASE '!#REF!,2,0)))-(G161*((VLOOKUP(S161,'BASE '!#REF!,2,0)+(VLOOKUP(H161,'BASE '!$I$112:$J$142,2,0))))))))))))))))</f>
        <v>0</v>
      </c>
      <c r="P161" s="52" t="b">
        <f t="shared" si="38"/>
        <v>0</v>
      </c>
      <c r="Q161" s="53" t="b">
        <f t="shared" si="39"/>
        <v>0</v>
      </c>
      <c r="R161" s="152" t="s">
        <v>175</v>
      </c>
      <c r="S161" s="184">
        <f t="shared" si="41"/>
        <v>0</v>
      </c>
    </row>
    <row r="162" spans="2:19" x14ac:dyDescent="0.3">
      <c r="B162" s="64"/>
      <c r="C162" s="148"/>
      <c r="D162" s="109"/>
      <c r="E162" s="63"/>
      <c r="F162" s="127"/>
      <c r="G162" s="50"/>
      <c r="H162" s="10"/>
      <c r="I162" s="10"/>
      <c r="J162" s="10"/>
      <c r="K162" s="10"/>
      <c r="L162" s="10"/>
      <c r="M162" s="39"/>
      <c r="N162" s="33">
        <f t="shared" si="37"/>
        <v>0</v>
      </c>
      <c r="O162" s="52" t="b">
        <f>IF(AND(E162="CLIENT S+L",F162="HUILE"),(S162*3333.33+(VLOOKUP(H162,'BASE '!$I$112:$J$142,2,0)))-((S162*3333.33)*G162),IF(AND(E162="CLIENT S+L",F162="LAIT"),((S162*952.4)-(S162*952.4)*G162),IF(E162="CLIENT O","OFFERT",IF(AND(F162="HUILE",E162="CLIENT L"),(((VLOOKUP(H162,'BASE '!$I$112:$J$142,2,0))+(VLOOKUP(S162,'BASE '!#REF!,2,0)))),IF(AND(F162="LAIT",E162="CLIENT L"),(S162*952.4),IF(AND(F162="HUILE",E162="CLIENT D"),(S162*3809.53+(VLOOKUP(H162,'BASE '!$I$112:$J$142,2,0))),IF(AND(F162="LAIT",E162="CLIENT D"),(S162*952.4),IF(AND(F162="HUILE",E162="CLIENT S+D"),((S162*3809.53+(VLOOKUP(H162,'BASE '!$I$112:$J$142,2,0)))-((S162*3809.53)*G162)),IF(AND(F162="LAIT",E162="CLIENT S+D"),((S162*952.4)-((S162*952.4)*G162)),IF(AND(E162="CLIENT S",F162="LAIT"),((S162*952.4)-((S162*952.4)*G162)),IF(AND(F162="HUILE",E162="CLIENT S"),(VLOOKUP(H162,'BASE '!$I$112:$J$142,2,0)+(VLOOKUP(S162,'BASE '!#REF!,2,0)))-(G162*((VLOOKUP(S162,'BASE '!#REF!,2,0)+(VLOOKUP(H162,'BASE '!$I$112:$J$142,2,0))))))))))))))))</f>
        <v>0</v>
      </c>
      <c r="P162" s="52" t="b">
        <f t="shared" si="38"/>
        <v>0</v>
      </c>
      <c r="Q162" s="53" t="b">
        <f t="shared" si="39"/>
        <v>0</v>
      </c>
      <c r="R162" s="152" t="s">
        <v>175</v>
      </c>
      <c r="S162" s="184">
        <f t="shared" si="41"/>
        <v>0</v>
      </c>
    </row>
    <row r="163" spans="2:19" x14ac:dyDescent="0.3">
      <c r="B163" s="64"/>
      <c r="C163" s="148"/>
      <c r="D163" s="109"/>
      <c r="E163" s="63"/>
      <c r="F163" s="127"/>
      <c r="G163" s="50"/>
      <c r="H163" s="10"/>
      <c r="I163" s="10"/>
      <c r="J163" s="10"/>
      <c r="K163" s="10"/>
      <c r="L163" s="10"/>
      <c r="M163" s="39"/>
      <c r="N163" s="33">
        <f t="shared" si="37"/>
        <v>0</v>
      </c>
      <c r="O163" s="52" t="b">
        <f>IF(AND(E163="CLIENT S+L",F163="HUILE"),(S163*3333.33+(VLOOKUP(H163,'BASE '!$I$112:$J$142,2,0)))-((S163*3333.33)*G163),IF(AND(E163="CLIENT S+L",F163="LAIT"),((S163*952.4)-(S163*952.4)*G163),IF(E163="CLIENT O","OFFERT",IF(AND(F163="HUILE",E163="CLIENT L"),(((VLOOKUP(H163,'BASE '!$I$112:$J$142,2,0))+(VLOOKUP(S163,'BASE '!#REF!,2,0)))),IF(AND(F163="LAIT",E163="CLIENT L"),(S163*952.4),IF(AND(F163="HUILE",E163="CLIENT D"),(S163*3809.53+(VLOOKUP(H163,'BASE '!$I$112:$J$142,2,0))),IF(AND(F163="LAIT",E163="CLIENT D"),(S163*952.4),IF(AND(F163="HUILE",E163="CLIENT S+D"),((S163*3809.53+(VLOOKUP(H163,'BASE '!$I$112:$J$142,2,0)))-((S163*3809.53)*G163)),IF(AND(F163="LAIT",E163="CLIENT S+D"),((S163*952.4)-((S163*952.4)*G163)),IF(AND(E163="CLIENT S",F163="LAIT"),((S163*952.4)-((S163*952.4)*G163)),IF(AND(F163="HUILE",E163="CLIENT S"),(VLOOKUP(H163,'BASE '!$I$112:$J$142,2,0)+(VLOOKUP(S163,'BASE '!#REF!,2,0)))-(G163*((VLOOKUP(S163,'BASE '!#REF!,2,0)+(VLOOKUP(H163,'BASE '!$I$112:$J$142,2,0))))))))))))))))</f>
        <v>0</v>
      </c>
      <c r="P163" s="52" t="b">
        <f t="shared" si="38"/>
        <v>0</v>
      </c>
      <c r="Q163" s="53" t="b">
        <f t="shared" si="39"/>
        <v>0</v>
      </c>
      <c r="R163" s="152" t="s">
        <v>175</v>
      </c>
      <c r="S163" s="184">
        <f t="shared" si="41"/>
        <v>0</v>
      </c>
    </row>
    <row r="164" spans="2:19" x14ac:dyDescent="0.3">
      <c r="B164" s="64"/>
      <c r="C164" s="148"/>
      <c r="D164" s="109"/>
      <c r="E164" s="63"/>
      <c r="F164" s="127"/>
      <c r="G164" s="50"/>
      <c r="H164" s="10"/>
      <c r="I164" s="10"/>
      <c r="J164" s="10"/>
      <c r="K164" s="10"/>
      <c r="L164" s="10"/>
      <c r="M164" s="39"/>
      <c r="N164" s="33">
        <f t="shared" si="37"/>
        <v>0</v>
      </c>
      <c r="O164" s="52" t="b">
        <f>IF(AND(E164="CLIENT S+L",F164="HUILE"),(S164*3333.33+(VLOOKUP(H164,'BASE '!$I$112:$J$142,2,0)))-((S164*3333.33)*G164),IF(AND(E164="CLIENT S+L",F164="LAIT"),((S164*952.4)-(S164*952.4)*G164),IF(E164="CLIENT O","OFFERT",IF(AND(F164="HUILE",E164="CLIENT L"),(((VLOOKUP(H164,'BASE '!$I$112:$J$142,2,0))+(VLOOKUP(S164,'BASE '!#REF!,2,0)))),IF(AND(F164="LAIT",E164="CLIENT L"),(S164*952.4),IF(AND(F164="HUILE",E164="CLIENT D"),(S164*3809.53+(VLOOKUP(H164,'BASE '!$I$112:$J$142,2,0))),IF(AND(F164="LAIT",E164="CLIENT D"),(S164*952.4),IF(AND(F164="HUILE",E164="CLIENT S+D"),((S164*3809.53+(VLOOKUP(H164,'BASE '!$I$112:$J$142,2,0)))-((S164*3809.53)*G164)),IF(AND(F164="LAIT",E164="CLIENT S+D"),((S164*952.4)-((S164*952.4)*G164)),IF(AND(E164="CLIENT S",F164="LAIT"),((S164*952.4)-((S164*952.4)*G164)),IF(AND(F164="HUILE",E164="CLIENT S"),(VLOOKUP(H164,'BASE '!$I$112:$J$142,2,0)+(VLOOKUP(S164,'BASE '!#REF!,2,0)))-(G164*((VLOOKUP(S164,'BASE '!#REF!,2,0)+(VLOOKUP(H164,'BASE '!$I$112:$J$142,2,0))))))))))))))))</f>
        <v>0</v>
      </c>
      <c r="P164" s="52" t="b">
        <f t="shared" si="38"/>
        <v>0</v>
      </c>
      <c r="Q164" s="53" t="b">
        <f t="shared" si="39"/>
        <v>0</v>
      </c>
      <c r="R164" s="152" t="s">
        <v>175</v>
      </c>
      <c r="S164" s="184">
        <f t="shared" si="41"/>
        <v>0</v>
      </c>
    </row>
    <row r="165" spans="2:19" ht="15" thickBot="1" x14ac:dyDescent="0.35">
      <c r="B165" s="179"/>
      <c r="C165" s="150"/>
      <c r="D165" s="110"/>
      <c r="E165" s="44"/>
      <c r="F165" s="180"/>
      <c r="G165" s="181"/>
      <c r="H165" s="14"/>
      <c r="I165" s="14"/>
      <c r="J165" s="14"/>
      <c r="K165" s="14"/>
      <c r="L165" s="14"/>
      <c r="M165" s="40"/>
      <c r="N165" s="34">
        <f t="shared" si="37"/>
        <v>0</v>
      </c>
      <c r="O165" s="182" t="b">
        <f>IF(AND(E165="CLIENT S+L",F165="HUILE"),(S165*3333.33+(VLOOKUP(H165,'BASE '!$I$112:$J$142,2,0)))-((S165*3333.33)*G165),IF(AND(E165="CLIENT S+L",F165="LAIT"),((S165*952.4)-(S165*952.4)*G165),IF(E165="CLIENT O","OFFERT",IF(AND(F165="HUILE",E165="CLIENT L"),(((VLOOKUP(H165,'BASE '!$I$112:$J$142,2,0))+(VLOOKUP(S165,'BASE '!#REF!,2,0)))),IF(AND(F165="LAIT",E165="CLIENT L"),(S165*952.4),IF(AND(F165="HUILE",E165="CLIENT D"),(S165*3809.53+(VLOOKUP(H165,'BASE '!$I$112:$J$142,2,0))),IF(AND(F165="LAIT",E165="CLIENT D"),(S165*952.4),IF(AND(F165="HUILE",E165="CLIENT S+D"),((S165*3809.53+(VLOOKUP(H165,'BASE '!$I$112:$J$142,2,0)))-((S165*3809.53)*G165)),IF(AND(F165="LAIT",E165="CLIENT S+D"),((S165*952.4)-((S165*952.4)*G165)),IF(AND(E165="CLIENT S",F165="LAIT"),((S165*952.4)-((S165*952.4)*G165)),IF(AND(F165="HUILE",E165="CLIENT S"),(VLOOKUP(H165,'BASE '!$I$112:$J$142,2,0)+(VLOOKUP(S165,'BASE '!#REF!,2,0)))-(G165*((VLOOKUP(S165,'BASE '!#REF!,2,0)+(VLOOKUP(H165,'BASE '!$I$112:$J$142,2,0))))))))))))))))</f>
        <v>0</v>
      </c>
      <c r="P165" s="182" t="b">
        <f t="shared" si="38"/>
        <v>0</v>
      </c>
      <c r="Q165" s="183" t="b">
        <f t="shared" si="39"/>
        <v>0</v>
      </c>
      <c r="R165" s="151" t="s">
        <v>175</v>
      </c>
      <c r="S165" s="184">
        <f t="shared" si="41"/>
        <v>0</v>
      </c>
    </row>
    <row r="166" spans="2:19" ht="15" thickBot="1" x14ac:dyDescent="0.35">
      <c r="B166" s="555" t="s">
        <v>180</v>
      </c>
      <c r="C166" s="555"/>
      <c r="D166" s="555"/>
      <c r="E166" s="555"/>
      <c r="F166" s="555"/>
      <c r="G166" s="555"/>
      <c r="H166" s="556" t="e">
        <f t="shared" ref="H166:N166" si="43">SUMIF(CHOIX,"HUILE",H6:H165)</f>
        <v>#NAME?</v>
      </c>
      <c r="I166" s="556" t="e">
        <f t="shared" si="43"/>
        <v>#NAME?</v>
      </c>
      <c r="J166" s="556" t="e">
        <f t="shared" si="43"/>
        <v>#NAME?</v>
      </c>
      <c r="K166" s="556" t="e">
        <f t="shared" si="43"/>
        <v>#NAME?</v>
      </c>
      <c r="L166" s="556" t="e">
        <f t="shared" si="43"/>
        <v>#NAME?</v>
      </c>
      <c r="M166" s="556" t="e">
        <f t="shared" si="43"/>
        <v>#NAME?</v>
      </c>
      <c r="N166" s="556" t="e">
        <f t="shared" si="43"/>
        <v>#NAME?</v>
      </c>
      <c r="O166" s="557"/>
      <c r="P166" s="557"/>
      <c r="Q166" s="557"/>
      <c r="R166" s="557"/>
      <c r="S166" s="116"/>
    </row>
    <row r="167" spans="2:19" ht="15" thickBot="1" x14ac:dyDescent="0.35">
      <c r="B167" s="391"/>
      <c r="C167" s="391"/>
      <c r="D167" s="391"/>
      <c r="E167" s="391"/>
      <c r="F167" s="391"/>
      <c r="G167" s="391"/>
      <c r="H167" s="538"/>
      <c r="I167" s="538"/>
      <c r="J167" s="538"/>
      <c r="K167" s="538"/>
      <c r="L167" s="538"/>
      <c r="M167" s="538"/>
      <c r="N167" s="538"/>
      <c r="O167" s="539"/>
      <c r="P167" s="539"/>
      <c r="Q167" s="539"/>
      <c r="R167" s="539"/>
      <c r="S167" s="116"/>
    </row>
    <row r="168" spans="2:19" ht="15" thickBot="1" x14ac:dyDescent="0.35">
      <c r="B168" s="391" t="s">
        <v>181</v>
      </c>
      <c r="C168" s="391"/>
      <c r="D168" s="391"/>
      <c r="E168" s="391"/>
      <c r="F168" s="391"/>
      <c r="G168" s="391"/>
      <c r="H168" s="537" t="e">
        <f t="shared" ref="H168:N168" si="44">SUMIF(CHOIX,"LAIT",H6:H165)</f>
        <v>#NAME?</v>
      </c>
      <c r="I168" s="537" t="e">
        <f t="shared" si="44"/>
        <v>#NAME?</v>
      </c>
      <c r="J168" s="537" t="e">
        <f t="shared" si="44"/>
        <v>#NAME?</v>
      </c>
      <c r="K168" s="537" t="e">
        <f t="shared" si="44"/>
        <v>#NAME?</v>
      </c>
      <c r="L168" s="537" t="e">
        <f t="shared" si="44"/>
        <v>#NAME?</v>
      </c>
      <c r="M168" s="537" t="e">
        <f t="shared" si="44"/>
        <v>#NAME?</v>
      </c>
      <c r="N168" s="537" t="e">
        <f t="shared" si="44"/>
        <v>#NAME?</v>
      </c>
      <c r="O168" s="539"/>
      <c r="P168" s="539"/>
      <c r="Q168" s="539"/>
      <c r="R168" s="539"/>
      <c r="S168" s="68"/>
    </row>
    <row r="169" spans="2:19" ht="15" thickBot="1" x14ac:dyDescent="0.35">
      <c r="B169" s="391"/>
      <c r="C169" s="391"/>
      <c r="D169" s="391"/>
      <c r="E169" s="391"/>
      <c r="F169" s="391"/>
      <c r="G169" s="391"/>
      <c r="H169" s="538"/>
      <c r="I169" s="538"/>
      <c r="J169" s="538"/>
      <c r="K169" s="538"/>
      <c r="L169" s="538"/>
      <c r="M169" s="538"/>
      <c r="N169" s="538"/>
      <c r="O169" s="539"/>
      <c r="P169" s="539"/>
      <c r="Q169" s="539"/>
      <c r="R169" s="539"/>
      <c r="S169" s="68"/>
    </row>
    <row r="170" spans="2:19" ht="15" thickBot="1" x14ac:dyDescent="0.35">
      <c r="B170" s="391" t="s">
        <v>28</v>
      </c>
      <c r="C170" s="391"/>
      <c r="D170" s="391"/>
      <c r="E170" s="391"/>
      <c r="F170" s="391"/>
      <c r="G170" s="391"/>
      <c r="H170" s="391"/>
      <c r="I170" s="391"/>
      <c r="J170" s="391"/>
      <c r="K170" s="391"/>
      <c r="L170" s="391"/>
      <c r="M170" s="391"/>
      <c r="N170" s="390">
        <f>SUMIF(O6:O165,"&lt;&gt;#N/A")</f>
        <v>0</v>
      </c>
      <c r="O170" s="390"/>
      <c r="P170" s="390"/>
      <c r="Q170" s="390"/>
      <c r="R170" s="390"/>
      <c r="S170" s="66"/>
    </row>
    <row r="171" spans="2:19" ht="15" thickBot="1" x14ac:dyDescent="0.35">
      <c r="B171" s="391"/>
      <c r="C171" s="391"/>
      <c r="D171" s="391"/>
      <c r="E171" s="391"/>
      <c r="F171" s="391"/>
      <c r="G171" s="391"/>
      <c r="H171" s="391"/>
      <c r="I171" s="391"/>
      <c r="J171" s="391"/>
      <c r="K171" s="391"/>
      <c r="L171" s="391"/>
      <c r="M171" s="391"/>
      <c r="N171" s="390"/>
      <c r="O171" s="390"/>
      <c r="P171" s="390"/>
      <c r="Q171" s="390"/>
      <c r="R171" s="390"/>
      <c r="S171" s="66"/>
    </row>
    <row r="172" spans="2:19" ht="15" thickBot="1" x14ac:dyDescent="0.35">
      <c r="B172" s="391" t="s">
        <v>29</v>
      </c>
      <c r="C172" s="391"/>
      <c r="D172" s="391"/>
      <c r="E172" s="391"/>
      <c r="F172" s="391"/>
      <c r="G172" s="391"/>
      <c r="H172" s="391"/>
      <c r="I172" s="391"/>
      <c r="J172" s="391"/>
      <c r="K172" s="391"/>
      <c r="L172" s="391"/>
      <c r="M172" s="391"/>
      <c r="N172" s="391"/>
      <c r="O172" s="390">
        <f>SUMIF(P6:P165,"&lt;&gt;#N/A")</f>
        <v>0</v>
      </c>
      <c r="P172" s="390"/>
      <c r="Q172" s="390"/>
      <c r="R172" s="390"/>
      <c r="S172" s="66"/>
    </row>
    <row r="173" spans="2:19" ht="15" thickBot="1" x14ac:dyDescent="0.35">
      <c r="B173" s="391"/>
      <c r="C173" s="391"/>
      <c r="D173" s="391"/>
      <c r="E173" s="391"/>
      <c r="F173" s="391"/>
      <c r="G173" s="391"/>
      <c r="H173" s="391"/>
      <c r="I173" s="391"/>
      <c r="J173" s="391"/>
      <c r="K173" s="391"/>
      <c r="L173" s="391"/>
      <c r="M173" s="391"/>
      <c r="N173" s="391"/>
      <c r="O173" s="390"/>
      <c r="P173" s="390"/>
      <c r="Q173" s="390"/>
      <c r="R173" s="390"/>
      <c r="S173" s="66"/>
    </row>
    <row r="174" spans="2:19" ht="15" thickBot="1" x14ac:dyDescent="0.35">
      <c r="B174" s="391" t="s">
        <v>44</v>
      </c>
      <c r="C174" s="391"/>
      <c r="D174" s="391"/>
      <c r="E174" s="391"/>
      <c r="F174" s="391"/>
      <c r="G174" s="391"/>
      <c r="H174" s="391"/>
      <c r="I174" s="391"/>
      <c r="J174" s="391"/>
      <c r="K174" s="391"/>
      <c r="L174" s="391"/>
      <c r="M174" s="391"/>
      <c r="N174" s="391"/>
      <c r="O174" s="391"/>
      <c r="P174" s="390">
        <f>SUMIF(Q6:Q165,"&lt;&gt;#N/A")</f>
        <v>0</v>
      </c>
      <c r="Q174" s="390"/>
      <c r="R174" s="390"/>
      <c r="S174" s="67"/>
    </row>
    <row r="175" spans="2:19" ht="15" thickBot="1" x14ac:dyDescent="0.35">
      <c r="B175" s="540"/>
      <c r="C175" s="540"/>
      <c r="D175" s="540"/>
      <c r="E175" s="540"/>
      <c r="F175" s="540"/>
      <c r="G175" s="540"/>
      <c r="H175" s="540"/>
      <c r="I175" s="540"/>
      <c r="J175" s="540"/>
      <c r="K175" s="540"/>
      <c r="L175" s="540"/>
      <c r="M175" s="540"/>
      <c r="N175" s="540"/>
      <c r="O175" s="540"/>
      <c r="P175" s="541"/>
      <c r="Q175" s="541"/>
      <c r="R175" s="541"/>
      <c r="S175" s="67"/>
    </row>
    <row r="176" spans="2:19" ht="15" thickTop="1" x14ac:dyDescent="0.3"/>
  </sheetData>
  <sheetProtection selectLockedCells="1"/>
  <mergeCells count="311">
    <mergeCell ref="B174:O175"/>
    <mergeCell ref="P174:R175"/>
    <mergeCell ref="AZ73:BK73"/>
    <mergeCell ref="BL73:BO73"/>
    <mergeCell ref="AZ74:BL74"/>
    <mergeCell ref="BM74:BO74"/>
    <mergeCell ref="AZ75:BL75"/>
    <mergeCell ref="BM75:BO75"/>
    <mergeCell ref="T145:X145"/>
    <mergeCell ref="Y145:AE145"/>
    <mergeCell ref="T146:Z146"/>
    <mergeCell ref="AA146:AE146"/>
    <mergeCell ref="T147:Z147"/>
    <mergeCell ref="AA147:AE147"/>
    <mergeCell ref="T148:AA148"/>
    <mergeCell ref="AB148:AE148"/>
    <mergeCell ref="T149:AB149"/>
    <mergeCell ref="AC149:AE149"/>
    <mergeCell ref="T150:AC150"/>
    <mergeCell ref="AD150:AE150"/>
    <mergeCell ref="B166:G167"/>
    <mergeCell ref="H166:H167"/>
    <mergeCell ref="I166:I167"/>
    <mergeCell ref="J166:J167"/>
    <mergeCell ref="AZ67:BE67"/>
    <mergeCell ref="BF67:BO67"/>
    <mergeCell ref="AZ68:BF68"/>
    <mergeCell ref="BG68:BO68"/>
    <mergeCell ref="AF69:AF70"/>
    <mergeCell ref="AU69:AU70"/>
    <mergeCell ref="AV69:AV70"/>
    <mergeCell ref="AZ69:BG69"/>
    <mergeCell ref="BH69:BO69"/>
    <mergeCell ref="AZ70:BH70"/>
    <mergeCell ref="BI70:BO70"/>
    <mergeCell ref="AF71:AH72"/>
    <mergeCell ref="AI71:AL72"/>
    <mergeCell ref="AZ71:BI71"/>
    <mergeCell ref="BJ71:BO71"/>
    <mergeCell ref="AZ72:BJ72"/>
    <mergeCell ref="BK72:BO72"/>
    <mergeCell ref="AF51:AF52"/>
    <mergeCell ref="AF53:AF54"/>
    <mergeCell ref="AF55:AF56"/>
    <mergeCell ref="AF57:AF58"/>
    <mergeCell ref="AF59:AF60"/>
    <mergeCell ref="AF61:AF62"/>
    <mergeCell ref="BA62:BO62"/>
    <mergeCell ref="AF63:AF64"/>
    <mergeCell ref="AZ63:BA63"/>
    <mergeCell ref="BB63:BO63"/>
    <mergeCell ref="AZ64:BB64"/>
    <mergeCell ref="BC64:BO64"/>
    <mergeCell ref="AF65:AF66"/>
    <mergeCell ref="AZ65:BC65"/>
    <mergeCell ref="BD65:BO65"/>
    <mergeCell ref="AZ66:BD66"/>
    <mergeCell ref="BE66:BO66"/>
    <mergeCell ref="AF67:AF68"/>
    <mergeCell ref="DU37:DY37"/>
    <mergeCell ref="CV38:DJ39"/>
    <mergeCell ref="DK38:DM39"/>
    <mergeCell ref="DO38:DU38"/>
    <mergeCell ref="DV38:DY38"/>
    <mergeCell ref="AF39:AF40"/>
    <mergeCell ref="DO39:DU39"/>
    <mergeCell ref="DV39:DY39"/>
    <mergeCell ref="DO40:DV40"/>
    <mergeCell ref="DW40:DY40"/>
    <mergeCell ref="DJ36:DM37"/>
    <mergeCell ref="AF37:AF38"/>
    <mergeCell ref="DO41:DW41"/>
    <mergeCell ref="DX41:DY41"/>
    <mergeCell ref="AF43:AF44"/>
    <mergeCell ref="AF45:AF46"/>
    <mergeCell ref="AF47:AF48"/>
    <mergeCell ref="DH30:DH31"/>
    <mergeCell ref="DI30:DI31"/>
    <mergeCell ref="DJ30:DM31"/>
    <mergeCell ref="AF31:AF32"/>
    <mergeCell ref="CV32:DB33"/>
    <mergeCell ref="DC32:DC33"/>
    <mergeCell ref="DD32:DD33"/>
    <mergeCell ref="DE32:DE33"/>
    <mergeCell ref="DF32:DF33"/>
    <mergeCell ref="DG32:DG33"/>
    <mergeCell ref="DH32:DH33"/>
    <mergeCell ref="DI32:DI33"/>
    <mergeCell ref="DJ32:DM33"/>
    <mergeCell ref="AF33:AF34"/>
    <mergeCell ref="CV34:DH35"/>
    <mergeCell ref="DI34:DM35"/>
    <mergeCell ref="AF35:AF36"/>
    <mergeCell ref="CV36:DI37"/>
    <mergeCell ref="DO37:DT37"/>
    <mergeCell ref="AF23:AF24"/>
    <mergeCell ref="BS23:BU24"/>
    <mergeCell ref="BV23:BV24"/>
    <mergeCell ref="BX23:CB24"/>
    <mergeCell ref="CC23:CC24"/>
    <mergeCell ref="AF25:AF26"/>
    <mergeCell ref="BS25:CB26"/>
    <mergeCell ref="CC25:CC26"/>
    <mergeCell ref="AF41:AF42"/>
    <mergeCell ref="AF27:AF28"/>
    <mergeCell ref="AF29:AF30"/>
    <mergeCell ref="CV30:DB31"/>
    <mergeCell ref="DC30:DC31"/>
    <mergeCell ref="DD30:DD31"/>
    <mergeCell ref="DE30:DE31"/>
    <mergeCell ref="DF30:DF31"/>
    <mergeCell ref="DG30:DG31"/>
    <mergeCell ref="BS17:BS18"/>
    <mergeCell ref="BT17:BT18"/>
    <mergeCell ref="BU17:BU18"/>
    <mergeCell ref="BV17:BV18"/>
    <mergeCell ref="BW17:BW22"/>
    <mergeCell ref="BX17:BX18"/>
    <mergeCell ref="BY17:BY18"/>
    <mergeCell ref="BZ17:BZ18"/>
    <mergeCell ref="CA17:CA18"/>
    <mergeCell ref="CB17:CB18"/>
    <mergeCell ref="CC17:CC18"/>
    <mergeCell ref="CB19:CB20"/>
    <mergeCell ref="CC19:CC20"/>
    <mergeCell ref="CB21:CB22"/>
    <mergeCell ref="CC21:CC22"/>
    <mergeCell ref="AF19:AF20"/>
    <mergeCell ref="BS19:BS20"/>
    <mergeCell ref="BT19:BT20"/>
    <mergeCell ref="BU19:BU20"/>
    <mergeCell ref="BV19:BV20"/>
    <mergeCell ref="BX19:BX20"/>
    <mergeCell ref="BY19:BY20"/>
    <mergeCell ref="BZ19:BZ20"/>
    <mergeCell ref="CA19:CA20"/>
    <mergeCell ref="AF21:AF22"/>
    <mergeCell ref="BS21:BS22"/>
    <mergeCell ref="BT21:BT22"/>
    <mergeCell ref="BU21:BU22"/>
    <mergeCell ref="BV21:BV22"/>
    <mergeCell ref="BX21:BX22"/>
    <mergeCell ref="BY21:BY22"/>
    <mergeCell ref="BZ21:BZ22"/>
    <mergeCell ref="CA21:CA22"/>
    <mergeCell ref="CB11:CB12"/>
    <mergeCell ref="CC11:CC12"/>
    <mergeCell ref="CC13:CC14"/>
    <mergeCell ref="AF15:AF16"/>
    <mergeCell ref="BS15:BS16"/>
    <mergeCell ref="BT15:BT16"/>
    <mergeCell ref="BU15:BU16"/>
    <mergeCell ref="BV15:BV16"/>
    <mergeCell ref="BX15:BX16"/>
    <mergeCell ref="BY15:BY16"/>
    <mergeCell ref="BZ15:BZ16"/>
    <mergeCell ref="CA15:CA16"/>
    <mergeCell ref="CB15:CB16"/>
    <mergeCell ref="CC15:CC16"/>
    <mergeCell ref="BS13:BS14"/>
    <mergeCell ref="BT13:BT14"/>
    <mergeCell ref="BU13:BU14"/>
    <mergeCell ref="BV13:BV14"/>
    <mergeCell ref="BX13:BX14"/>
    <mergeCell ref="BY13:BY14"/>
    <mergeCell ref="BZ13:BZ14"/>
    <mergeCell ref="CA13:CA14"/>
    <mergeCell ref="CB13:CB14"/>
    <mergeCell ref="AF11:AF12"/>
    <mergeCell ref="BS11:BS12"/>
    <mergeCell ref="BT11:BT12"/>
    <mergeCell ref="BU11:BU12"/>
    <mergeCell ref="BV11:BV12"/>
    <mergeCell ref="BX11:BX12"/>
    <mergeCell ref="BY11:BY12"/>
    <mergeCell ref="BZ11:BZ12"/>
    <mergeCell ref="CA11:CA12"/>
    <mergeCell ref="DY3:DY5"/>
    <mergeCell ref="BS5:BS6"/>
    <mergeCell ref="BT5:BT6"/>
    <mergeCell ref="BU5:BU6"/>
    <mergeCell ref="BV5:BV6"/>
    <mergeCell ref="BW5:BW16"/>
    <mergeCell ref="BX5:BX6"/>
    <mergeCell ref="BY5:BY6"/>
    <mergeCell ref="BZ5:BZ6"/>
    <mergeCell ref="CA5:CA6"/>
    <mergeCell ref="CB5:CB6"/>
    <mergeCell ref="CC5:CC6"/>
    <mergeCell ref="BS7:BS8"/>
    <mergeCell ref="BT7:BT8"/>
    <mergeCell ref="BU7:BU8"/>
    <mergeCell ref="BV7:BV8"/>
    <mergeCell ref="BS9:BS10"/>
    <mergeCell ref="BT9:BT10"/>
    <mergeCell ref="BU9:BU10"/>
    <mergeCell ref="BV9:BV10"/>
    <mergeCell ref="CV3:CV5"/>
    <mergeCell ref="BV3:BV4"/>
    <mergeCell ref="BW3:BW4"/>
    <mergeCell ref="BX3:BX4"/>
    <mergeCell ref="DK3:DK5"/>
    <mergeCell ref="BX7:BX8"/>
    <mergeCell ref="BY7:BY8"/>
    <mergeCell ref="BX9:BX10"/>
    <mergeCell ref="BY9:BY10"/>
    <mergeCell ref="BZ9:BZ10"/>
    <mergeCell ref="CA9:CA10"/>
    <mergeCell ref="CB9:CB10"/>
    <mergeCell ref="CC9:CC10"/>
    <mergeCell ref="BZ7:BZ8"/>
    <mergeCell ref="CA7:CA8"/>
    <mergeCell ref="CB7:CB8"/>
    <mergeCell ref="CC7:CC8"/>
    <mergeCell ref="DL3:DL5"/>
    <mergeCell ref="DM3:DM5"/>
    <mergeCell ref="DO3:DO5"/>
    <mergeCell ref="DP3:DP5"/>
    <mergeCell ref="DQ3:DQ5"/>
    <mergeCell ref="DR3:DR5"/>
    <mergeCell ref="CV1:DM2"/>
    <mergeCell ref="DO1:DY2"/>
    <mergeCell ref="CW3:CW5"/>
    <mergeCell ref="CX3:CX5"/>
    <mergeCell ref="CY3:CY5"/>
    <mergeCell ref="CZ3:CZ5"/>
    <mergeCell ref="DA3:DA5"/>
    <mergeCell ref="DB3:DB5"/>
    <mergeCell ref="DC3:DH4"/>
    <mergeCell ref="DI3:DI5"/>
    <mergeCell ref="DJ3:DJ5"/>
    <mergeCell ref="DS3:DS5"/>
    <mergeCell ref="DT3:DT5"/>
    <mergeCell ref="DU3:DU5"/>
    <mergeCell ref="DV3:DV5"/>
    <mergeCell ref="DW3:DW5"/>
    <mergeCell ref="DX3:DX5"/>
    <mergeCell ref="C3:C5"/>
    <mergeCell ref="D3:D5"/>
    <mergeCell ref="E3:E5"/>
    <mergeCell ref="F3:F5"/>
    <mergeCell ref="H3:M4"/>
    <mergeCell ref="N3:N5"/>
    <mergeCell ref="V3:V5"/>
    <mergeCell ref="W3:W5"/>
    <mergeCell ref="X3:X5"/>
    <mergeCell ref="Y3:Y5"/>
    <mergeCell ref="AB3:AB5"/>
    <mergeCell ref="AC3:AC5"/>
    <mergeCell ref="AD3:AD5"/>
    <mergeCell ref="AE3:AE5"/>
    <mergeCell ref="AF3:AF6"/>
    <mergeCell ref="AG3:AM5"/>
    <mergeCell ref="AN3:AT5"/>
    <mergeCell ref="AU3:AU6"/>
    <mergeCell ref="M166:M167"/>
    <mergeCell ref="N166:N167"/>
    <mergeCell ref="O166:R167"/>
    <mergeCell ref="B168:G169"/>
    <mergeCell ref="H168:H169"/>
    <mergeCell ref="I168:I169"/>
    <mergeCell ref="J168:J169"/>
    <mergeCell ref="K168:K169"/>
    <mergeCell ref="L168:L169"/>
    <mergeCell ref="M168:M169"/>
    <mergeCell ref="N168:N169"/>
    <mergeCell ref="O168:R169"/>
    <mergeCell ref="BM3:BM5"/>
    <mergeCell ref="AF1:AV2"/>
    <mergeCell ref="AZ1:BQ2"/>
    <mergeCell ref="BS1:CC2"/>
    <mergeCell ref="BY3:BY4"/>
    <mergeCell ref="BZ3:BZ4"/>
    <mergeCell ref="CA3:CA4"/>
    <mergeCell ref="CB3:CB4"/>
    <mergeCell ref="CC3:CC4"/>
    <mergeCell ref="BB3:BB5"/>
    <mergeCell ref="AV3:AV6"/>
    <mergeCell ref="AZ3:AZ5"/>
    <mergeCell ref="BD3:BI4"/>
    <mergeCell ref="BJ3:BL4"/>
    <mergeCell ref="BN3:BN5"/>
    <mergeCell ref="BO3:BO5"/>
    <mergeCell ref="BS3:BS4"/>
    <mergeCell ref="BT3:BT4"/>
    <mergeCell ref="BU3:BU4"/>
    <mergeCell ref="BC3:BC5"/>
    <mergeCell ref="B170:M171"/>
    <mergeCell ref="N170:R171"/>
    <mergeCell ref="B172:N173"/>
    <mergeCell ref="O172:R173"/>
    <mergeCell ref="B1:R2"/>
    <mergeCell ref="T1:AE2"/>
    <mergeCell ref="AF49:AF50"/>
    <mergeCell ref="O3:O5"/>
    <mergeCell ref="BA3:BA5"/>
    <mergeCell ref="AF7:AF8"/>
    <mergeCell ref="AF9:AF10"/>
    <mergeCell ref="AF13:AF14"/>
    <mergeCell ref="AF17:AF18"/>
    <mergeCell ref="B3:B5"/>
    <mergeCell ref="G3:G5"/>
    <mergeCell ref="Z3:Z5"/>
    <mergeCell ref="P3:P5"/>
    <mergeCell ref="Q3:Q5"/>
    <mergeCell ref="R3:R5"/>
    <mergeCell ref="T3:T5"/>
    <mergeCell ref="U3:U5"/>
    <mergeCell ref="AA3:AA5"/>
    <mergeCell ref="K166:K167"/>
    <mergeCell ref="L166:L167"/>
  </mergeCells>
  <printOptions horizontalCentered="1" verticalCentered="1"/>
  <pageMargins left="3.937007874015748E-2" right="3.937007874015748E-2" top="0.35433070866141736" bottom="0.35433070866141736" header="0" footer="0.31496062992125984"/>
  <pageSetup paperSize="9" scale="74" orientation="landscape" r:id="rId1"/>
  <rowBreaks count="1" manualBreakCount="1">
    <brk id="126" max="128" man="1"/>
  </rowBreaks>
  <colBreaks count="5" manualBreakCount="5">
    <brk id="19" max="1048575" man="1"/>
    <brk id="48" max="1048575" man="1"/>
    <brk id="69" max="174" man="1"/>
    <brk id="81" max="1048575" man="1"/>
    <brk id="118" max="1048575" man="1"/>
  </col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2DC9452-F354-432B-8793-774655FE8FD9}">
          <x14:formula1>
            <xm:f>'BASE '!$P$112:$P$118</xm:f>
          </x14:formula1>
          <xm:sqref>DA6:DA29 F6:F169</xm:sqref>
        </x14:dataValidation>
        <x14:dataValidation type="list" allowBlank="1" showInputMessage="1" showErrorMessage="1" xr:uid="{5FCC7A64-DAD0-41EB-9CA1-1C0A9C2C3C9B}">
          <x14:formula1>
            <xm:f>'BASE '!$O$112:$O$123</xm:f>
          </x14:formula1>
          <xm:sqref>CZ6:CZ29 E6:E169</xm:sqref>
        </x14:dataValidation>
        <x14:dataValidation type="list" allowBlank="1" showInputMessage="1" showErrorMessage="1" xr:uid="{D18D78E6-0C45-4E52-9A66-1FFA2434AD69}">
          <x14:formula1>
            <xm:f>'BASE '!$O$112:$O$120</xm:f>
          </x14:formula1>
          <xm:sqref>W1:X1 DR1:DT1</xm:sqref>
        </x14:dataValidation>
        <x14:dataValidation type="list" allowBlank="1" showInputMessage="1" showErrorMessage="1" xr:uid="{227283CA-8056-449A-BBC2-49D6EDA5BAAE}">
          <x14:formula1>
            <xm:f>'BASE '!$A$5:$A$144</xm:f>
          </x14:formula1>
          <xm:sqref>U6:U144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D679D-1CA1-48BE-B0B4-6E7638691F69}">
  <sheetPr codeName="Feuil8"/>
  <dimension ref="B1:DY176"/>
  <sheetViews>
    <sheetView view="pageBreakPreview" topLeftCell="CZ1" zoomScale="60" zoomScaleNormal="100" workbookViewId="0">
      <selection activeCell="DX42" sqref="DX42"/>
    </sheetView>
  </sheetViews>
  <sheetFormatPr baseColWidth="10" defaultColWidth="0" defaultRowHeight="14.4" x14ac:dyDescent="0.3"/>
  <cols>
    <col min="1" max="1" width="4.88671875" customWidth="1"/>
    <col min="2" max="2" width="8.5546875" customWidth="1"/>
    <col min="3" max="3" width="10" customWidth="1"/>
    <col min="4" max="4" width="20.109375" customWidth="1"/>
    <col min="5" max="5" width="10" customWidth="1"/>
    <col min="6" max="6" width="7" customWidth="1"/>
    <col min="7" max="7" width="4.88671875" customWidth="1"/>
    <col min="8" max="13" width="3.5546875" customWidth="1"/>
    <col min="14" max="14" width="4.6640625" customWidth="1"/>
    <col min="15" max="18" width="12.5546875" customWidth="1"/>
    <col min="19" max="19" width="4.88671875" customWidth="1"/>
    <col min="20" max="20" width="8" customWidth="1"/>
    <col min="21" max="21" width="12" customWidth="1"/>
    <col min="22" max="22" width="15" customWidth="1"/>
    <col min="23" max="23" width="10" customWidth="1"/>
    <col min="24" max="24" width="12" customWidth="1"/>
    <col min="25" max="25" width="13.5546875" customWidth="1"/>
    <col min="26" max="26" width="6.88671875" customWidth="1"/>
    <col min="27" max="31" width="12" customWidth="1"/>
    <col min="32" max="32" width="20" customWidth="1"/>
    <col min="33" max="46" width="6" customWidth="1"/>
    <col min="47" max="48" width="15" customWidth="1"/>
    <col min="52" max="52" width="10" customWidth="1"/>
    <col min="53" max="55" width="12.5546875" customWidth="1"/>
    <col min="56" max="64" width="5" customWidth="1"/>
    <col min="65" max="66" width="9.6640625" customWidth="1"/>
    <col min="67" max="67" width="15" customWidth="1"/>
    <col min="70" max="70" width="20" customWidth="1"/>
    <col min="71" max="73" width="12.5546875" customWidth="1"/>
    <col min="74" max="75" width="15" customWidth="1"/>
    <col min="76" max="80" width="12.33203125" customWidth="1"/>
    <col min="81" max="81" width="15" customWidth="1"/>
    <col min="99" max="99" width="4.88671875" customWidth="1"/>
    <col min="100" max="100" width="8.5546875" customWidth="1"/>
    <col min="101" max="101" width="10" customWidth="1"/>
    <col min="102" max="102" width="15" customWidth="1"/>
    <col min="103" max="104" width="10" customWidth="1"/>
    <col min="105" max="105" width="6" customWidth="1"/>
    <col min="106" max="106" width="4.88671875" customWidth="1"/>
    <col min="107" max="112" width="3.5546875" customWidth="1"/>
    <col min="113" max="113" width="4.6640625" customWidth="1"/>
    <col min="114" max="117" width="12.5546875" customWidth="1"/>
    <col min="118" max="118" width="4.88671875" customWidth="1"/>
    <col min="119" max="119" width="10" customWidth="1"/>
    <col min="120" max="121" width="20" customWidth="1"/>
    <col min="122" max="122" width="12.5546875" customWidth="1"/>
    <col min="123" max="123" width="10" customWidth="1"/>
    <col min="124" max="129" width="15" customWidth="1"/>
  </cols>
  <sheetData>
    <row r="1" spans="2:129" ht="14.1" customHeight="1" thickTop="1" thickBot="1" x14ac:dyDescent="0.35">
      <c r="B1" s="546" t="s">
        <v>27</v>
      </c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8"/>
      <c r="S1" s="165"/>
      <c r="T1" s="443" t="s">
        <v>22</v>
      </c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5"/>
      <c r="AF1" s="400" t="s">
        <v>21</v>
      </c>
      <c r="AG1" s="400"/>
      <c r="AH1" s="400"/>
      <c r="AI1" s="400"/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76"/>
      <c r="AX1" s="76"/>
      <c r="AY1" s="93"/>
      <c r="AZ1" s="482" t="s">
        <v>55</v>
      </c>
      <c r="BA1" s="482"/>
      <c r="BB1" s="482"/>
      <c r="BC1" s="482"/>
      <c r="BD1" s="482"/>
      <c r="BE1" s="482"/>
      <c r="BF1" s="482"/>
      <c r="BG1" s="482"/>
      <c r="BH1" s="482"/>
      <c r="BI1" s="482"/>
      <c r="BJ1" s="482"/>
      <c r="BK1" s="482"/>
      <c r="BL1" s="482"/>
      <c r="BM1" s="482"/>
      <c r="BN1" s="482"/>
      <c r="BO1" s="482"/>
      <c r="BP1" s="482"/>
      <c r="BQ1" s="482"/>
      <c r="BR1" s="145"/>
      <c r="BS1" s="511" t="s">
        <v>24</v>
      </c>
      <c r="BT1" s="511"/>
      <c r="BU1" s="511"/>
      <c r="BV1" s="511"/>
      <c r="BW1" s="511"/>
      <c r="BX1" s="511"/>
      <c r="BY1" s="511"/>
      <c r="BZ1" s="511"/>
      <c r="CA1" s="511"/>
      <c r="CB1" s="511"/>
      <c r="CC1" s="511"/>
      <c r="CD1" s="133"/>
      <c r="CE1" s="133"/>
      <c r="CF1" s="133"/>
      <c r="CG1" s="133"/>
      <c r="CH1" s="133"/>
      <c r="CI1" s="133"/>
      <c r="CJ1" s="133"/>
      <c r="CK1" s="133"/>
      <c r="CL1" s="133"/>
      <c r="CM1" s="133"/>
      <c r="CN1" s="133"/>
      <c r="CO1" s="133"/>
      <c r="CP1" s="133"/>
      <c r="CQ1" s="133"/>
      <c r="CR1" s="133"/>
      <c r="CS1" s="133"/>
      <c r="CT1" s="133"/>
      <c r="CU1" s="136"/>
      <c r="CV1" s="546" t="s">
        <v>179</v>
      </c>
      <c r="CW1" s="547"/>
      <c r="CX1" s="547"/>
      <c r="CY1" s="547"/>
      <c r="CZ1" s="547"/>
      <c r="DA1" s="547"/>
      <c r="DB1" s="547"/>
      <c r="DC1" s="547"/>
      <c r="DD1" s="547"/>
      <c r="DE1" s="547"/>
      <c r="DF1" s="547"/>
      <c r="DG1" s="547"/>
      <c r="DH1" s="547"/>
      <c r="DI1" s="547"/>
      <c r="DJ1" s="547"/>
      <c r="DK1" s="547"/>
      <c r="DL1" s="547"/>
      <c r="DM1" s="548"/>
      <c r="DO1" s="443" t="s">
        <v>23</v>
      </c>
      <c r="DP1" s="444"/>
      <c r="DQ1" s="444"/>
      <c r="DR1" s="444"/>
      <c r="DS1" s="444"/>
      <c r="DT1" s="444"/>
      <c r="DU1" s="444"/>
      <c r="DV1" s="444"/>
      <c r="DW1" s="444"/>
      <c r="DX1" s="444"/>
      <c r="DY1" s="445"/>
    </row>
    <row r="2" spans="2:129" ht="14.1" customHeight="1" thickBot="1" x14ac:dyDescent="0.35">
      <c r="B2" s="446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8"/>
      <c r="S2" s="165"/>
      <c r="T2" s="446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8"/>
      <c r="AF2" s="400"/>
      <c r="AG2" s="400"/>
      <c r="AH2" s="400"/>
      <c r="AI2" s="400"/>
      <c r="AJ2" s="400"/>
      <c r="AK2" s="400"/>
      <c r="AL2" s="400"/>
      <c r="AM2" s="400"/>
      <c r="AN2" s="400"/>
      <c r="AO2" s="400"/>
      <c r="AP2" s="400"/>
      <c r="AQ2" s="400"/>
      <c r="AR2" s="400"/>
      <c r="AS2" s="400"/>
      <c r="AT2" s="400"/>
      <c r="AU2" s="400"/>
      <c r="AV2" s="400"/>
      <c r="AW2" s="77"/>
      <c r="AX2" s="77"/>
      <c r="AY2" s="77"/>
      <c r="AZ2" s="482"/>
      <c r="BA2" s="482"/>
      <c r="BB2" s="482"/>
      <c r="BC2" s="482"/>
      <c r="BD2" s="482"/>
      <c r="BE2" s="482"/>
      <c r="BF2" s="482"/>
      <c r="BG2" s="482"/>
      <c r="BH2" s="482"/>
      <c r="BI2" s="482"/>
      <c r="BJ2" s="482"/>
      <c r="BK2" s="482"/>
      <c r="BL2" s="482"/>
      <c r="BM2" s="482"/>
      <c r="BN2" s="482"/>
      <c r="BO2" s="482"/>
      <c r="BP2" s="482"/>
      <c r="BQ2" s="482"/>
      <c r="BR2" s="145"/>
      <c r="BS2" s="511"/>
      <c r="BT2" s="511"/>
      <c r="BU2" s="511"/>
      <c r="BV2" s="511"/>
      <c r="BW2" s="511"/>
      <c r="BX2" s="511"/>
      <c r="BY2" s="511"/>
      <c r="BZ2" s="511"/>
      <c r="CA2" s="511"/>
      <c r="CB2" s="511"/>
      <c r="CC2" s="511"/>
      <c r="CD2" s="133"/>
      <c r="CE2" s="133"/>
      <c r="CF2" s="133"/>
      <c r="CG2" s="133"/>
      <c r="CH2" s="133"/>
      <c r="CI2" s="133"/>
      <c r="CJ2" s="133"/>
      <c r="CK2" s="133"/>
      <c r="CL2" s="133"/>
      <c r="CM2" s="133"/>
      <c r="CN2" s="133"/>
      <c r="CO2" s="133"/>
      <c r="CP2" s="133"/>
      <c r="CQ2" s="133"/>
      <c r="CR2" s="133"/>
      <c r="CS2" s="133"/>
      <c r="CT2" s="133"/>
      <c r="CU2" s="136"/>
      <c r="CV2" s="446"/>
      <c r="CW2" s="447"/>
      <c r="CX2" s="447"/>
      <c r="CY2" s="447"/>
      <c r="CZ2" s="447"/>
      <c r="DA2" s="447"/>
      <c r="DB2" s="447"/>
      <c r="DC2" s="447"/>
      <c r="DD2" s="447"/>
      <c r="DE2" s="447"/>
      <c r="DF2" s="447"/>
      <c r="DG2" s="447"/>
      <c r="DH2" s="447"/>
      <c r="DI2" s="447"/>
      <c r="DJ2" s="447"/>
      <c r="DK2" s="447"/>
      <c r="DL2" s="447"/>
      <c r="DM2" s="448"/>
      <c r="DN2" s="130"/>
      <c r="DO2" s="446"/>
      <c r="DP2" s="447"/>
      <c r="DQ2" s="447"/>
      <c r="DR2" s="447"/>
      <c r="DS2" s="447"/>
      <c r="DT2" s="447"/>
      <c r="DU2" s="447"/>
      <c r="DV2" s="447"/>
      <c r="DW2" s="447"/>
      <c r="DX2" s="447"/>
      <c r="DY2" s="448"/>
    </row>
    <row r="3" spans="2:129" ht="14.1" customHeight="1" thickBot="1" x14ac:dyDescent="0.35">
      <c r="B3" s="395" t="s">
        <v>0</v>
      </c>
      <c r="C3" s="395" t="s">
        <v>174</v>
      </c>
      <c r="D3" s="550" t="s">
        <v>1</v>
      </c>
      <c r="E3" s="395" t="s">
        <v>25</v>
      </c>
      <c r="F3" s="560" t="s">
        <v>154</v>
      </c>
      <c r="G3" s="440" t="s">
        <v>26</v>
      </c>
      <c r="H3" s="562" t="s">
        <v>2</v>
      </c>
      <c r="I3" s="563"/>
      <c r="J3" s="563"/>
      <c r="K3" s="563"/>
      <c r="L3" s="563"/>
      <c r="M3" s="564"/>
      <c r="N3" s="568" t="s">
        <v>119</v>
      </c>
      <c r="O3" s="442" t="s">
        <v>92</v>
      </c>
      <c r="P3" s="441" t="s">
        <v>159</v>
      </c>
      <c r="Q3" s="395" t="s">
        <v>49</v>
      </c>
      <c r="R3" s="399" t="s">
        <v>106</v>
      </c>
      <c r="S3" s="69"/>
      <c r="T3" s="451" t="s">
        <v>89</v>
      </c>
      <c r="U3" s="409" t="s">
        <v>2</v>
      </c>
      <c r="V3" s="396" t="s">
        <v>30</v>
      </c>
      <c r="W3" s="426" t="s">
        <v>33</v>
      </c>
      <c r="X3" s="449" t="s">
        <v>91</v>
      </c>
      <c r="Y3" s="453" t="s">
        <v>92</v>
      </c>
      <c r="Z3" s="453" t="s">
        <v>31</v>
      </c>
      <c r="AA3" s="426" t="s">
        <v>90</v>
      </c>
      <c r="AB3" s="396" t="s">
        <v>18</v>
      </c>
      <c r="AC3" s="396" t="s">
        <v>32</v>
      </c>
      <c r="AD3" s="396" t="s">
        <v>19</v>
      </c>
      <c r="AE3" s="449" t="s">
        <v>34</v>
      </c>
      <c r="AF3" s="558" t="s">
        <v>3</v>
      </c>
      <c r="AG3" s="558" t="s">
        <v>123</v>
      </c>
      <c r="AH3" s="558"/>
      <c r="AI3" s="558"/>
      <c r="AJ3" s="558"/>
      <c r="AK3" s="558"/>
      <c r="AL3" s="558"/>
      <c r="AM3" s="558"/>
      <c r="AN3" s="558" t="s">
        <v>10</v>
      </c>
      <c r="AO3" s="558"/>
      <c r="AP3" s="558"/>
      <c r="AQ3" s="558"/>
      <c r="AR3" s="558"/>
      <c r="AS3" s="558"/>
      <c r="AT3" s="558"/>
      <c r="AU3" s="554" t="s">
        <v>92</v>
      </c>
      <c r="AV3" s="554" t="s">
        <v>49</v>
      </c>
      <c r="AW3" s="43"/>
      <c r="AX3" s="43"/>
      <c r="AY3" s="43"/>
      <c r="AZ3" s="483" t="s">
        <v>0</v>
      </c>
      <c r="BA3" s="486" t="s">
        <v>57</v>
      </c>
      <c r="BB3" s="428" t="s">
        <v>56</v>
      </c>
      <c r="BC3" s="428" t="s">
        <v>58</v>
      </c>
      <c r="BD3" s="486" t="s">
        <v>172</v>
      </c>
      <c r="BE3" s="489"/>
      <c r="BF3" s="489"/>
      <c r="BG3" s="489"/>
      <c r="BH3" s="489"/>
      <c r="BI3" s="490"/>
      <c r="BJ3" s="486" t="s">
        <v>173</v>
      </c>
      <c r="BK3" s="489"/>
      <c r="BL3" s="490"/>
      <c r="BM3" s="428" t="s">
        <v>171</v>
      </c>
      <c r="BN3" s="428" t="s">
        <v>161</v>
      </c>
      <c r="BO3" s="483" t="s">
        <v>59</v>
      </c>
      <c r="BP3" s="167"/>
      <c r="BQ3" s="12"/>
      <c r="BR3" s="12"/>
      <c r="BS3" s="376" t="s">
        <v>11</v>
      </c>
      <c r="BT3" s="376" t="s">
        <v>4</v>
      </c>
      <c r="BU3" s="376" t="s">
        <v>187</v>
      </c>
      <c r="BV3" s="376" t="s">
        <v>188</v>
      </c>
      <c r="BW3" s="376"/>
      <c r="BX3" s="376" t="s">
        <v>11</v>
      </c>
      <c r="BY3" s="376" t="s">
        <v>189</v>
      </c>
      <c r="BZ3" s="376" t="s">
        <v>190</v>
      </c>
      <c r="CA3" s="376" t="s">
        <v>191</v>
      </c>
      <c r="CB3" s="376" t="s">
        <v>187</v>
      </c>
      <c r="CC3" s="376" t="s">
        <v>188</v>
      </c>
      <c r="CV3" s="395" t="s">
        <v>0</v>
      </c>
      <c r="CW3" s="395" t="s">
        <v>174</v>
      </c>
      <c r="CX3" s="550" t="s">
        <v>1</v>
      </c>
      <c r="CY3" s="550" t="s">
        <v>185</v>
      </c>
      <c r="CZ3" s="395" t="s">
        <v>25</v>
      </c>
      <c r="DA3" s="560" t="s">
        <v>154</v>
      </c>
      <c r="DB3" s="440" t="s">
        <v>26</v>
      </c>
      <c r="DC3" s="562" t="s">
        <v>2</v>
      </c>
      <c r="DD3" s="563"/>
      <c r="DE3" s="563"/>
      <c r="DF3" s="563"/>
      <c r="DG3" s="563"/>
      <c r="DH3" s="564"/>
      <c r="DI3" s="568" t="s">
        <v>119</v>
      </c>
      <c r="DJ3" s="442" t="s">
        <v>92</v>
      </c>
      <c r="DK3" s="441" t="s">
        <v>159</v>
      </c>
      <c r="DL3" s="395" t="s">
        <v>49</v>
      </c>
      <c r="DM3" s="399" t="s">
        <v>106</v>
      </c>
      <c r="DN3" s="69"/>
      <c r="DO3" s="409" t="s">
        <v>89</v>
      </c>
      <c r="DP3" s="409" t="s">
        <v>2</v>
      </c>
      <c r="DQ3" s="396" t="s">
        <v>30</v>
      </c>
      <c r="DR3" s="426" t="s">
        <v>33</v>
      </c>
      <c r="DS3" s="426" t="s">
        <v>185</v>
      </c>
      <c r="DT3" s="449" t="s">
        <v>91</v>
      </c>
      <c r="DU3" s="453" t="s">
        <v>92</v>
      </c>
      <c r="DV3" s="396" t="s">
        <v>18</v>
      </c>
      <c r="DW3" s="396" t="s">
        <v>32</v>
      </c>
      <c r="DX3" s="396" t="s">
        <v>19</v>
      </c>
      <c r="DY3" s="449" t="s">
        <v>34</v>
      </c>
    </row>
    <row r="4" spans="2:129" ht="14.1" customHeight="1" thickBot="1" x14ac:dyDescent="0.35">
      <c r="B4" s="395"/>
      <c r="C4" s="395"/>
      <c r="D4" s="559"/>
      <c r="E4" s="395"/>
      <c r="F4" s="561"/>
      <c r="G4" s="440"/>
      <c r="H4" s="565"/>
      <c r="I4" s="566"/>
      <c r="J4" s="566"/>
      <c r="K4" s="566"/>
      <c r="L4" s="566"/>
      <c r="M4" s="567"/>
      <c r="N4" s="569"/>
      <c r="O4" s="442"/>
      <c r="P4" s="441"/>
      <c r="Q4" s="395"/>
      <c r="R4" s="399"/>
      <c r="S4" s="69"/>
      <c r="T4" s="452"/>
      <c r="U4" s="410"/>
      <c r="V4" s="397"/>
      <c r="W4" s="427"/>
      <c r="X4" s="450"/>
      <c r="Y4" s="454"/>
      <c r="Z4" s="454"/>
      <c r="AA4" s="427"/>
      <c r="AB4" s="397"/>
      <c r="AC4" s="397"/>
      <c r="AD4" s="397"/>
      <c r="AE4" s="450"/>
      <c r="AF4" s="558"/>
      <c r="AG4" s="558"/>
      <c r="AH4" s="558"/>
      <c r="AI4" s="558"/>
      <c r="AJ4" s="558"/>
      <c r="AK4" s="558"/>
      <c r="AL4" s="558"/>
      <c r="AM4" s="558"/>
      <c r="AN4" s="558"/>
      <c r="AO4" s="558"/>
      <c r="AP4" s="558"/>
      <c r="AQ4" s="558"/>
      <c r="AR4" s="558"/>
      <c r="AS4" s="558"/>
      <c r="AT4" s="558"/>
      <c r="AU4" s="554"/>
      <c r="AV4" s="554"/>
      <c r="AW4" s="12"/>
      <c r="AX4" s="12"/>
      <c r="AY4" s="12"/>
      <c r="AZ4" s="484"/>
      <c r="BA4" s="487"/>
      <c r="BB4" s="429"/>
      <c r="BC4" s="429"/>
      <c r="BD4" s="488"/>
      <c r="BE4" s="491"/>
      <c r="BF4" s="491"/>
      <c r="BG4" s="491"/>
      <c r="BH4" s="491"/>
      <c r="BI4" s="492"/>
      <c r="BJ4" s="488"/>
      <c r="BK4" s="491"/>
      <c r="BL4" s="492"/>
      <c r="BM4" s="429"/>
      <c r="BN4" s="429"/>
      <c r="BO4" s="484"/>
      <c r="BP4" s="167"/>
      <c r="BQ4" s="12"/>
      <c r="BR4" s="12"/>
      <c r="BS4" s="376"/>
      <c r="BT4" s="376"/>
      <c r="BU4" s="376"/>
      <c r="BV4" s="376"/>
      <c r="BW4" s="376"/>
      <c r="BX4" s="376"/>
      <c r="BY4" s="376"/>
      <c r="BZ4" s="376"/>
      <c r="CA4" s="376"/>
      <c r="CB4" s="376"/>
      <c r="CC4" s="376"/>
      <c r="CV4" s="395"/>
      <c r="CW4" s="395"/>
      <c r="CX4" s="559"/>
      <c r="CY4" s="559"/>
      <c r="CZ4" s="395"/>
      <c r="DA4" s="561"/>
      <c r="DB4" s="440"/>
      <c r="DC4" s="565"/>
      <c r="DD4" s="566"/>
      <c r="DE4" s="566"/>
      <c r="DF4" s="566"/>
      <c r="DG4" s="566"/>
      <c r="DH4" s="567"/>
      <c r="DI4" s="569"/>
      <c r="DJ4" s="442"/>
      <c r="DK4" s="441"/>
      <c r="DL4" s="395"/>
      <c r="DM4" s="399"/>
      <c r="DN4" s="69"/>
      <c r="DO4" s="410"/>
      <c r="DP4" s="410"/>
      <c r="DQ4" s="397"/>
      <c r="DR4" s="427"/>
      <c r="DS4" s="427"/>
      <c r="DT4" s="450"/>
      <c r="DU4" s="454"/>
      <c r="DV4" s="397"/>
      <c r="DW4" s="397"/>
      <c r="DX4" s="397"/>
      <c r="DY4" s="450"/>
    </row>
    <row r="5" spans="2:129" ht="14.1" customHeight="1" thickBot="1" x14ac:dyDescent="0.35">
      <c r="B5" s="550"/>
      <c r="C5" s="550"/>
      <c r="D5" s="559"/>
      <c r="E5" s="550"/>
      <c r="F5" s="561"/>
      <c r="G5" s="551"/>
      <c r="H5" s="170">
        <v>10</v>
      </c>
      <c r="I5" s="171">
        <v>25</v>
      </c>
      <c r="J5" s="171">
        <v>50</v>
      </c>
      <c r="K5" s="170">
        <v>75</v>
      </c>
      <c r="L5" s="171">
        <v>1</v>
      </c>
      <c r="M5" s="172">
        <v>5</v>
      </c>
      <c r="N5" s="569"/>
      <c r="O5" s="549"/>
      <c r="P5" s="552"/>
      <c r="Q5" s="550"/>
      <c r="R5" s="553"/>
      <c r="S5" s="69"/>
      <c r="T5" s="452"/>
      <c r="U5" s="410"/>
      <c r="V5" s="397"/>
      <c r="W5" s="427"/>
      <c r="X5" s="450"/>
      <c r="Y5" s="454"/>
      <c r="Z5" s="454"/>
      <c r="AA5" s="427"/>
      <c r="AB5" s="397"/>
      <c r="AC5" s="397"/>
      <c r="AD5" s="397"/>
      <c r="AE5" s="450"/>
      <c r="AF5" s="558"/>
      <c r="AG5" s="558"/>
      <c r="AH5" s="558"/>
      <c r="AI5" s="558"/>
      <c r="AJ5" s="558"/>
      <c r="AK5" s="558"/>
      <c r="AL5" s="558"/>
      <c r="AM5" s="558"/>
      <c r="AN5" s="558"/>
      <c r="AO5" s="558"/>
      <c r="AP5" s="558"/>
      <c r="AQ5" s="558"/>
      <c r="AR5" s="558"/>
      <c r="AS5" s="558"/>
      <c r="AT5" s="558"/>
      <c r="AU5" s="554"/>
      <c r="AV5" s="554"/>
      <c r="AW5" s="12"/>
      <c r="AX5" s="12"/>
      <c r="AY5" s="12"/>
      <c r="AZ5" s="485"/>
      <c r="BA5" s="488"/>
      <c r="BB5" s="430"/>
      <c r="BC5" s="430"/>
      <c r="BD5" s="45">
        <v>10</v>
      </c>
      <c r="BE5" s="45">
        <v>25</v>
      </c>
      <c r="BF5" s="45">
        <v>50</v>
      </c>
      <c r="BG5" s="45">
        <v>75</v>
      </c>
      <c r="BH5" s="45">
        <v>1</v>
      </c>
      <c r="BI5" s="146">
        <v>5</v>
      </c>
      <c r="BJ5" s="146">
        <v>25</v>
      </c>
      <c r="BK5" s="146">
        <v>50</v>
      </c>
      <c r="BL5" s="146">
        <v>1</v>
      </c>
      <c r="BM5" s="430"/>
      <c r="BN5" s="430"/>
      <c r="BO5" s="485"/>
      <c r="BP5" s="167"/>
      <c r="BQ5" s="12"/>
      <c r="BR5" s="12"/>
      <c r="BS5" s="577" t="s">
        <v>12</v>
      </c>
      <c r="BT5" s="504"/>
      <c r="BU5" s="525">
        <v>69</v>
      </c>
      <c r="BV5" s="578">
        <f>BU5*BT5</f>
        <v>0</v>
      </c>
      <c r="BW5" s="579" t="s">
        <v>157</v>
      </c>
      <c r="BX5" s="582">
        <v>10</v>
      </c>
      <c r="BY5" s="503">
        <f>BD65</f>
        <v>0</v>
      </c>
      <c r="BZ5" s="583" t="e">
        <f>H166</f>
        <v>#NAME?</v>
      </c>
      <c r="CA5" s="575"/>
      <c r="CB5" s="525">
        <v>800</v>
      </c>
      <c r="CC5" s="574">
        <f>BY5*CB5</f>
        <v>0</v>
      </c>
      <c r="CV5" s="395"/>
      <c r="CW5" s="395"/>
      <c r="CX5" s="570"/>
      <c r="CY5" s="570"/>
      <c r="CZ5" s="395"/>
      <c r="DA5" s="571"/>
      <c r="DB5" s="440"/>
      <c r="DC5" s="58">
        <v>10</v>
      </c>
      <c r="DD5" s="57">
        <v>25</v>
      </c>
      <c r="DE5" s="57">
        <v>50</v>
      </c>
      <c r="DF5" s="58">
        <v>75</v>
      </c>
      <c r="DG5" s="57">
        <v>1</v>
      </c>
      <c r="DH5" s="38">
        <v>5</v>
      </c>
      <c r="DI5" s="572"/>
      <c r="DJ5" s="442"/>
      <c r="DK5" s="441"/>
      <c r="DL5" s="395"/>
      <c r="DM5" s="399"/>
      <c r="DN5" s="69"/>
      <c r="DO5" s="411"/>
      <c r="DP5" s="410"/>
      <c r="DQ5" s="397"/>
      <c r="DR5" s="427"/>
      <c r="DS5" s="573"/>
      <c r="DT5" s="450"/>
      <c r="DU5" s="454"/>
      <c r="DV5" s="397"/>
      <c r="DW5" s="397"/>
      <c r="DX5" s="397"/>
      <c r="DY5" s="450"/>
    </row>
    <row r="6" spans="2:129" ht="15" customHeight="1" thickBot="1" x14ac:dyDescent="0.35">
      <c r="B6" s="173"/>
      <c r="C6" s="154"/>
      <c r="D6" s="174"/>
      <c r="E6" s="62"/>
      <c r="F6" s="175"/>
      <c r="G6" s="176"/>
      <c r="H6" s="9"/>
      <c r="I6" s="9"/>
      <c r="J6" s="9"/>
      <c r="K6" s="9"/>
      <c r="L6" s="9"/>
      <c r="M6" s="46"/>
      <c r="N6" s="32">
        <f t="shared" ref="N6:N69" si="0">((($H$5*H6)/100)+($I$5*I6)/100)+((J6*$J$5)/100)+(($K$5*K6)/100)+($L$5*L6)+($M$5*M6)</f>
        <v>0</v>
      </c>
      <c r="O6" s="177" t="b">
        <f>IF(AND(E6="CLIENT S+L",F6="HUILE"),(S6*3333.33+(VLOOKUP(H6,'BASE '!$I$112:$J$142,2,0)))-((S6*3333.33)*G6),IF(AND(E6="CLIENT S+L",F6="LAIT"),((S6*952.4)-(S6*952.4)*G6),IF(E6="CLIENT O","OFFERT",IF(AND(F6="HUILE",E6="CLIENT L"),(((VLOOKUP(H6,'BASE '!$I$112:$J$142,2,0))+(VLOOKUP(S6,'BASE '!#REF!,2,0)))),IF(AND(F6="LAIT",E6="CLIENT L"),(S6*952.4),IF(AND(F6="HUILE",E6="CLIENT D"),(S6*3809.53+(VLOOKUP(H6,'BASE '!$I$112:$J$142,2,0))),IF(AND(F6="LAIT",E6="CLIENT D"),(S6*952.4),IF(AND(F6="HUILE",E6="CLIENT S+D"),((S6*3809.53+(VLOOKUP(H6,'BASE '!$I$112:$J$142,2,0)))-((S6*3809.53)*G6)),IF(AND(F6="LAIT",E6="CLIENT S+D"),((S6*952.4)-((S6*952.4)*G6)),IF(AND(E6="CLIENT S",F6="LAIT"),((S6*952.4)-((S6*952.4)*G6)),IF(AND(F6="HUILE",E6="CLIENT S"),(VLOOKUP(H6,'BASE '!$I$112:$J$142,2,0)+(VLOOKUP(S6,'BASE '!#REF!,2,0)))-(G6*((VLOOKUP(S6,'BASE '!#REF!,2,0)+(VLOOKUP(H6,'BASE '!$I$112:$J$142,2,0))))))))))))))))</f>
        <v>0</v>
      </c>
      <c r="P6" s="177" t="b">
        <f t="shared" ref="P6:P69" si="1">IF(E6="CLIENT S+L",(O6*0.05),IF(E6="CLIENT S",(O6*0.05),IF(E6="CLIENT D",(O6*5/100),IF(E6="CLIENT L",(O6*5)/100,IF(E6="CLIENT S+D",(O6*0.05),IF(E6="CLIENT O",O6))))))</f>
        <v>0</v>
      </c>
      <c r="Q6" s="178" t="b">
        <f t="shared" ref="Q6:Q69" si="2">IF(E6="CLIENT S+L",(O6+P6),IF(E6="CLIENT D",O6+P6,IF(E6="CLIENT S",(O6+P6),IF(E6="CLIENT L",O6+P6,IF(E6="CLIENT S+D",(O6+P6),IF(E6="CLIENT O",P6))))))</f>
        <v>0</v>
      </c>
      <c r="R6" s="153" t="s">
        <v>175</v>
      </c>
      <c r="S6" s="184">
        <f>(($I$5*I6)/100)+((J6*$J$5)/100)+(($K$5*K6)/100)+($L$5*L6)+($M$5*M6)</f>
        <v>0</v>
      </c>
      <c r="T6" s="117"/>
      <c r="U6" s="118" t="s">
        <v>175</v>
      </c>
      <c r="V6" s="119" t="e">
        <f>VLOOKUP(U6,'BASE '!$A$4:$H$144,2,0)</f>
        <v>#N/A</v>
      </c>
      <c r="W6" s="161"/>
      <c r="X6" s="161"/>
      <c r="Y6" s="162"/>
      <c r="Z6" s="120" t="e">
        <f>VLOOKUP(U6,'BASE '!$A$4:$H$144,3,0)</f>
        <v>#N/A</v>
      </c>
      <c r="AA6" s="121" t="e">
        <f t="shared" ref="AA6:AA69" si="3">(Y6*Z6)/100</f>
        <v>#N/A</v>
      </c>
      <c r="AB6" s="122" t="e">
        <f>VLOOKUP(U6,'BASE '!$A$4:$H$144,6,0)*Y6/100</f>
        <v>#N/A</v>
      </c>
      <c r="AC6" s="122" t="e">
        <f>VLOOKUP(U6,'BASE '!$A$4:$H$144,7,0)*Y6/100</f>
        <v>#N/A</v>
      </c>
      <c r="AD6" s="122" t="e">
        <f>VLOOKUP(U6,'BASE '!$A$4:$H$144,8,0)*Y6/100</f>
        <v>#N/A</v>
      </c>
      <c r="AE6" s="123" t="e">
        <f>AA6+AB6+AC6+AD6</f>
        <v>#N/A</v>
      </c>
      <c r="AF6" s="558"/>
      <c r="AG6" s="144"/>
      <c r="AH6" s="144">
        <v>10</v>
      </c>
      <c r="AI6" s="144">
        <v>25</v>
      </c>
      <c r="AJ6" s="144">
        <v>50</v>
      </c>
      <c r="AK6" s="144">
        <v>75</v>
      </c>
      <c r="AL6" s="144">
        <v>1</v>
      </c>
      <c r="AM6" s="144">
        <v>5</v>
      </c>
      <c r="AN6" s="144"/>
      <c r="AO6" s="144">
        <v>10</v>
      </c>
      <c r="AP6" s="144">
        <v>25</v>
      </c>
      <c r="AQ6" s="144">
        <v>50</v>
      </c>
      <c r="AR6" s="144">
        <v>75</v>
      </c>
      <c r="AS6" s="144">
        <v>1</v>
      </c>
      <c r="AT6" s="144">
        <v>5</v>
      </c>
      <c r="AU6" s="554"/>
      <c r="AV6" s="554"/>
      <c r="AW6" s="12"/>
      <c r="AX6" s="12"/>
      <c r="AY6" s="12"/>
      <c r="AZ6" s="8"/>
      <c r="BA6" s="148"/>
      <c r="BB6" s="148"/>
      <c r="BC6" s="148"/>
      <c r="BD6" s="10"/>
      <c r="BE6" s="10"/>
      <c r="BF6" s="10"/>
      <c r="BG6" s="10"/>
      <c r="BH6" s="10"/>
      <c r="BI6" s="10"/>
      <c r="BJ6" s="10"/>
      <c r="BK6" s="10"/>
      <c r="BL6" s="10"/>
      <c r="BM6" s="147">
        <f>(BD6*0.1)+(BE6*0.25)+(BF6*0.5)+(BG6*0.75)+(BH6*1)+(BI6*5)</f>
        <v>0</v>
      </c>
      <c r="BN6" s="147">
        <f>(BJ6*0.25)+(BK6*0.5)+(BL6*1)</f>
        <v>0</v>
      </c>
      <c r="BO6" s="149"/>
      <c r="BP6" s="166"/>
      <c r="BQ6" s="12"/>
      <c r="BR6" s="12"/>
      <c r="BS6" s="476"/>
      <c r="BT6" s="481"/>
      <c r="BU6" s="475"/>
      <c r="BV6" s="545"/>
      <c r="BW6" s="580"/>
      <c r="BX6" s="576"/>
      <c r="BY6" s="497"/>
      <c r="BZ6" s="584"/>
      <c r="CA6" s="543"/>
      <c r="CB6" s="475"/>
      <c r="CC6" s="544"/>
      <c r="CV6" s="64"/>
      <c r="CW6" s="148"/>
      <c r="CX6" s="115"/>
      <c r="CY6" s="131"/>
      <c r="CZ6" s="143"/>
      <c r="DA6" s="127"/>
      <c r="DB6" s="50"/>
      <c r="DC6" s="10"/>
      <c r="DD6" s="10"/>
      <c r="DE6" s="10"/>
      <c r="DF6" s="10"/>
      <c r="DG6" s="10"/>
      <c r="DH6" s="39"/>
      <c r="DI6" s="33">
        <f t="shared" ref="DI6:DI29" si="4">((($H$5*DC6)/100)+($I$5*DD6)/100)+((DE6*$J$5)/100)+(($K$5*DF6)/100)+($L$5*DG6)+($M$5*DH6)</f>
        <v>0</v>
      </c>
      <c r="DJ6" s="52" t="b">
        <f>IF(AND(CZ6="CLIENT S+L",DA6="HUILE"),(DN6*3333.33+(VLOOKUP(DC6,'BASE '!$I$112:$J$142,2,0)))-((DN6*3333.33)*DB6),IF(AND(CZ6="CLIENT S+L",DA6="LAIT"),((DN6*952.4)-(DN6*952.4)*DB6),IF(CZ6="CLIENT O","OFFERT",IF(AND(DA6="HUILE",CZ6="CLIENT L"),(((VLOOKUP(DC6,'BASE '!$I$112:$J$142,2,0))+(VLOOKUP(DN6,'BASE '!#REF!,2,0)))),IF(AND(DA6="LAIT",CZ6="CLIENT L"),(DN6*952.4),IF(AND(DA6="HUILE",CZ6="CLIENT D"),(DN6*3809.53+(VLOOKUP(DC6,'BASE '!$I$112:$J$142,2,0))),IF(AND(DA6="LAIT",CZ6="CLIENT D"),(DN6*952.4),IF(AND(DA6="HUILE",CZ6="CLIENT S+D"),((DN6*3809.53+(VLOOKUP(DC6,'BASE '!$I$112:$J$142,2,0)))-((DN6*3809.53)*DB6)),IF(AND(DA6="LAIT",CZ6="CLIENT S+D"),((DN6*952.4)-((DN6*952.4)*DB6)),IF(AND(CZ6="CLIENT S",DA6="LAIT"),((DN6*952.4)-((DN6*952.4)*DB6)),IF(AND(DA6="HUILE",CZ6="CLIENT S"),(VLOOKUP(DC6,'BASE '!$I$112:$J$142,2,0)+(VLOOKUP(DN6,'BASE '!#REF!,2,0)))-(DB6*((VLOOKUP(DN6,'BASE '!#REF!,2,0)+(VLOOKUP(DC6,'BASE '!$I$112:$J$142,2,0))))))))))))))))</f>
        <v>0</v>
      </c>
      <c r="DK6" s="52" t="b">
        <f t="shared" ref="DK6:DK29" si="5">IF(CZ6="CLIENT S+L",(DJ6*0.05),IF(CZ6="CLIENT S",(DJ6*0.05),IF(CZ6="CLIENT D",(DJ6*5/100),IF(CZ6="CLIENT L",(DJ6*5)/100,IF(CZ6="CLIENT S+D",(DJ6*0.05),IF(CZ6="CLIENT O",DJ6))))))</f>
        <v>0</v>
      </c>
      <c r="DL6" s="53" t="b">
        <f>IF(CZ6="CLIENT S+L",(DJ6+DK6+CY6),IF(CZ6="CLIENT D",(DJ6+DK6+CY6),IF(CZ6="CLIENT S",(DJ6+DK6+CY6),IF(CZ6="CLIENT L",(DJ6+DK6+CY6),IF(CZ6="CLIENT S+D",(DJ6+DK6+CY6),IF(CZ6="CLIENT O",DK6))))))</f>
        <v>0</v>
      </c>
      <c r="DM6" s="149" t="s">
        <v>175</v>
      </c>
      <c r="DN6" s="116">
        <f>(($I$5*DD6)/100)+((DE6*$J$5)/100)+(($K$5*DF6)/100)+($L$5*DG6)+($M$5*DH6)</f>
        <v>0</v>
      </c>
      <c r="DO6" s="117"/>
      <c r="DP6" s="118" t="s">
        <v>175</v>
      </c>
      <c r="DQ6" s="119"/>
      <c r="DR6" s="161"/>
      <c r="DS6" s="161"/>
      <c r="DT6" s="161"/>
      <c r="DU6" s="162"/>
      <c r="DV6" s="122"/>
      <c r="DW6" s="122"/>
      <c r="DX6" s="122"/>
      <c r="DY6" s="123"/>
    </row>
    <row r="7" spans="2:129" ht="15" customHeight="1" x14ac:dyDescent="0.3">
      <c r="B7" s="64"/>
      <c r="C7" s="148"/>
      <c r="D7" s="109"/>
      <c r="E7" s="63"/>
      <c r="F7" s="127"/>
      <c r="G7" s="50"/>
      <c r="H7" s="10"/>
      <c r="I7" s="10"/>
      <c r="J7" s="10"/>
      <c r="K7" s="10"/>
      <c r="L7" s="10"/>
      <c r="M7" s="39"/>
      <c r="N7" s="33">
        <f t="shared" si="0"/>
        <v>0</v>
      </c>
      <c r="O7" s="52" t="b">
        <f>IF(AND(E7="CLIENT S+L",F7="HUILE"),(S7*3333.33+(VLOOKUP(H7,'BASE '!$I$112:$J$142,2,0)))-((S7*3333.33)*G7),IF(AND(E7="CLIENT S+L",F7="LAIT"),((S7*952.4)-(S7*952.4)*G7),IF(E7="CLIENT O","OFFERT",IF(AND(F7="HUILE",E7="CLIENT L"),(((VLOOKUP(H7,'BASE '!$I$112:$J$142,2,0))+(VLOOKUP(S7,'BASE '!#REF!,2,0)))),IF(AND(F7="LAIT",E7="CLIENT L"),(S7*952.4),IF(AND(F7="HUILE",E7="CLIENT D"),(S7*3809.53+(VLOOKUP(H7,'BASE '!$I$112:$J$142,2,0))),IF(AND(F7="LAIT",E7="CLIENT D"),(S7*952.4),IF(AND(F7="HUILE",E7="CLIENT S+D"),((S7*3809.53+(VLOOKUP(H7,'BASE '!$I$112:$J$142,2,0)))-((S7*3809.53)*G7)),IF(AND(F7="LAIT",E7="CLIENT S+D"),((S7*952.4)-((S7*952.4)*G7)),IF(AND(E7="CLIENT S",F7="LAIT"),((S7*952.4)-((S7*952.4)*G7)),IF(AND(F7="HUILE",E7="CLIENT S"),(VLOOKUP(H7,'BASE '!$I$112:$J$142,2,0)+(VLOOKUP(S7,'BASE '!#REF!,2,0)))-(G7*((VLOOKUP(S7,'BASE '!#REF!,2,0)+(VLOOKUP(H7,'BASE '!$I$112:$J$142,2,0))))))))))))))))</f>
        <v>0</v>
      </c>
      <c r="P7" s="52" t="b">
        <f t="shared" si="1"/>
        <v>0</v>
      </c>
      <c r="Q7" s="53" t="b">
        <f t="shared" si="2"/>
        <v>0</v>
      </c>
      <c r="R7" s="152" t="s">
        <v>175</v>
      </c>
      <c r="S7" s="184">
        <f t="shared" ref="S7:S70" si="6">(($I$5*I7)/100)+((J7*$J$5)/100)+(($K$5*K7)/100)+($L$5*L7)+($M$5*M7)</f>
        <v>0</v>
      </c>
      <c r="T7" s="124"/>
      <c r="U7" s="41" t="s">
        <v>175</v>
      </c>
      <c r="V7" s="70" t="e">
        <f>VLOOKUP(U7,'BASE '!$A$4:$H$144,2,0)</f>
        <v>#N/A</v>
      </c>
      <c r="W7" s="159"/>
      <c r="X7" s="159"/>
      <c r="Y7" s="160"/>
      <c r="Z7" s="158" t="e">
        <f>VLOOKUP(U7,'BASE '!$A$4:$H$144,3,0)</f>
        <v>#N/A</v>
      </c>
      <c r="AA7" s="94" t="e">
        <f t="shared" si="3"/>
        <v>#N/A</v>
      </c>
      <c r="AB7" s="95" t="e">
        <f>VLOOKUP(U7,'BASE '!$A$4:$H$144,6,0)*Y7/100</f>
        <v>#N/A</v>
      </c>
      <c r="AC7" s="95" t="e">
        <f>VLOOKUP(U7,'BASE '!$A$4:$H$144,7,0)*Y7/100</f>
        <v>#N/A</v>
      </c>
      <c r="AD7" s="95" t="e">
        <f>VLOOKUP(U7,'BASE '!$A$4:$H$144,8,0)*Y7/100</f>
        <v>#N/A</v>
      </c>
      <c r="AE7" s="96" t="e">
        <f t="shared" ref="AE7:AE70" si="7">AA7+AB7+AC7+AD7</f>
        <v>#N/A</v>
      </c>
      <c r="AF7" s="433" t="s">
        <v>5</v>
      </c>
      <c r="AG7" s="129" t="s">
        <v>157</v>
      </c>
      <c r="AH7" s="35" t="e">
        <f>SUMIFS($H$6:$H$165,$D$6:$D$165,AF7,CHOIX,AG7)</f>
        <v>#NAME?</v>
      </c>
      <c r="AI7" s="35" t="e">
        <f>SUMIFS($I$6:$I$165,$D$6:$D$165,AF7,CHOIX,AG7)</f>
        <v>#NAME?</v>
      </c>
      <c r="AJ7" s="35" t="e">
        <f>SUMIFS($J$6:$J$165,$D$6:$D$165,AF7,CHOIX,AG7)</f>
        <v>#NAME?</v>
      </c>
      <c r="AK7" s="35" t="e">
        <f>SUMIFS($K$6:$K$165,$D$6:$D$165,AF7,CHOIX,AG7)</f>
        <v>#NAME?</v>
      </c>
      <c r="AL7" s="35" t="e">
        <f>SUMIFS($L$6:$L$165,$D$6:$D$165,AF7,CHOIX,AG7)</f>
        <v>#NAME?</v>
      </c>
      <c r="AM7" s="35" t="e">
        <f>SUMIFS($M$6:$M$165,$D$6:$D$165,AF7,CHOIX,AG7)</f>
        <v>#NAME?</v>
      </c>
      <c r="AN7" s="90" t="s">
        <v>157</v>
      </c>
      <c r="AO7" s="81"/>
      <c r="AP7" s="62"/>
      <c r="AQ7" s="62"/>
      <c r="AR7" s="62"/>
      <c r="AS7" s="78"/>
      <c r="AT7" s="78"/>
      <c r="AU7" s="54" t="e">
        <f>SUMIFS($O$6:$O$165,$D$6:$D$165,AF7,CHOIX,AG7)</f>
        <v>#NAME?</v>
      </c>
      <c r="AV7" s="82" t="e">
        <f>SUMIFS($Q$6:$Q$165,$D$6:$D$165,AF7,CHOIX,AG7)</f>
        <v>#NAME?</v>
      </c>
      <c r="AW7" s="12"/>
      <c r="AX7" s="12"/>
      <c r="AY7" s="12"/>
      <c r="AZ7" s="8"/>
      <c r="BA7" s="148"/>
      <c r="BB7" s="148"/>
      <c r="BC7" s="148"/>
      <c r="BD7" s="10"/>
      <c r="BE7" s="10"/>
      <c r="BF7" s="10"/>
      <c r="BG7" s="10"/>
      <c r="BH7" s="10"/>
      <c r="BI7" s="10"/>
      <c r="BJ7" s="10"/>
      <c r="BK7" s="10"/>
      <c r="BL7" s="10"/>
      <c r="BM7" s="147">
        <f t="shared" ref="BM7:BM61" si="8">(BD7*0.1)+(BE7*0.25)+(BF7*0.5)+(BG7*0.75)+(BH7*1)+(BI7*5)</f>
        <v>0</v>
      </c>
      <c r="BN7" s="147">
        <f t="shared" ref="BN7:BN61" si="9">(BJ7*0.25)+(BK7*0.5)+(BL7*1)</f>
        <v>0</v>
      </c>
      <c r="BO7" s="149"/>
      <c r="BP7" s="166"/>
      <c r="BQ7" s="12"/>
      <c r="BR7" s="12"/>
      <c r="BS7" s="476" t="s">
        <v>120</v>
      </c>
      <c r="BT7" s="481"/>
      <c r="BU7" s="475">
        <v>184</v>
      </c>
      <c r="BV7" s="545">
        <f t="shared" ref="BV7" si="10">BU7*BT7</f>
        <v>0</v>
      </c>
      <c r="BW7" s="580"/>
      <c r="BX7" s="576">
        <v>25</v>
      </c>
      <c r="BY7" s="497">
        <f>BE66</f>
        <v>0</v>
      </c>
      <c r="BZ7" s="496" t="e">
        <f>I166</f>
        <v>#NAME?</v>
      </c>
      <c r="CA7" s="542"/>
      <c r="CB7" s="475">
        <v>1000</v>
      </c>
      <c r="CC7" s="544">
        <f t="shared" ref="CC7" si="11">BY7*CB7</f>
        <v>0</v>
      </c>
      <c r="CV7" s="64"/>
      <c r="CW7" s="148"/>
      <c r="CX7" s="109"/>
      <c r="CY7" s="132"/>
      <c r="CZ7" s="143"/>
      <c r="DA7" s="127"/>
      <c r="DB7" s="50"/>
      <c r="DC7" s="113"/>
      <c r="DD7" s="113"/>
      <c r="DE7" s="113"/>
      <c r="DF7" s="113"/>
      <c r="DG7" s="113"/>
      <c r="DH7" s="112"/>
      <c r="DI7" s="33">
        <f t="shared" si="4"/>
        <v>0</v>
      </c>
      <c r="DJ7" s="52" t="b">
        <f>IF(AND(CZ7="CLIENT S+L",DA7="HUILE"),(DN7*3333.33+(VLOOKUP(DC7,'BASE '!$I$112:$J$142,2,0)))-((DN7*3333.33)*DB7),IF(AND(CZ7="CLIENT S+L",DA7="LAIT"),((DN7*952.4)-(DN7*952.4)*DB7),IF(CZ7="CLIENT O","OFFERT",IF(AND(DA7="HUILE",CZ7="CLIENT L"),(((VLOOKUP(DC7,'BASE '!$I$112:$J$142,2,0))+(VLOOKUP(DN7,'BASE '!#REF!,2,0)))),IF(AND(DA7="LAIT",CZ7="CLIENT L"),(DN7*952.4),IF(AND(DA7="HUILE",CZ7="CLIENT D"),(DN7*3809.53+(VLOOKUP(DC7,'BASE '!$I$112:$J$142,2,0))),IF(AND(DA7="LAIT",CZ7="CLIENT D"),(DN7*952.4),IF(AND(DA7="HUILE",CZ7="CLIENT S+D"),((DN7*3809.53+(VLOOKUP(DC7,'BASE '!$I$112:$J$142,2,0)))-((DN7*3809.53)*DB7)),IF(AND(DA7="LAIT",CZ7="CLIENT S+D"),((DN7*952.4)-((DN7*952.4)*DB7)),IF(AND(CZ7="CLIENT S",DA7="LAIT"),((DN7*952.4)-((DN7*952.4)*DB7)),IF(AND(DA7="HUILE",CZ7="CLIENT S"),(VLOOKUP(DC7,'BASE '!$I$112:$J$142,2,0)+(VLOOKUP(DN7,'BASE '!#REF!,2,0)))-(DB7*((VLOOKUP(DN7,'BASE '!#REF!,2,0)+(VLOOKUP(DC7,'BASE '!$I$112:$J$142,2,0))))))))))))))))</f>
        <v>0</v>
      </c>
      <c r="DK7" s="52" t="b">
        <f t="shared" si="5"/>
        <v>0</v>
      </c>
      <c r="DL7" s="53" t="b">
        <f t="shared" ref="DL7:DL29" si="12">IF(CZ7="CLIENT S+L",(DJ7+DK7+CY7),IF(CZ7="CLIENT D",(DJ7+DK7+CY7),IF(CZ7="CLIENT S",(DJ7+DK7+CY7),IF(CZ7="CLIENT L",(DJ7+DK7+CY7),IF(CZ7="CLIENT S+D",(DJ7+DK7+CY7),IF(CZ7="CLIENT O",DK7))))))</f>
        <v>0</v>
      </c>
      <c r="DM7" s="149" t="s">
        <v>175</v>
      </c>
      <c r="DN7" s="116">
        <f t="shared" ref="DN7:DN28" si="13">(($I$5*DD7)/100)+((DE7*$J$5)/100)+(($K$5*DF7)/100)+($L$5*DG7)+($M$5*DH7)</f>
        <v>0</v>
      </c>
      <c r="DO7" s="124"/>
      <c r="DP7" s="41" t="s">
        <v>175</v>
      </c>
      <c r="DQ7" s="70"/>
      <c r="DR7" s="159"/>
      <c r="DS7" s="159"/>
      <c r="DT7" s="159"/>
      <c r="DU7" s="160"/>
      <c r="DV7" s="95"/>
      <c r="DW7" s="95"/>
      <c r="DX7" s="95"/>
      <c r="DY7" s="96"/>
    </row>
    <row r="8" spans="2:129" ht="15" customHeight="1" x14ac:dyDescent="0.3">
      <c r="B8" s="64"/>
      <c r="C8" s="148"/>
      <c r="D8" s="109"/>
      <c r="E8" s="63"/>
      <c r="F8" s="127"/>
      <c r="G8" s="50"/>
      <c r="H8" s="10"/>
      <c r="I8" s="10"/>
      <c r="J8" s="10"/>
      <c r="K8" s="10"/>
      <c r="L8" s="10"/>
      <c r="M8" s="39"/>
      <c r="N8" s="33">
        <f t="shared" si="0"/>
        <v>0</v>
      </c>
      <c r="O8" s="52" t="b">
        <f>IF(AND(E8="CLIENT S+L",F8="HUILE"),(S8*3333.33+(VLOOKUP(H8,'BASE '!$I$112:$J$142,2,0)))-((S8*3333.33)*G8),IF(AND(E8="CLIENT S+L",F8="LAIT"),((S8*952.4)-(S8*952.4)*G8),IF(E8="CLIENT O","OFFERT",IF(AND(F8="HUILE",E8="CLIENT L"),(((VLOOKUP(H8,'BASE '!$I$112:$J$142,2,0))+(VLOOKUP(S8,'BASE '!#REF!,2,0)))),IF(AND(F8="LAIT",E8="CLIENT L"),(S8*952.4),IF(AND(F8="HUILE",E8="CLIENT D"),(S8*3809.53+(VLOOKUP(H8,'BASE '!$I$112:$J$142,2,0))),IF(AND(F8="LAIT",E8="CLIENT D"),(S8*952.4),IF(AND(F8="HUILE",E8="CLIENT S+D"),((S8*3809.53+(VLOOKUP(H8,'BASE '!$I$112:$J$142,2,0)))-((S8*3809.53)*G8)),IF(AND(F8="LAIT",E8="CLIENT S+D"),((S8*952.4)-((S8*952.4)*G8)),IF(AND(E8="CLIENT S",F8="LAIT"),((S8*952.4)-((S8*952.4)*G8)),IF(AND(F8="HUILE",E8="CLIENT S"),(VLOOKUP(H8,'BASE '!$I$112:$J$142,2,0)+(VLOOKUP(S8,'BASE '!#REF!,2,0)))-(G8*((VLOOKUP(S8,'BASE '!#REF!,2,0)+(VLOOKUP(H8,'BASE '!$I$112:$J$142,2,0))))))))))))))))</f>
        <v>0</v>
      </c>
      <c r="P8" s="52" t="b">
        <f t="shared" si="1"/>
        <v>0</v>
      </c>
      <c r="Q8" s="53" t="b">
        <f t="shared" si="2"/>
        <v>0</v>
      </c>
      <c r="R8" s="152" t="s">
        <v>175</v>
      </c>
      <c r="S8" s="184">
        <f t="shared" si="6"/>
        <v>0</v>
      </c>
      <c r="T8" s="124"/>
      <c r="U8" s="41" t="s">
        <v>175</v>
      </c>
      <c r="V8" s="70" t="e">
        <f>VLOOKUP(U8,'BASE '!$A$4:$H$144,2,0)</f>
        <v>#N/A</v>
      </c>
      <c r="W8" s="159"/>
      <c r="X8" s="159"/>
      <c r="Y8" s="160"/>
      <c r="Z8" s="158" t="e">
        <f>VLOOKUP(U8,'BASE '!$A$4:$H$144,3,0)</f>
        <v>#N/A</v>
      </c>
      <c r="AA8" s="94" t="e">
        <f t="shared" si="3"/>
        <v>#N/A</v>
      </c>
      <c r="AB8" s="95" t="e">
        <f>VLOOKUP(U8,'BASE '!$A$4:$H$144,6,0)*Y8/100</f>
        <v>#N/A</v>
      </c>
      <c r="AC8" s="95" t="e">
        <f>VLOOKUP(U8,'BASE '!$A$4:$H$144,7,0)*Y8/100</f>
        <v>#N/A</v>
      </c>
      <c r="AD8" s="95" t="e">
        <f>VLOOKUP(U8,'BASE '!$A$4:$H$144,8,0)*Y8/100</f>
        <v>#N/A</v>
      </c>
      <c r="AE8" s="96" t="e">
        <f t="shared" si="7"/>
        <v>#N/A</v>
      </c>
      <c r="AF8" s="434"/>
      <c r="AG8" s="1" t="s">
        <v>155</v>
      </c>
      <c r="AH8" s="36" t="e">
        <f>SUMIFS($H$6:$H$165,$D$6:$D$165,AF7,CHOIX,AG8)</f>
        <v>#NAME?</v>
      </c>
      <c r="AI8" s="36" t="e">
        <f>SUMIFS($I$6:$I$165,$D$6:$D$165,AF7,CHOIX,AG8)</f>
        <v>#NAME?</v>
      </c>
      <c r="AJ8" s="36" t="e">
        <f>SUMIFS($J$6:$J$165,$D$6:$D$165,AF7,CHOIX,AG8)</f>
        <v>#NAME?</v>
      </c>
      <c r="AK8" s="36" t="e">
        <f>SUMIFS($K$6:$K$165,$D$6:$D$165,AF7,CHOIX,AG8)</f>
        <v>#NAME?</v>
      </c>
      <c r="AL8" s="36" t="e">
        <f>SUMIFS($L$6:$L$165,$D$6:$D$165,AF7,CHOIX,AG8)</f>
        <v>#NAME?</v>
      </c>
      <c r="AM8" s="36" t="e">
        <f>SUMIFS($M$6:$M$165,$D$6:$D$165,AF7,CHOIX,AG8)</f>
        <v>#NAME?</v>
      </c>
      <c r="AN8" s="1" t="s">
        <v>155</v>
      </c>
      <c r="AO8" s="83"/>
      <c r="AP8" s="63"/>
      <c r="AQ8" s="63"/>
      <c r="AR8" s="63"/>
      <c r="AS8" s="79"/>
      <c r="AT8" s="79"/>
      <c r="AU8" s="55" t="e">
        <f>SUMIFS($O$6:$O$165,$D$6:$D$165,AF7,CHOIX,AG8)</f>
        <v>#NAME?</v>
      </c>
      <c r="AV8" s="80" t="e">
        <f>SUMIFS($Q$6:$Q$165,$D$6:$D$165,AF7,CHOIX,AG8)</f>
        <v>#NAME?</v>
      </c>
      <c r="AW8" s="12"/>
      <c r="AX8" s="12"/>
      <c r="AY8" s="12"/>
      <c r="AZ8" s="8"/>
      <c r="BA8" s="148"/>
      <c r="BB8" s="148"/>
      <c r="BC8" s="148"/>
      <c r="BD8" s="10"/>
      <c r="BE8" s="10"/>
      <c r="BF8" s="10"/>
      <c r="BG8" s="10"/>
      <c r="BH8" s="10"/>
      <c r="BI8" s="10"/>
      <c r="BJ8" s="10"/>
      <c r="BK8" s="10"/>
      <c r="BL8" s="10"/>
      <c r="BM8" s="147">
        <f t="shared" si="8"/>
        <v>0</v>
      </c>
      <c r="BN8" s="147">
        <f t="shared" si="9"/>
        <v>0</v>
      </c>
      <c r="BO8" s="149"/>
      <c r="BP8" s="166"/>
      <c r="BQ8" s="12"/>
      <c r="BR8" s="12"/>
      <c r="BS8" s="476"/>
      <c r="BT8" s="481"/>
      <c r="BU8" s="475"/>
      <c r="BV8" s="545"/>
      <c r="BW8" s="580"/>
      <c r="BX8" s="576"/>
      <c r="BY8" s="497"/>
      <c r="BZ8" s="497"/>
      <c r="CA8" s="543"/>
      <c r="CB8" s="475"/>
      <c r="CC8" s="544"/>
      <c r="CV8" s="64"/>
      <c r="CW8" s="148"/>
      <c r="CX8" s="109"/>
      <c r="CY8" s="132"/>
      <c r="CZ8" s="143"/>
      <c r="DA8" s="127"/>
      <c r="DB8" s="50"/>
      <c r="DC8" s="128"/>
      <c r="DD8" s="114"/>
      <c r="DE8" s="114"/>
      <c r="DF8" s="114"/>
      <c r="DG8" s="114"/>
      <c r="DH8" s="112"/>
      <c r="DI8" s="33">
        <f t="shared" si="4"/>
        <v>0</v>
      </c>
      <c r="DJ8" s="52" t="b">
        <f>IF(AND(CZ8="CLIENT S+L",DA8="HUILE"),(DN8*3333.33+(VLOOKUP(DC8,'BASE '!$I$112:$J$142,2,0)))-((DN8*3333.33)*DB8),IF(AND(CZ8="CLIENT S+L",DA8="LAIT"),((DN8*952.4)-(DN8*952.4)*DB8),IF(CZ8="CLIENT O","OFFERT",IF(AND(DA8="HUILE",CZ8="CLIENT L"),(((VLOOKUP(DC8,'BASE '!$I$112:$J$142,2,0))+(VLOOKUP(DN8,'BASE '!#REF!,2,0)))),IF(AND(DA8="LAIT",CZ8="CLIENT L"),(DN8*952.4),IF(AND(DA8="HUILE",CZ8="CLIENT D"),(DN8*3809.53+(VLOOKUP(DC8,'BASE '!$I$112:$J$142,2,0))),IF(AND(DA8="LAIT",CZ8="CLIENT D"),(DN8*952.4),IF(AND(DA8="HUILE",CZ8="CLIENT S+D"),((DN8*3809.53+(VLOOKUP(DC8,'BASE '!$I$112:$J$142,2,0)))-((DN8*3809.53)*DB8)),IF(AND(DA8="LAIT",CZ8="CLIENT S+D"),((DN8*952.4)-((DN8*952.4)*DB8)),IF(AND(CZ8="CLIENT S",DA8="LAIT"),((DN8*952.4)-((DN8*952.4)*DB8)),IF(AND(DA8="HUILE",CZ8="CLIENT S"),(VLOOKUP(DC8,'BASE '!$I$112:$J$142,2,0)+(VLOOKUP(DN8,'BASE '!#REF!,2,0)))-(DB8*((VLOOKUP(DN8,'BASE '!#REF!,2,0)+(VLOOKUP(DC8,'BASE '!$I$112:$J$142,2,0))))))))))))))))</f>
        <v>0</v>
      </c>
      <c r="DK8" s="52" t="b">
        <f t="shared" si="5"/>
        <v>0</v>
      </c>
      <c r="DL8" s="53" t="b">
        <f t="shared" si="12"/>
        <v>0</v>
      </c>
      <c r="DM8" s="149" t="s">
        <v>175</v>
      </c>
      <c r="DN8" s="116">
        <f t="shared" si="13"/>
        <v>0</v>
      </c>
      <c r="DO8" s="124"/>
      <c r="DP8" s="42" t="s">
        <v>175</v>
      </c>
      <c r="DQ8" s="70"/>
      <c r="DR8" s="159"/>
      <c r="DS8" s="159"/>
      <c r="DT8" s="159"/>
      <c r="DU8" s="160"/>
      <c r="DV8" s="95"/>
      <c r="DW8" s="95"/>
      <c r="DX8" s="95"/>
      <c r="DY8" s="96"/>
    </row>
    <row r="9" spans="2:129" ht="15" customHeight="1" x14ac:dyDescent="0.3">
      <c r="B9" s="64"/>
      <c r="C9" s="148"/>
      <c r="D9" s="109"/>
      <c r="E9" s="63"/>
      <c r="F9" s="127"/>
      <c r="G9" s="50"/>
      <c r="H9" s="10"/>
      <c r="I9" s="10"/>
      <c r="J9" s="10"/>
      <c r="K9" s="10"/>
      <c r="L9" s="10"/>
      <c r="M9" s="39"/>
      <c r="N9" s="33">
        <f t="shared" si="0"/>
        <v>0</v>
      </c>
      <c r="O9" s="52" t="b">
        <f>IF(AND(E9="CLIENT S+L",F9="HUILE"),(S9*3333.33+(VLOOKUP(H9,'BASE '!$I$112:$J$142,2,0)))-((S9*3333.33)*G9),IF(AND(E9="CLIENT S+L",F9="LAIT"),((S9*952.4)-(S9*952.4)*G9),IF(E9="CLIENT O","OFFERT",IF(AND(F9="HUILE",E9="CLIENT L"),(((VLOOKUP(H9,'BASE '!$I$112:$J$142,2,0))+(VLOOKUP(S9,'BASE '!#REF!,2,0)))),IF(AND(F9="LAIT",E9="CLIENT L"),(S9*952.4),IF(AND(F9="HUILE",E9="CLIENT D"),(S9*3809.53+(VLOOKUP(H9,'BASE '!$I$112:$J$142,2,0))),IF(AND(F9="LAIT",E9="CLIENT D"),(S9*952.4),IF(AND(F9="HUILE",E9="CLIENT S+D"),((S9*3809.53+(VLOOKUP(H9,'BASE '!$I$112:$J$142,2,0)))-((S9*3809.53)*G9)),IF(AND(F9="LAIT",E9="CLIENT S+D"),((S9*952.4)-((S9*952.4)*G9)),IF(AND(E9="CLIENT S",F9="LAIT"),((S9*952.4)-((S9*952.4)*G9)),IF(AND(F9="HUILE",E9="CLIENT S"),(VLOOKUP(H9,'BASE '!$I$112:$J$142,2,0)+(VLOOKUP(S9,'BASE '!#REF!,2,0)))-(G9*((VLOOKUP(S9,'BASE '!#REF!,2,0)+(VLOOKUP(H9,'BASE '!$I$112:$J$142,2,0))))))))))))))))</f>
        <v>0</v>
      </c>
      <c r="P9" s="52" t="b">
        <f t="shared" si="1"/>
        <v>0</v>
      </c>
      <c r="Q9" s="53" t="b">
        <f t="shared" si="2"/>
        <v>0</v>
      </c>
      <c r="R9" s="152" t="s">
        <v>175</v>
      </c>
      <c r="S9" s="184">
        <f t="shared" si="6"/>
        <v>0</v>
      </c>
      <c r="T9" s="124"/>
      <c r="U9" s="41" t="s">
        <v>175</v>
      </c>
      <c r="V9" s="70" t="e">
        <f>VLOOKUP(U9,'BASE '!$A$4:$H$144,2,0)</f>
        <v>#N/A</v>
      </c>
      <c r="W9" s="159"/>
      <c r="X9" s="159"/>
      <c r="Y9" s="160"/>
      <c r="Z9" s="158" t="e">
        <f>VLOOKUP(U9,'BASE '!$A$4:$H$144,3,0)</f>
        <v>#N/A</v>
      </c>
      <c r="AA9" s="94" t="e">
        <f t="shared" si="3"/>
        <v>#N/A</v>
      </c>
      <c r="AB9" s="95" t="e">
        <f>VLOOKUP(U9,'BASE '!$A$4:$H$144,6,0)*Y9/100</f>
        <v>#N/A</v>
      </c>
      <c r="AC9" s="95" t="e">
        <f>VLOOKUP(U9,'BASE '!$A$4:$H$144,7,0)*Y9/100</f>
        <v>#N/A</v>
      </c>
      <c r="AD9" s="95" t="e">
        <f>VLOOKUP(U9,'BASE '!$A$4:$H$144,8,0)*Y9/100</f>
        <v>#N/A</v>
      </c>
      <c r="AE9" s="96" t="e">
        <f t="shared" si="7"/>
        <v>#N/A</v>
      </c>
      <c r="AF9" s="435" t="s">
        <v>130</v>
      </c>
      <c r="AG9" s="91" t="s">
        <v>157</v>
      </c>
      <c r="AH9" s="36" t="e">
        <f>SUMIFS($H$6:$H$165,$D$6:$D$165,AF9,CHOIX,AG9)</f>
        <v>#NAME?</v>
      </c>
      <c r="AI9" s="36" t="e">
        <f>SUMIFS($I$6:$I$165,$D$6:$D$165,AF9,CHOIX,AG9)</f>
        <v>#NAME?</v>
      </c>
      <c r="AJ9" s="36" t="e">
        <f>SUMIFS($J$6:$J$165,$D$6:$D$165,AF9,CHOIX,AG9)</f>
        <v>#NAME?</v>
      </c>
      <c r="AK9" s="36" t="e">
        <f>SUMIFS($K$6:$K$165,$D$6:$D$165,AF9,CHOIX,AG9)</f>
        <v>#NAME?</v>
      </c>
      <c r="AL9" s="36" t="e">
        <f>SUMIFS($L$6:$L$165,$D$6:$D$165,AF9,CHOIX,AG9)</f>
        <v>#NAME?</v>
      </c>
      <c r="AM9" s="36" t="e">
        <f>SUMIFS($M$6:$M$165,$D$6:$D$165,AF9,CHOIX,AG9)</f>
        <v>#NAME?</v>
      </c>
      <c r="AN9" s="91" t="s">
        <v>157</v>
      </c>
      <c r="AO9" s="83"/>
      <c r="AP9" s="63"/>
      <c r="AQ9" s="63"/>
      <c r="AR9" s="63"/>
      <c r="AS9" s="79"/>
      <c r="AT9" s="79"/>
      <c r="AU9" s="55" t="e">
        <f>SUMIFS($O$6:$O$165,$D$6:$D$165,AF9,CHOIX,AG9)</f>
        <v>#NAME?</v>
      </c>
      <c r="AV9" s="80" t="e">
        <f>SUMIFS($Q$6:$Q$165,$D$6:$D$165,AF9,CHOIX,AG9)</f>
        <v>#NAME?</v>
      </c>
      <c r="AW9" s="12"/>
      <c r="AX9" s="12"/>
      <c r="AY9" s="12"/>
      <c r="AZ9" s="8"/>
      <c r="BA9" s="148"/>
      <c r="BB9" s="148"/>
      <c r="BC9" s="148"/>
      <c r="BD9" s="10"/>
      <c r="BE9" s="10"/>
      <c r="BF9" s="10"/>
      <c r="BG9" s="10"/>
      <c r="BH9" s="10"/>
      <c r="BI9" s="10"/>
      <c r="BJ9" s="10"/>
      <c r="BK9" s="10"/>
      <c r="BL9" s="10"/>
      <c r="BM9" s="147">
        <f t="shared" si="8"/>
        <v>0</v>
      </c>
      <c r="BN9" s="147">
        <f t="shared" si="9"/>
        <v>0</v>
      </c>
      <c r="BO9" s="149"/>
      <c r="BP9" s="166"/>
      <c r="BQ9" s="12"/>
      <c r="BR9" s="12"/>
      <c r="BS9" s="476" t="s">
        <v>13</v>
      </c>
      <c r="BT9" s="481"/>
      <c r="BU9" s="475">
        <v>34</v>
      </c>
      <c r="BV9" s="545">
        <f t="shared" ref="BV9" si="14">BU9*BT9</f>
        <v>0</v>
      </c>
      <c r="BW9" s="580"/>
      <c r="BX9" s="576">
        <v>50</v>
      </c>
      <c r="BY9" s="497">
        <f>BF67</f>
        <v>0</v>
      </c>
      <c r="BZ9" s="496" t="e">
        <f>J166</f>
        <v>#NAME?</v>
      </c>
      <c r="CA9" s="542"/>
      <c r="CB9" s="475"/>
      <c r="CC9" s="544">
        <f t="shared" ref="CC9" si="15">BY9*CB9</f>
        <v>0</v>
      </c>
      <c r="CV9" s="64"/>
      <c r="CW9" s="148"/>
      <c r="CX9" s="109"/>
      <c r="CY9" s="132"/>
      <c r="CZ9" s="143"/>
      <c r="DA9" s="127"/>
      <c r="DB9" s="50"/>
      <c r="DC9" s="114"/>
      <c r="DD9" s="114"/>
      <c r="DE9" s="114"/>
      <c r="DF9" s="114"/>
      <c r="DG9" s="114"/>
      <c r="DH9" s="112"/>
      <c r="DI9" s="33">
        <f t="shared" si="4"/>
        <v>0</v>
      </c>
      <c r="DJ9" s="52" t="b">
        <f>IF(AND(CZ9="CLIENT S+L",DA9="HUILE"),(DN9*3333.33+(VLOOKUP(DC9,'BASE '!$I$112:$J$142,2,0)))-((DN9*3333.33)*DB9),IF(AND(CZ9="CLIENT S+L",DA9="LAIT"),((DN9*952.4)-(DN9*952.4)*DB9),IF(CZ9="CLIENT O","OFFERT",IF(AND(DA9="HUILE",CZ9="CLIENT L"),(((VLOOKUP(DC9,'BASE '!$I$112:$J$142,2,0))+(VLOOKUP(DN9,'BASE '!#REF!,2,0)))),IF(AND(DA9="LAIT",CZ9="CLIENT L"),(DN9*952.4),IF(AND(DA9="HUILE",CZ9="CLIENT D"),(DN9*3809.53+(VLOOKUP(DC9,'BASE '!$I$112:$J$142,2,0))),IF(AND(DA9="LAIT",CZ9="CLIENT D"),(DN9*952.4),IF(AND(DA9="HUILE",CZ9="CLIENT S+D"),((DN9*3809.53+(VLOOKUP(DC9,'BASE '!$I$112:$J$142,2,0)))-((DN9*3809.53)*DB9)),IF(AND(DA9="LAIT",CZ9="CLIENT S+D"),((DN9*952.4)-((DN9*952.4)*DB9)),IF(AND(CZ9="CLIENT S",DA9="LAIT"),((DN9*952.4)-((DN9*952.4)*DB9)),IF(AND(DA9="HUILE",CZ9="CLIENT S"),(VLOOKUP(DC9,'BASE '!$I$112:$J$142,2,0)+(VLOOKUP(DN9,'BASE '!#REF!,2,0)))-(DB9*((VLOOKUP(DN9,'BASE '!#REF!,2,0)+(VLOOKUP(DC9,'BASE '!$I$112:$J$142,2,0))))))))))))))))</f>
        <v>0</v>
      </c>
      <c r="DK9" s="52" t="b">
        <f t="shared" si="5"/>
        <v>0</v>
      </c>
      <c r="DL9" s="53" t="b">
        <f t="shared" si="12"/>
        <v>0</v>
      </c>
      <c r="DM9" s="149"/>
      <c r="DN9" s="116">
        <f t="shared" si="13"/>
        <v>0</v>
      </c>
      <c r="DO9" s="124"/>
      <c r="DP9" s="42" t="s">
        <v>175</v>
      </c>
      <c r="DQ9" s="70"/>
      <c r="DR9" s="159"/>
      <c r="DS9" s="159"/>
      <c r="DT9" s="159"/>
      <c r="DU9" s="160"/>
      <c r="DV9" s="95"/>
      <c r="DW9" s="95"/>
      <c r="DX9" s="95"/>
      <c r="DY9" s="96"/>
    </row>
    <row r="10" spans="2:129" ht="15" customHeight="1" x14ac:dyDescent="0.3">
      <c r="B10" s="64"/>
      <c r="C10" s="148"/>
      <c r="D10" s="109"/>
      <c r="E10" s="63"/>
      <c r="F10" s="127"/>
      <c r="G10" s="50"/>
      <c r="H10" s="10"/>
      <c r="I10" s="10"/>
      <c r="J10" s="10"/>
      <c r="K10" s="10"/>
      <c r="L10" s="10"/>
      <c r="M10" s="39"/>
      <c r="N10" s="33">
        <f t="shared" si="0"/>
        <v>0</v>
      </c>
      <c r="O10" s="52" t="b">
        <f>IF(AND(E10="CLIENT S+L",F10="HUILE"),(S10*3333.33+(VLOOKUP(H10,'BASE '!$I$112:$J$142,2,0)))-((S10*3333.33)*G10),IF(AND(E10="CLIENT S+L",F10="LAIT"),((S10*952.4)-(S10*952.4)*G10),IF(E10="CLIENT O","OFFERT",IF(AND(F10="HUILE",E10="CLIENT L"),(((VLOOKUP(H10,'BASE '!$I$112:$J$142,2,0))+(VLOOKUP(S10,'BASE '!#REF!,2,0)))),IF(AND(F10="LAIT",E10="CLIENT L"),(S10*952.4),IF(AND(F10="HUILE",E10="CLIENT D"),(S10*3809.53+(VLOOKUP(H10,'BASE '!$I$112:$J$142,2,0))),IF(AND(F10="LAIT",E10="CLIENT D"),(S10*952.4),IF(AND(F10="HUILE",E10="CLIENT S+D"),((S10*3809.53+(VLOOKUP(H10,'BASE '!$I$112:$J$142,2,0)))-((S10*3809.53)*G10)),IF(AND(F10="LAIT",E10="CLIENT S+D"),((S10*952.4)-((S10*952.4)*G10)),IF(AND(E10="CLIENT S",F10="LAIT"),((S10*952.4)-((S10*952.4)*G10)),IF(AND(F10="HUILE",E10="CLIENT S"),(VLOOKUP(H10,'BASE '!$I$112:$J$142,2,0)+(VLOOKUP(S10,'BASE '!#REF!,2,0)))-(G10*((VLOOKUP(S10,'BASE '!#REF!,2,0)+(VLOOKUP(H10,'BASE '!$I$112:$J$142,2,0))))))))))))))))</f>
        <v>0</v>
      </c>
      <c r="P10" s="52" t="b">
        <f t="shared" si="1"/>
        <v>0</v>
      </c>
      <c r="Q10" s="53" t="b">
        <f t="shared" si="2"/>
        <v>0</v>
      </c>
      <c r="R10" s="152" t="s">
        <v>175</v>
      </c>
      <c r="S10" s="184">
        <f t="shared" si="6"/>
        <v>0</v>
      </c>
      <c r="T10" s="124"/>
      <c r="U10" s="41" t="s">
        <v>175</v>
      </c>
      <c r="V10" s="70" t="e">
        <f>VLOOKUP(U10,'BASE '!$A$4:$H$144,2,0)</f>
        <v>#N/A</v>
      </c>
      <c r="W10" s="159"/>
      <c r="X10" s="159"/>
      <c r="Y10" s="160"/>
      <c r="Z10" s="158" t="e">
        <f>VLOOKUP(U10,'BASE '!$A$4:$H$144,3,0)</f>
        <v>#N/A</v>
      </c>
      <c r="AA10" s="94" t="e">
        <f t="shared" si="3"/>
        <v>#N/A</v>
      </c>
      <c r="AB10" s="95" t="e">
        <f>VLOOKUP(U10,'BASE '!$A$4:$H$144,6,0)*Y10/100</f>
        <v>#N/A</v>
      </c>
      <c r="AC10" s="95" t="e">
        <f>VLOOKUP(U10,'BASE '!$A$4:$H$144,7,0)*Y10/100</f>
        <v>#N/A</v>
      </c>
      <c r="AD10" s="95" t="e">
        <f>VLOOKUP(U10,'BASE '!$A$4:$H$144,8,0)*Y10/100</f>
        <v>#N/A</v>
      </c>
      <c r="AE10" s="96" t="e">
        <f t="shared" si="7"/>
        <v>#N/A</v>
      </c>
      <c r="AF10" s="435"/>
      <c r="AG10" s="1" t="s">
        <v>155</v>
      </c>
      <c r="AH10" s="36" t="e">
        <f>SUMIFS($H$6:$H$165,$D$6:$D$165,AF9,CHOIX,AG10)</f>
        <v>#NAME?</v>
      </c>
      <c r="AI10" s="36" t="e">
        <f>SUMIFS($I$6:$I$165,$D$6:$D$165,AF9,CHOIX,AG10)</f>
        <v>#NAME?</v>
      </c>
      <c r="AJ10" s="36" t="e">
        <f>SUMIFS($J$6:$J$165,$D$6:$D$165,AF9,CHOIX,AG10)</f>
        <v>#NAME?</v>
      </c>
      <c r="AK10" s="36" t="e">
        <f>SUMIFS($K$6:$K$165,$D$6:$D$165,AF9,CHOIX,AG10)</f>
        <v>#NAME?</v>
      </c>
      <c r="AL10" s="36" t="e">
        <f>SUMIFS($L$6:$L$165,$D$6:$D$165,AF9,CHOIX,AG10)</f>
        <v>#NAME?</v>
      </c>
      <c r="AM10" s="36" t="e">
        <f>SUMIFS($M$6:$M$165,$D$6:$D$165,AF9,CHOIX,AG10)</f>
        <v>#NAME?</v>
      </c>
      <c r="AN10" s="1" t="s">
        <v>155</v>
      </c>
      <c r="AO10" s="83"/>
      <c r="AP10" s="63"/>
      <c r="AQ10" s="63"/>
      <c r="AR10" s="63"/>
      <c r="AS10" s="79"/>
      <c r="AT10" s="79"/>
      <c r="AU10" s="55" t="e">
        <f>SUMIFS($O$6:$O$165,$D$6:$D$165,AF9,CHOIX,AG10)</f>
        <v>#NAME?</v>
      </c>
      <c r="AV10" s="80" t="e">
        <f>SUMIFS($Q$6:$Q$165,$D$6:$D$165,AF9,CHOIX,AG10)</f>
        <v>#NAME?</v>
      </c>
      <c r="AW10" s="12"/>
      <c r="AX10" s="12"/>
      <c r="AY10" s="12"/>
      <c r="AZ10" s="8"/>
      <c r="BA10" s="148"/>
      <c r="BB10" s="148"/>
      <c r="BC10" s="148"/>
      <c r="BD10" s="10"/>
      <c r="BE10" s="10"/>
      <c r="BF10" s="10"/>
      <c r="BG10" s="10"/>
      <c r="BH10" s="10"/>
      <c r="BI10" s="10"/>
      <c r="BJ10" s="10"/>
      <c r="BK10" s="10"/>
      <c r="BL10" s="10"/>
      <c r="BM10" s="147">
        <f t="shared" si="8"/>
        <v>0</v>
      </c>
      <c r="BN10" s="147">
        <f t="shared" si="9"/>
        <v>0</v>
      </c>
      <c r="BO10" s="149"/>
      <c r="BP10" s="166"/>
      <c r="BQ10" s="12"/>
      <c r="BR10" s="12"/>
      <c r="BS10" s="476"/>
      <c r="BT10" s="481"/>
      <c r="BU10" s="475"/>
      <c r="BV10" s="545"/>
      <c r="BW10" s="580"/>
      <c r="BX10" s="576"/>
      <c r="BY10" s="497"/>
      <c r="BZ10" s="497"/>
      <c r="CA10" s="543"/>
      <c r="CB10" s="475"/>
      <c r="CC10" s="544"/>
      <c r="CV10" s="64"/>
      <c r="CW10" s="148"/>
      <c r="CX10" s="109"/>
      <c r="CY10" s="132"/>
      <c r="CZ10" s="143"/>
      <c r="DA10" s="127"/>
      <c r="DB10" s="50"/>
      <c r="DC10" s="111"/>
      <c r="DD10" s="114"/>
      <c r="DE10" s="114"/>
      <c r="DF10" s="114"/>
      <c r="DG10" s="114"/>
      <c r="DH10" s="112"/>
      <c r="DI10" s="33">
        <f t="shared" si="4"/>
        <v>0</v>
      </c>
      <c r="DJ10" s="52" t="b">
        <f>IF(AND(CZ10="CLIENT S+L",DA10="HUILE"),(DN10*3333.33+(VLOOKUP(DC10,'BASE '!$I$112:$J$142,2,0)))-((DN10*3333.33)*DB10),IF(AND(CZ10="CLIENT S+L",DA10="LAIT"),((DN10*952.4)-(DN10*952.4)*DB10),IF(CZ10="CLIENT O","OFFERT",IF(AND(DA10="HUILE",CZ10="CLIENT L"),(((VLOOKUP(DC10,'BASE '!$I$112:$J$142,2,0))+(VLOOKUP(DN10,'BASE '!#REF!,2,0)))),IF(AND(DA10="LAIT",CZ10="CLIENT L"),(DN10*952.4),IF(AND(DA10="HUILE",CZ10="CLIENT D"),(DN10*3809.53+(VLOOKUP(DC10,'BASE '!$I$112:$J$142,2,0))),IF(AND(DA10="LAIT",CZ10="CLIENT D"),(DN10*952.4),IF(AND(DA10="HUILE",CZ10="CLIENT S+D"),((DN10*3809.53+(VLOOKUP(DC10,'BASE '!$I$112:$J$142,2,0)))-((DN10*3809.53)*DB10)),IF(AND(DA10="LAIT",CZ10="CLIENT S+D"),((DN10*952.4)-((DN10*952.4)*DB10)),IF(AND(CZ10="CLIENT S",DA10="LAIT"),((DN10*952.4)-((DN10*952.4)*DB10)),IF(AND(DA10="HUILE",CZ10="CLIENT S"),(VLOOKUP(DC10,'BASE '!$I$112:$J$142,2,0)+(VLOOKUP(DN10,'BASE '!#REF!,2,0)))-(DB10*((VLOOKUP(DN10,'BASE '!#REF!,2,0)+(VLOOKUP(DC10,'BASE '!$I$112:$J$142,2,0))))))))))))))))</f>
        <v>0</v>
      </c>
      <c r="DK10" s="52" t="b">
        <f t="shared" si="5"/>
        <v>0</v>
      </c>
      <c r="DL10" s="53" t="b">
        <f t="shared" si="12"/>
        <v>0</v>
      </c>
      <c r="DM10" s="149" t="s">
        <v>175</v>
      </c>
      <c r="DN10" s="116">
        <f t="shared" si="13"/>
        <v>0</v>
      </c>
      <c r="DO10" s="124"/>
      <c r="DP10" s="42"/>
      <c r="DQ10" s="70"/>
      <c r="DR10" s="159"/>
      <c r="DS10" s="159"/>
      <c r="DT10" s="159"/>
      <c r="DU10" s="160"/>
      <c r="DV10" s="95"/>
      <c r="DW10" s="95"/>
      <c r="DX10" s="95"/>
      <c r="DY10" s="96"/>
    </row>
    <row r="11" spans="2:129" ht="15" customHeight="1" x14ac:dyDescent="0.3">
      <c r="B11" s="64"/>
      <c r="C11" s="148"/>
      <c r="D11" s="109"/>
      <c r="E11" s="63"/>
      <c r="F11" s="127"/>
      <c r="G11" s="50"/>
      <c r="H11" s="10"/>
      <c r="I11" s="10"/>
      <c r="J11" s="10"/>
      <c r="K11" s="10"/>
      <c r="L11" s="10"/>
      <c r="M11" s="39"/>
      <c r="N11" s="33">
        <f t="shared" si="0"/>
        <v>0</v>
      </c>
      <c r="O11" s="52" t="b">
        <f>IF(AND(E11="CLIENT S+L",F11="HUILE"),(S11*3333.33+(VLOOKUP(H11,'BASE '!$I$112:$J$142,2,0)))-((S11*3333.33)*G11),IF(AND(E11="CLIENT S+L",F11="LAIT"),((S11*952.4)-(S11*952.4)*G11),IF(E11="CLIENT O","OFFERT",IF(AND(F11="HUILE",E11="CLIENT L"),(((VLOOKUP(H11,'BASE '!$I$112:$J$142,2,0))+(VLOOKUP(S11,'BASE '!#REF!,2,0)))),IF(AND(F11="LAIT",E11="CLIENT L"),(S11*952.4),IF(AND(F11="HUILE",E11="CLIENT D"),(S11*3809.53+(VLOOKUP(H11,'BASE '!$I$112:$J$142,2,0))),IF(AND(F11="LAIT",E11="CLIENT D"),(S11*952.4),IF(AND(F11="HUILE",E11="CLIENT S+D"),((S11*3809.53+(VLOOKUP(H11,'BASE '!$I$112:$J$142,2,0)))-((S11*3809.53)*G11)),IF(AND(F11="LAIT",E11="CLIENT S+D"),((S11*952.4)-((S11*952.4)*G11)),IF(AND(E11="CLIENT S",F11="LAIT"),((S11*952.4)-((S11*952.4)*G11)),IF(AND(F11="HUILE",E11="CLIENT S"),(VLOOKUP(H11,'BASE '!$I$112:$J$142,2,0)+(VLOOKUP(S11,'BASE '!#REF!,2,0)))-(G11*((VLOOKUP(S11,'BASE '!#REF!,2,0)+(VLOOKUP(H11,'BASE '!$I$112:$J$142,2,0))))))))))))))))</f>
        <v>0</v>
      </c>
      <c r="P11" s="52" t="b">
        <f t="shared" si="1"/>
        <v>0</v>
      </c>
      <c r="Q11" s="53" t="b">
        <f t="shared" si="2"/>
        <v>0</v>
      </c>
      <c r="R11" s="152" t="s">
        <v>175</v>
      </c>
      <c r="S11" s="184">
        <f t="shared" si="6"/>
        <v>0</v>
      </c>
      <c r="T11" s="124"/>
      <c r="U11" s="41" t="s">
        <v>175</v>
      </c>
      <c r="V11" s="70" t="e">
        <f>VLOOKUP(U11,'BASE '!$A$4:$H$144,2,0)</f>
        <v>#N/A</v>
      </c>
      <c r="W11" s="159"/>
      <c r="X11" s="159"/>
      <c r="Y11" s="160"/>
      <c r="Z11" s="158" t="e">
        <f>VLOOKUP(U11,'BASE '!$A$4:$H$144,3,0)</f>
        <v>#N/A</v>
      </c>
      <c r="AA11" s="94" t="e">
        <f t="shared" si="3"/>
        <v>#N/A</v>
      </c>
      <c r="AB11" s="95" t="e">
        <f>VLOOKUP(U11,'BASE '!$A$4:$H$144,6,0)*Y11/100</f>
        <v>#N/A</v>
      </c>
      <c r="AC11" s="95" t="e">
        <f>VLOOKUP(U11,'BASE '!$A$4:$H$144,7,0)*Y11/100</f>
        <v>#N/A</v>
      </c>
      <c r="AD11" s="95" t="e">
        <f>VLOOKUP(U11,'BASE '!$A$4:$H$144,8,0)*Y11/100</f>
        <v>#N/A</v>
      </c>
      <c r="AE11" s="96" t="e">
        <f t="shared" si="7"/>
        <v>#N/A</v>
      </c>
      <c r="AF11" s="435" t="s">
        <v>6</v>
      </c>
      <c r="AG11" s="91" t="s">
        <v>157</v>
      </c>
      <c r="AH11" s="36" t="e">
        <f>SUMIFS($H$6:$H$165,$D$6:$D$165,AF11,CHOIX,AG11)</f>
        <v>#NAME?</v>
      </c>
      <c r="AI11" s="36" t="e">
        <f>SUMIFS($I$6:$I$165,$D$6:$D$165,AF11,CHOIX,AG11)</f>
        <v>#NAME?</v>
      </c>
      <c r="AJ11" s="36" t="e">
        <f>SUMIFS($J$6:$J$165,$D$6:$D$165,AF11,CHOIX,AG11)</f>
        <v>#NAME?</v>
      </c>
      <c r="AK11" s="36" t="e">
        <f>SUMIFS($K$6:$K$165,$D$6:$D$165,AF11,CHOIX,AG11)</f>
        <v>#NAME?</v>
      </c>
      <c r="AL11" s="36" t="e">
        <f>SUMIFS($L$6:$L$165,$D$6:$D$165,AF11,CHOIX,AG11)</f>
        <v>#NAME?</v>
      </c>
      <c r="AM11" s="36" t="e">
        <f>SUMIFS($M$6:$M$165,$D$6:$D$165,AF11,CHOIX,AG11)</f>
        <v>#NAME?</v>
      </c>
      <c r="AN11" s="91" t="s">
        <v>157</v>
      </c>
      <c r="AO11" s="83"/>
      <c r="AP11" s="63"/>
      <c r="AQ11" s="63"/>
      <c r="AR11" s="63"/>
      <c r="AS11" s="79"/>
      <c r="AT11" s="79"/>
      <c r="AU11" s="55" t="e">
        <f>SUMIFS($O$6:$O$165,$D$6:$D$165,AF11,CHOIX,AG11)</f>
        <v>#NAME?</v>
      </c>
      <c r="AV11" s="80" t="e">
        <f>SUMIFS($Q$6:$Q$165,$D$6:$D$165,AF11,CHOIX,AG11)</f>
        <v>#NAME?</v>
      </c>
      <c r="AW11" s="12"/>
      <c r="AX11" s="12"/>
      <c r="AY11" s="12"/>
      <c r="AZ11" s="8"/>
      <c r="BA11" s="148"/>
      <c r="BB11" s="148"/>
      <c r="BC11" s="148"/>
      <c r="BD11" s="10"/>
      <c r="BE11" s="10"/>
      <c r="BF11" s="10"/>
      <c r="BG11" s="10"/>
      <c r="BH11" s="10"/>
      <c r="BI11" s="10"/>
      <c r="BJ11" s="10"/>
      <c r="BK11" s="10"/>
      <c r="BL11" s="10"/>
      <c r="BM11" s="147">
        <f t="shared" si="8"/>
        <v>0</v>
      </c>
      <c r="BN11" s="147">
        <f t="shared" si="9"/>
        <v>0</v>
      </c>
      <c r="BO11" s="149"/>
      <c r="BP11" s="166"/>
      <c r="BQ11" s="12"/>
      <c r="BR11" s="12"/>
      <c r="BS11" s="476" t="s">
        <v>14</v>
      </c>
      <c r="BT11" s="481"/>
      <c r="BU11" s="475">
        <v>39</v>
      </c>
      <c r="BV11" s="545">
        <f t="shared" ref="BV11" si="16">BU11*BT11</f>
        <v>0</v>
      </c>
      <c r="BW11" s="580"/>
      <c r="BX11" s="576">
        <v>75</v>
      </c>
      <c r="BY11" s="497">
        <f>BG68</f>
        <v>0</v>
      </c>
      <c r="BZ11" s="496" t="e">
        <f>K166</f>
        <v>#NAME?</v>
      </c>
      <c r="CA11" s="542"/>
      <c r="CB11" s="475"/>
      <c r="CC11" s="544">
        <f t="shared" ref="CC11" si="17">BY11*CB11</f>
        <v>0</v>
      </c>
      <c r="CV11" s="64"/>
      <c r="CW11" s="148"/>
      <c r="CX11" s="109"/>
      <c r="CY11" s="132"/>
      <c r="CZ11" s="143"/>
      <c r="DA11" s="127"/>
      <c r="DB11" s="50"/>
      <c r="DC11" s="114"/>
      <c r="DD11" s="114"/>
      <c r="DE11" s="114"/>
      <c r="DF11" s="114"/>
      <c r="DG11" s="114"/>
      <c r="DH11" s="112"/>
      <c r="DI11" s="33">
        <f t="shared" si="4"/>
        <v>0</v>
      </c>
      <c r="DJ11" s="52" t="b">
        <f>IF(AND(CZ11="CLIENT S+L",DA11="HUILE"),(DN11*3333.33+(VLOOKUP(DC11,'BASE '!$I$112:$J$142,2,0)))-((DN11*3333.33)*DB11),IF(AND(CZ11="CLIENT S+L",DA11="LAIT"),((DN11*952.4)-(DN11*952.4)*DB11),IF(CZ11="CLIENT O","OFFERT",IF(AND(DA11="HUILE",CZ11="CLIENT L"),(((VLOOKUP(DC11,'BASE '!$I$112:$J$142,2,0))+(VLOOKUP(DN11,'BASE '!#REF!,2,0)))),IF(AND(DA11="LAIT",CZ11="CLIENT L"),(DN11*952.4),IF(AND(DA11="HUILE",CZ11="CLIENT D"),(DN11*3809.53+(VLOOKUP(DC11,'BASE '!$I$112:$J$142,2,0))),IF(AND(DA11="LAIT",CZ11="CLIENT D"),(DN11*952.4),IF(AND(DA11="HUILE",CZ11="CLIENT S+D"),((DN11*3809.53+(VLOOKUP(DC11,'BASE '!$I$112:$J$142,2,0)))-((DN11*3809.53)*DB11)),IF(AND(DA11="LAIT",CZ11="CLIENT S+D"),((DN11*952.4)-((DN11*952.4)*DB11)),IF(AND(CZ11="CLIENT S",DA11="LAIT"),((DN11*952.4)-((DN11*952.4)*DB11)),IF(AND(DA11="HUILE",CZ11="CLIENT S"),(VLOOKUP(DC11,'BASE '!$I$112:$J$142,2,0)+(VLOOKUP(DN11,'BASE '!#REF!,2,0)))-(DB11*((VLOOKUP(DN11,'BASE '!#REF!,2,0)+(VLOOKUP(DC11,'BASE '!$I$112:$J$142,2,0))))))))))))))))</f>
        <v>0</v>
      </c>
      <c r="DK11" s="52" t="b">
        <f t="shared" si="5"/>
        <v>0</v>
      </c>
      <c r="DL11" s="53" t="b">
        <f t="shared" si="12"/>
        <v>0</v>
      </c>
      <c r="DM11" s="149" t="s">
        <v>175</v>
      </c>
      <c r="DN11" s="116">
        <f t="shared" si="13"/>
        <v>0</v>
      </c>
      <c r="DO11" s="124"/>
      <c r="DP11" s="42"/>
      <c r="DQ11" s="70"/>
      <c r="DR11" s="159"/>
      <c r="DS11" s="159"/>
      <c r="DT11" s="159"/>
      <c r="DU11" s="160"/>
      <c r="DV11" s="95"/>
      <c r="DW11" s="95"/>
      <c r="DX11" s="95"/>
      <c r="DY11" s="96"/>
    </row>
    <row r="12" spans="2:129" ht="15" customHeight="1" x14ac:dyDescent="0.3">
      <c r="B12" s="64"/>
      <c r="C12" s="148"/>
      <c r="D12" s="109"/>
      <c r="E12" s="63"/>
      <c r="F12" s="127"/>
      <c r="G12" s="50"/>
      <c r="H12" s="10"/>
      <c r="I12" s="10"/>
      <c r="J12" s="10"/>
      <c r="K12" s="10"/>
      <c r="L12" s="10"/>
      <c r="M12" s="39"/>
      <c r="N12" s="33">
        <f t="shared" si="0"/>
        <v>0</v>
      </c>
      <c r="O12" s="52" t="b">
        <f>IF(AND(E12="CLIENT S+L",F12="HUILE"),(S12*3333.33+(VLOOKUP(H12,'BASE '!$I$112:$J$142,2,0)))-((S12*3333.33)*G12),IF(AND(E12="CLIENT S+L",F12="LAIT"),((S12*952.4)-(S12*952.4)*G12),IF(E12="CLIENT O","OFFERT",IF(AND(F12="HUILE",E12="CLIENT L"),(((VLOOKUP(H12,'BASE '!$I$112:$J$142,2,0))+(VLOOKUP(S12,'BASE '!#REF!,2,0)))),IF(AND(F12="LAIT",E12="CLIENT L"),(S12*952.4),IF(AND(F12="HUILE",E12="CLIENT D"),(S12*3809.53+(VLOOKUP(H12,'BASE '!$I$112:$J$142,2,0))),IF(AND(F12="LAIT",E12="CLIENT D"),(S12*952.4),IF(AND(F12="HUILE",E12="CLIENT S+D"),((S12*3809.53+(VLOOKUP(H12,'BASE '!$I$112:$J$142,2,0)))-((S12*3809.53)*G12)),IF(AND(F12="LAIT",E12="CLIENT S+D"),((S12*952.4)-((S12*952.4)*G12)),IF(AND(E12="CLIENT S",F12="LAIT"),((S12*952.4)-((S12*952.4)*G12)),IF(AND(F12="HUILE",E12="CLIENT S"),(VLOOKUP(H12,'BASE '!$I$112:$J$142,2,0)+(VLOOKUP(S12,'BASE '!#REF!,2,0)))-(G12*((VLOOKUP(S12,'BASE '!#REF!,2,0)+(VLOOKUP(H12,'BASE '!$I$112:$J$142,2,0))))))))))))))))</f>
        <v>0</v>
      </c>
      <c r="P12" s="52" t="b">
        <f t="shared" si="1"/>
        <v>0</v>
      </c>
      <c r="Q12" s="53" t="b">
        <f t="shared" si="2"/>
        <v>0</v>
      </c>
      <c r="R12" s="152" t="s">
        <v>175</v>
      </c>
      <c r="S12" s="184">
        <f t="shared" si="6"/>
        <v>0</v>
      </c>
      <c r="T12" s="124"/>
      <c r="U12" s="41" t="s">
        <v>175</v>
      </c>
      <c r="V12" s="70" t="e">
        <f>VLOOKUP(U12,'BASE '!$A$4:$H$144,2,0)</f>
        <v>#N/A</v>
      </c>
      <c r="W12" s="159"/>
      <c r="X12" s="159"/>
      <c r="Y12" s="160"/>
      <c r="Z12" s="158" t="e">
        <f>VLOOKUP(U12,'BASE '!$A$4:$H$144,3,0)</f>
        <v>#N/A</v>
      </c>
      <c r="AA12" s="94" t="e">
        <f t="shared" si="3"/>
        <v>#N/A</v>
      </c>
      <c r="AB12" s="95" t="e">
        <f>VLOOKUP(U12,'BASE '!$A$4:$H$144,6,0)*Y12/100</f>
        <v>#N/A</v>
      </c>
      <c r="AC12" s="95" t="e">
        <f>VLOOKUP(U12,'BASE '!$A$4:$H$144,7,0)*Y12/100</f>
        <v>#N/A</v>
      </c>
      <c r="AD12" s="95" t="e">
        <f>VLOOKUP(U12,'BASE '!$A$4:$H$144,8,0)*Y12/100</f>
        <v>#N/A</v>
      </c>
      <c r="AE12" s="96" t="e">
        <f t="shared" si="7"/>
        <v>#N/A</v>
      </c>
      <c r="AF12" s="435"/>
      <c r="AG12" s="1" t="s">
        <v>155</v>
      </c>
      <c r="AH12" s="36" t="e">
        <f>SUMIFS($H$6:$H$165,$D$6:$D$165,AF11,CHOIX,AG12)</f>
        <v>#NAME?</v>
      </c>
      <c r="AI12" s="36" t="e">
        <f>SUMIFS($I$6:$I$165,$D$6:$D$165,AF11,CHOIX,AG12)</f>
        <v>#NAME?</v>
      </c>
      <c r="AJ12" s="36" t="e">
        <f>SUMIFS($J$6:$J$165,$D$6:$D$165,AF11,CHOIX,AG12)</f>
        <v>#NAME?</v>
      </c>
      <c r="AK12" s="36" t="e">
        <f>SUMIFS($K$6:$K$165,$D$6:$D$165,AF11,CHOIX,AG12)</f>
        <v>#NAME?</v>
      </c>
      <c r="AL12" s="36" t="e">
        <f>SUMIFS($L$6:$L$165,$D$6:$D$165,AF11,CHOIX,AG12)</f>
        <v>#NAME?</v>
      </c>
      <c r="AM12" s="36" t="e">
        <f>SUMIFS($M$6:$M$165,$D$6:$D$165,AF11,CHOIX,AG12)</f>
        <v>#NAME?</v>
      </c>
      <c r="AN12" s="1" t="s">
        <v>155</v>
      </c>
      <c r="AO12" s="83"/>
      <c r="AP12" s="63"/>
      <c r="AQ12" s="63"/>
      <c r="AR12" s="63"/>
      <c r="AS12" s="79"/>
      <c r="AT12" s="79"/>
      <c r="AU12" s="55" t="e">
        <f>SUMIFS($O$6:$O$165,$D$6:$D$165,AF11,CHOIX,AG12)</f>
        <v>#NAME?</v>
      </c>
      <c r="AV12" s="80" t="e">
        <f>SUMIFS($Q$6:$Q$165,$D$6:$D$165,AF11,CHOIX,AG12)</f>
        <v>#NAME?</v>
      </c>
      <c r="AW12" s="12"/>
      <c r="AX12" s="12"/>
      <c r="AY12" s="12"/>
      <c r="AZ12" s="8"/>
      <c r="BA12" s="148"/>
      <c r="BB12" s="148"/>
      <c r="BC12" s="148"/>
      <c r="BD12" s="10"/>
      <c r="BE12" s="10"/>
      <c r="BF12" s="10"/>
      <c r="BG12" s="10"/>
      <c r="BH12" s="10"/>
      <c r="BI12" s="10"/>
      <c r="BJ12" s="10"/>
      <c r="BK12" s="10"/>
      <c r="BL12" s="10"/>
      <c r="BM12" s="147">
        <f>(BD12*0.1)+(BE12*0.25)+(BF12*0.5)+(BG12*0.75)+(BH12*1)+(BI12*5)</f>
        <v>0</v>
      </c>
      <c r="BN12" s="147">
        <f t="shared" si="9"/>
        <v>0</v>
      </c>
      <c r="BO12" s="149"/>
      <c r="BP12" s="166"/>
      <c r="BQ12" s="12"/>
      <c r="BR12" s="12"/>
      <c r="BS12" s="476"/>
      <c r="BT12" s="481"/>
      <c r="BU12" s="475"/>
      <c r="BV12" s="545"/>
      <c r="BW12" s="580"/>
      <c r="BX12" s="576"/>
      <c r="BY12" s="497"/>
      <c r="BZ12" s="497"/>
      <c r="CA12" s="543"/>
      <c r="CB12" s="475"/>
      <c r="CC12" s="544"/>
      <c r="CV12" s="64"/>
      <c r="CW12" s="148"/>
      <c r="CX12" s="109"/>
      <c r="CY12" s="132"/>
      <c r="CZ12" s="143"/>
      <c r="DA12" s="127"/>
      <c r="DB12" s="50"/>
      <c r="DC12" s="114"/>
      <c r="DD12" s="114"/>
      <c r="DE12" s="114"/>
      <c r="DF12" s="114"/>
      <c r="DG12" s="114"/>
      <c r="DH12" s="112"/>
      <c r="DI12" s="33">
        <f t="shared" si="4"/>
        <v>0</v>
      </c>
      <c r="DJ12" s="52" t="b">
        <f>IF(AND(CZ12="CLIENT S+L",DA12="HUILE"),(DN12*3333.33+(VLOOKUP(DC12,'BASE '!$I$112:$J$142,2,0)))-((DN12*3333.33)*DB12),IF(AND(CZ12="CLIENT S+L",DA12="LAIT"),((DN12*952.4)-(DN12*952.4)*DB12),IF(CZ12="CLIENT O","OFFERT",IF(AND(DA12="HUILE",CZ12="CLIENT L"),(((VLOOKUP(DC12,'BASE '!$I$112:$J$142,2,0))+(VLOOKUP(DN12,'BASE '!#REF!,2,0)))),IF(AND(DA12="LAIT",CZ12="CLIENT L"),(DN12*952.4),IF(AND(DA12="HUILE",CZ12="CLIENT D"),(DN12*3809.53+(VLOOKUP(DC12,'BASE '!$I$112:$J$142,2,0))),IF(AND(DA12="LAIT",CZ12="CLIENT D"),(DN12*952.4),IF(AND(DA12="HUILE",CZ12="CLIENT S+D"),((DN12*3809.53+(VLOOKUP(DC12,'BASE '!$I$112:$J$142,2,0)))-((DN12*3809.53)*DB12)),IF(AND(DA12="LAIT",CZ12="CLIENT S+D"),((DN12*952.4)-((DN12*952.4)*DB12)),IF(AND(CZ12="CLIENT S",DA12="LAIT"),((DN12*952.4)-((DN12*952.4)*DB12)),IF(AND(DA12="HUILE",CZ12="CLIENT S"),(VLOOKUP(DC12,'BASE '!$I$112:$J$142,2,0)+(VLOOKUP(DN12,'BASE '!#REF!,2,0)))-(DB12*((VLOOKUP(DN12,'BASE '!#REF!,2,0)+(VLOOKUP(DC12,'BASE '!$I$112:$J$142,2,0))))))))))))))))</f>
        <v>0</v>
      </c>
      <c r="DK12" s="52" t="b">
        <f t="shared" si="5"/>
        <v>0</v>
      </c>
      <c r="DL12" s="53" t="b">
        <f t="shared" si="12"/>
        <v>0</v>
      </c>
      <c r="DM12" s="149" t="s">
        <v>175</v>
      </c>
      <c r="DN12" s="116">
        <f t="shared" si="13"/>
        <v>0</v>
      </c>
      <c r="DO12" s="124"/>
      <c r="DP12" s="42"/>
      <c r="DQ12" s="70"/>
      <c r="DR12" s="159"/>
      <c r="DS12" s="159"/>
      <c r="DT12" s="159"/>
      <c r="DU12" s="160"/>
      <c r="DV12" s="95"/>
      <c r="DW12" s="95"/>
      <c r="DX12" s="95"/>
      <c r="DY12" s="96"/>
    </row>
    <row r="13" spans="2:129" ht="15" customHeight="1" x14ac:dyDescent="0.3">
      <c r="B13" s="64"/>
      <c r="C13" s="148"/>
      <c r="D13" s="109"/>
      <c r="E13" s="63"/>
      <c r="F13" s="127"/>
      <c r="G13" s="50"/>
      <c r="H13" s="10"/>
      <c r="I13" s="10"/>
      <c r="J13" s="10"/>
      <c r="K13" s="10"/>
      <c r="L13" s="10"/>
      <c r="M13" s="39"/>
      <c r="N13" s="33">
        <f t="shared" si="0"/>
        <v>0</v>
      </c>
      <c r="O13" s="52" t="b">
        <f>IF(AND(E13="CLIENT S+L",F13="HUILE"),(S13*3333.33+(VLOOKUP(H13,'BASE '!$I$112:$J$142,2,0)))-((S13*3333.33)*G13),IF(AND(E13="CLIENT S+L",F13="LAIT"),((S13*952.4)-(S13*952.4)*G13),IF(E13="CLIENT O","OFFERT",IF(AND(F13="HUILE",E13="CLIENT L"),(((VLOOKUP(H13,'BASE '!$I$112:$J$142,2,0))+(VLOOKUP(S13,'BASE '!#REF!,2,0)))),IF(AND(F13="LAIT",E13="CLIENT L"),(S13*952.4),IF(AND(F13="HUILE",E13="CLIENT D"),(S13*3809.53+(VLOOKUP(H13,'BASE '!$I$112:$J$142,2,0))),IF(AND(F13="LAIT",E13="CLIENT D"),(S13*952.4),IF(AND(F13="HUILE",E13="CLIENT S+D"),((S13*3809.53+(VLOOKUP(H13,'BASE '!$I$112:$J$142,2,0)))-((S13*3809.53)*G13)),IF(AND(F13="LAIT",E13="CLIENT S+D"),((S13*952.4)-((S13*952.4)*G13)),IF(AND(E13="CLIENT S",F13="LAIT"),((S13*952.4)-((S13*952.4)*G13)),IF(AND(F13="HUILE",E13="CLIENT S"),(VLOOKUP(H13,'BASE '!$I$112:$J$142,2,0)+(VLOOKUP(S13,'BASE '!#REF!,2,0)))-(G13*((VLOOKUP(S13,'BASE '!#REF!,2,0)+(VLOOKUP(H13,'BASE '!$I$112:$J$142,2,0))))))))))))))))</f>
        <v>0</v>
      </c>
      <c r="P13" s="52" t="b">
        <f t="shared" si="1"/>
        <v>0</v>
      </c>
      <c r="Q13" s="53" t="b">
        <f t="shared" si="2"/>
        <v>0</v>
      </c>
      <c r="R13" s="152" t="s">
        <v>175</v>
      </c>
      <c r="S13" s="184">
        <f t="shared" si="6"/>
        <v>0</v>
      </c>
      <c r="T13" s="124"/>
      <c r="U13" s="41" t="s">
        <v>175</v>
      </c>
      <c r="V13" s="70" t="e">
        <f>VLOOKUP(U13,'BASE '!$A$4:$H$144,2,0)</f>
        <v>#N/A</v>
      </c>
      <c r="W13" s="159"/>
      <c r="X13" s="159"/>
      <c r="Y13" s="160"/>
      <c r="Z13" s="158" t="e">
        <f>VLOOKUP(U13,'BASE '!$A$4:$H$144,3,0)</f>
        <v>#N/A</v>
      </c>
      <c r="AA13" s="94" t="e">
        <f t="shared" si="3"/>
        <v>#N/A</v>
      </c>
      <c r="AB13" s="95" t="e">
        <f>VLOOKUP(U13,'BASE '!$A$4:$H$144,6,0)*Y13/100</f>
        <v>#N/A</v>
      </c>
      <c r="AC13" s="95" t="e">
        <f>VLOOKUP(U13,'BASE '!$A$4:$H$144,7,0)*Y13/100</f>
        <v>#N/A</v>
      </c>
      <c r="AD13" s="95" t="e">
        <f>VLOOKUP(U13,'BASE '!$A$4:$H$144,8,0)*Y13/100</f>
        <v>#N/A</v>
      </c>
      <c r="AE13" s="96" t="e">
        <f t="shared" si="7"/>
        <v>#N/A</v>
      </c>
      <c r="AF13" s="435" t="s">
        <v>7</v>
      </c>
      <c r="AG13" s="91" t="s">
        <v>157</v>
      </c>
      <c r="AH13" s="36" t="e">
        <f>SUMIFS($H$6:$H$165,$D$6:$D$165,AF13,CHOIX,AG13)</f>
        <v>#NAME?</v>
      </c>
      <c r="AI13" s="36" t="e">
        <f>SUMIFS($I$6:$I$165,$D$6:$D$165,AF13,CHOIX,AG13)</f>
        <v>#NAME?</v>
      </c>
      <c r="AJ13" s="36" t="e">
        <f>SUMIFS($J$6:$J$165,$D$6:$D$165,AF13,CHOIX,AG13)</f>
        <v>#NAME?</v>
      </c>
      <c r="AK13" s="36" t="e">
        <f>SUMIFS($K$6:$K$165,$D$6:$D$165,AF13,CHOIX,AG13)</f>
        <v>#NAME?</v>
      </c>
      <c r="AL13" s="36" t="e">
        <f>SUMIFS($L$6:$L$165,$D$6:$D$165,AF13,CHOIX,AG13)</f>
        <v>#NAME?</v>
      </c>
      <c r="AM13" s="36" t="e">
        <f>SUMIFS($M$6:$M$165,$D$6:$D$165,AF13,CHOIX,AG13)</f>
        <v>#NAME?</v>
      </c>
      <c r="AN13" s="91" t="s">
        <v>157</v>
      </c>
      <c r="AO13" s="83"/>
      <c r="AP13" s="63"/>
      <c r="AQ13" s="63"/>
      <c r="AR13" s="63"/>
      <c r="AS13" s="79"/>
      <c r="AT13" s="79"/>
      <c r="AU13" s="55" t="e">
        <f>SUMIFS($O$6:$O$165,$D$6:$D$165,AF13,CHOIX,AG13)</f>
        <v>#NAME?</v>
      </c>
      <c r="AV13" s="80" t="e">
        <f>SUMIFS($Q$6:$Q$165,$D$6:$D$165,AF13,CHOIX,AG13)</f>
        <v>#NAME?</v>
      </c>
      <c r="AW13" s="12"/>
      <c r="AX13" s="12"/>
      <c r="AY13" s="12"/>
      <c r="AZ13" s="8"/>
      <c r="BA13" s="148"/>
      <c r="BB13" s="148"/>
      <c r="BC13" s="148"/>
      <c r="BD13" s="10"/>
      <c r="BE13" s="10"/>
      <c r="BF13" s="10"/>
      <c r="BG13" s="10"/>
      <c r="BH13" s="10"/>
      <c r="BI13" s="10"/>
      <c r="BJ13" s="10"/>
      <c r="BK13" s="10"/>
      <c r="BL13" s="10"/>
      <c r="BM13" s="147">
        <f t="shared" si="8"/>
        <v>0</v>
      </c>
      <c r="BN13" s="147">
        <f t="shared" si="9"/>
        <v>0</v>
      </c>
      <c r="BO13" s="149"/>
      <c r="BP13" s="166"/>
      <c r="BQ13" s="12"/>
      <c r="BR13" s="12"/>
      <c r="BS13" s="476" t="s">
        <v>121</v>
      </c>
      <c r="BT13" s="481"/>
      <c r="BU13" s="477"/>
      <c r="BV13" s="545">
        <f t="shared" ref="BV13" si="18">BU13*BT13</f>
        <v>0</v>
      </c>
      <c r="BW13" s="580"/>
      <c r="BX13" s="576">
        <v>1</v>
      </c>
      <c r="BY13" s="497">
        <f>BH69</f>
        <v>0</v>
      </c>
      <c r="BZ13" s="496" t="e">
        <f>L166</f>
        <v>#NAME?</v>
      </c>
      <c r="CA13" s="542"/>
      <c r="CB13" s="477"/>
      <c r="CC13" s="544">
        <f t="shared" ref="CC13" si="19">BY13*CB13</f>
        <v>0</v>
      </c>
      <c r="CV13" s="64"/>
      <c r="CW13" s="148"/>
      <c r="CX13" s="109"/>
      <c r="CY13" s="132"/>
      <c r="CZ13" s="143"/>
      <c r="DA13" s="127"/>
      <c r="DB13" s="50"/>
      <c r="DC13" s="111"/>
      <c r="DD13" s="111"/>
      <c r="DE13" s="111"/>
      <c r="DF13" s="111"/>
      <c r="DG13" s="111"/>
      <c r="DH13" s="112"/>
      <c r="DI13" s="33">
        <f t="shared" si="4"/>
        <v>0</v>
      </c>
      <c r="DJ13" s="52" t="b">
        <f>IF(AND(CZ13="CLIENT S+L",DA13="HUILE"),(DN13*3333.33+(VLOOKUP(DC13,'BASE '!$I$112:$J$142,2,0)))-((DN13*3333.33)*DB13),IF(AND(CZ13="CLIENT S+L",DA13="LAIT"),((DN13*952.4)-(DN13*952.4)*DB13),IF(CZ13="CLIENT O","OFFERT",IF(AND(DA13="HUILE",CZ13="CLIENT L"),(((VLOOKUP(DC13,'BASE '!$I$112:$J$142,2,0))+(VLOOKUP(DN13,'BASE '!#REF!,2,0)))),IF(AND(DA13="LAIT",CZ13="CLIENT L"),(DN13*952.4),IF(AND(DA13="HUILE",CZ13="CLIENT D"),(DN13*3809.53+(VLOOKUP(DC13,'BASE '!$I$112:$J$142,2,0))),IF(AND(DA13="LAIT",CZ13="CLIENT D"),(DN13*952.4),IF(AND(DA13="HUILE",CZ13="CLIENT S+D"),((DN13*3809.53+(VLOOKUP(DC13,'BASE '!$I$112:$J$142,2,0)))-((DN13*3809.53)*DB13)),IF(AND(DA13="LAIT",CZ13="CLIENT S+D"),((DN13*952.4)-((DN13*952.4)*DB13)),IF(AND(CZ13="CLIENT S",DA13="LAIT"),((DN13*952.4)-((DN13*952.4)*DB13)),IF(AND(DA13="HUILE",CZ13="CLIENT S"),(VLOOKUP(DC13,'BASE '!$I$112:$J$142,2,0)+(VLOOKUP(DN13,'BASE '!#REF!,2,0)))-(DB13*((VLOOKUP(DN13,'BASE '!#REF!,2,0)+(VLOOKUP(DC13,'BASE '!$I$112:$J$142,2,0))))))))))))))))</f>
        <v>0</v>
      </c>
      <c r="DK13" s="52" t="b">
        <f t="shared" si="5"/>
        <v>0</v>
      </c>
      <c r="DL13" s="53" t="b">
        <f t="shared" si="12"/>
        <v>0</v>
      </c>
      <c r="DM13" s="149" t="s">
        <v>175</v>
      </c>
      <c r="DN13" s="116">
        <f t="shared" si="13"/>
        <v>0</v>
      </c>
      <c r="DO13" s="124"/>
      <c r="DP13" s="42"/>
      <c r="DQ13" s="70"/>
      <c r="DR13" s="159"/>
      <c r="DS13" s="159"/>
      <c r="DT13" s="159"/>
      <c r="DU13" s="160"/>
      <c r="DV13" s="95"/>
      <c r="DW13" s="95"/>
      <c r="DX13" s="95"/>
      <c r="DY13" s="96"/>
    </row>
    <row r="14" spans="2:129" ht="15" customHeight="1" x14ac:dyDescent="0.3">
      <c r="B14" s="64"/>
      <c r="C14" s="148"/>
      <c r="D14" s="109"/>
      <c r="E14" s="63"/>
      <c r="F14" s="127"/>
      <c r="G14" s="50"/>
      <c r="H14" s="10"/>
      <c r="I14" s="10"/>
      <c r="J14" s="10"/>
      <c r="K14" s="10"/>
      <c r="L14" s="10"/>
      <c r="M14" s="39"/>
      <c r="N14" s="33">
        <f t="shared" si="0"/>
        <v>0</v>
      </c>
      <c r="O14" s="52" t="b">
        <f>IF(AND(E14="CLIENT S+L",F14="HUILE"),(S14*3333.33+(VLOOKUP(H14,'BASE '!$I$112:$J$142,2,0)))-((S14*3333.33)*G14),IF(AND(E14="CLIENT S+L",F14="LAIT"),((S14*952.4)-(S14*952.4)*G14),IF(E14="CLIENT O","OFFERT",IF(AND(F14="HUILE",E14="CLIENT L"),(((VLOOKUP(H14,'BASE '!$I$112:$J$142,2,0))+(VLOOKUP(S14,'BASE '!#REF!,2,0)))),IF(AND(F14="LAIT",E14="CLIENT L"),(S14*952.4),IF(AND(F14="HUILE",E14="CLIENT D"),(S14*3809.53+(VLOOKUP(H14,'BASE '!$I$112:$J$142,2,0))),IF(AND(F14="LAIT",E14="CLIENT D"),(S14*952.4),IF(AND(F14="HUILE",E14="CLIENT S+D"),((S14*3809.53+(VLOOKUP(H14,'BASE '!$I$112:$J$142,2,0)))-((S14*3809.53)*G14)),IF(AND(F14="LAIT",E14="CLIENT S+D"),((S14*952.4)-((S14*952.4)*G14)),IF(AND(E14="CLIENT S",F14="LAIT"),((S14*952.4)-((S14*952.4)*G14)),IF(AND(F14="HUILE",E14="CLIENT S"),(VLOOKUP(H14,'BASE '!$I$112:$J$142,2,0)+(VLOOKUP(S14,'BASE '!#REF!,2,0)))-(G14*((VLOOKUP(S14,'BASE '!#REF!,2,0)+(VLOOKUP(H14,'BASE '!$I$112:$J$142,2,0))))))))))))))))</f>
        <v>0</v>
      </c>
      <c r="P14" s="52" t="b">
        <f t="shared" si="1"/>
        <v>0</v>
      </c>
      <c r="Q14" s="53" t="b">
        <f t="shared" si="2"/>
        <v>0</v>
      </c>
      <c r="R14" s="152" t="s">
        <v>175</v>
      </c>
      <c r="S14" s="184">
        <f t="shared" si="6"/>
        <v>0</v>
      </c>
      <c r="T14" s="124"/>
      <c r="U14" s="41" t="s">
        <v>175</v>
      </c>
      <c r="V14" s="70" t="e">
        <f>VLOOKUP(U14,'BASE '!$A$4:$H$144,2,0)</f>
        <v>#N/A</v>
      </c>
      <c r="W14" s="159"/>
      <c r="X14" s="159"/>
      <c r="Y14" s="160"/>
      <c r="Z14" s="158" t="e">
        <f>VLOOKUP(U14,'BASE '!$A$4:$H$144,3,0)</f>
        <v>#N/A</v>
      </c>
      <c r="AA14" s="94" t="e">
        <f t="shared" si="3"/>
        <v>#N/A</v>
      </c>
      <c r="AB14" s="95" t="e">
        <f>VLOOKUP(U14,'BASE '!$A$4:$H$144,6,0)*Y14/100</f>
        <v>#N/A</v>
      </c>
      <c r="AC14" s="95" t="e">
        <f>VLOOKUP(U14,'BASE '!$A$4:$H$144,7,0)*Y14/100</f>
        <v>#N/A</v>
      </c>
      <c r="AD14" s="95" t="e">
        <f>VLOOKUP(U14,'BASE '!$A$4:$H$144,8,0)*Y14/100</f>
        <v>#N/A</v>
      </c>
      <c r="AE14" s="96" t="e">
        <f t="shared" si="7"/>
        <v>#N/A</v>
      </c>
      <c r="AF14" s="435"/>
      <c r="AG14" s="1" t="s">
        <v>155</v>
      </c>
      <c r="AH14" s="36" t="e">
        <f>SUMIFS($H$6:$H$165,$D$6:$D$165,AF13,CHOIX,AG14)</f>
        <v>#NAME?</v>
      </c>
      <c r="AI14" s="36" t="e">
        <f>SUMIFS($I$6:$I$165,$D$6:$D$165,AF13,CHOIX,AG14)</f>
        <v>#NAME?</v>
      </c>
      <c r="AJ14" s="36" t="e">
        <f>SUMIFS($J$6:$J$165,$D$6:$D$165,AF13,CHOIX,AG14)</f>
        <v>#NAME?</v>
      </c>
      <c r="AK14" s="36" t="e">
        <f>SUMIFS($K$6:$K$165,$D$6:$D$165,AF13,CHOIX,AG14)</f>
        <v>#NAME?</v>
      </c>
      <c r="AL14" s="36" t="e">
        <f>SUMIFS($L$6:$L$165,$D$6:$D$165,AF13,CHOIX,AG14)</f>
        <v>#NAME?</v>
      </c>
      <c r="AM14" s="36" t="e">
        <f>SUMIFS($M$6:$M$165,$D$6:$D$165,AF13,CHOIX,AG14)</f>
        <v>#NAME?</v>
      </c>
      <c r="AN14" s="1" t="s">
        <v>155</v>
      </c>
      <c r="AO14" s="83"/>
      <c r="AP14" s="63"/>
      <c r="AQ14" s="63"/>
      <c r="AR14" s="63"/>
      <c r="AS14" s="79"/>
      <c r="AT14" s="79"/>
      <c r="AU14" s="55" t="e">
        <f>SUMIFS($O$6:$O$165,$D$6:$D$165,AF13,CHOIX,AG14)</f>
        <v>#NAME?</v>
      </c>
      <c r="AV14" s="80" t="e">
        <f>SUMIFS($Q$6:$Q$165,$D$6:$D$165,AF13,CHOIX,AG14)</f>
        <v>#NAME?</v>
      </c>
      <c r="AW14" s="12"/>
      <c r="AX14" s="12"/>
      <c r="AY14" s="12"/>
      <c r="AZ14" s="8"/>
      <c r="BA14" s="148"/>
      <c r="BB14" s="148"/>
      <c r="BC14" s="148"/>
      <c r="BD14" s="10"/>
      <c r="BE14" s="10"/>
      <c r="BF14" s="10"/>
      <c r="BG14" s="10"/>
      <c r="BH14" s="10"/>
      <c r="BI14" s="10"/>
      <c r="BJ14" s="10"/>
      <c r="BK14" s="10"/>
      <c r="BL14" s="10"/>
      <c r="BM14" s="147">
        <f t="shared" si="8"/>
        <v>0</v>
      </c>
      <c r="BN14" s="147">
        <f t="shared" si="9"/>
        <v>0</v>
      </c>
      <c r="BO14" s="149"/>
      <c r="BP14" s="166"/>
      <c r="BQ14" s="12"/>
      <c r="BR14" s="12"/>
      <c r="BS14" s="476"/>
      <c r="BT14" s="481"/>
      <c r="BU14" s="477"/>
      <c r="BV14" s="545"/>
      <c r="BW14" s="580"/>
      <c r="BX14" s="576"/>
      <c r="BY14" s="497"/>
      <c r="BZ14" s="497"/>
      <c r="CA14" s="543"/>
      <c r="CB14" s="477"/>
      <c r="CC14" s="544"/>
      <c r="CV14" s="64"/>
      <c r="CW14" s="148"/>
      <c r="CX14" s="109"/>
      <c r="CY14" s="132"/>
      <c r="CZ14" s="143"/>
      <c r="DA14" s="127"/>
      <c r="DB14" s="50"/>
      <c r="DC14" s="111"/>
      <c r="DD14" s="111"/>
      <c r="DE14" s="111"/>
      <c r="DF14" s="111"/>
      <c r="DG14" s="111"/>
      <c r="DH14" s="112"/>
      <c r="DI14" s="33">
        <f t="shared" si="4"/>
        <v>0</v>
      </c>
      <c r="DJ14" s="52" t="b">
        <f>IF(AND(CZ14="CLIENT S+L",DA14="HUILE"),(DN14*3333.33+(VLOOKUP(DC14,'BASE '!$I$112:$J$142,2,0)))-((DN14*3333.33)*DB14),IF(AND(CZ14="CLIENT S+L",DA14="LAIT"),((DN14*952.4)-(DN14*952.4)*DB14),IF(CZ14="CLIENT O","OFFERT",IF(AND(DA14="HUILE",CZ14="CLIENT L"),(((VLOOKUP(DC14,'BASE '!$I$112:$J$142,2,0))+(VLOOKUP(DN14,'BASE '!#REF!,2,0)))),IF(AND(DA14="LAIT",CZ14="CLIENT L"),(DN14*952.4),IF(AND(DA14="HUILE",CZ14="CLIENT D"),(DN14*3809.53+(VLOOKUP(DC14,'BASE '!$I$112:$J$142,2,0))),IF(AND(DA14="LAIT",CZ14="CLIENT D"),(DN14*952.4),IF(AND(DA14="HUILE",CZ14="CLIENT S+D"),((DN14*3809.53+(VLOOKUP(DC14,'BASE '!$I$112:$J$142,2,0)))-((DN14*3809.53)*DB14)),IF(AND(DA14="LAIT",CZ14="CLIENT S+D"),((DN14*952.4)-((DN14*952.4)*DB14)),IF(AND(CZ14="CLIENT S",DA14="LAIT"),((DN14*952.4)-((DN14*952.4)*DB14)),IF(AND(DA14="HUILE",CZ14="CLIENT S"),(VLOOKUP(DC14,'BASE '!$I$112:$J$142,2,0)+(VLOOKUP(DN14,'BASE '!#REF!,2,0)))-(DB14*((VLOOKUP(DN14,'BASE '!#REF!,2,0)+(VLOOKUP(DC14,'BASE '!$I$112:$J$142,2,0))))))))))))))))</f>
        <v>0</v>
      </c>
      <c r="DK14" s="52" t="b">
        <f t="shared" si="5"/>
        <v>0</v>
      </c>
      <c r="DL14" s="53" t="b">
        <f t="shared" si="12"/>
        <v>0</v>
      </c>
      <c r="DM14" s="149" t="s">
        <v>175</v>
      </c>
      <c r="DN14" s="116">
        <f t="shared" si="13"/>
        <v>0</v>
      </c>
      <c r="DO14" s="124"/>
      <c r="DP14" s="42"/>
      <c r="DQ14" s="70"/>
      <c r="DR14" s="159"/>
      <c r="DS14" s="159"/>
      <c r="DT14" s="159"/>
      <c r="DU14" s="160"/>
      <c r="DV14" s="95"/>
      <c r="DW14" s="95"/>
      <c r="DX14" s="95"/>
      <c r="DY14" s="96"/>
    </row>
    <row r="15" spans="2:129" ht="15" customHeight="1" x14ac:dyDescent="0.3">
      <c r="B15" s="64"/>
      <c r="C15" s="148"/>
      <c r="D15" s="109"/>
      <c r="E15" s="63"/>
      <c r="F15" s="127"/>
      <c r="G15" s="50"/>
      <c r="H15" s="10"/>
      <c r="I15" s="10"/>
      <c r="J15" s="10"/>
      <c r="K15" s="10"/>
      <c r="L15" s="10"/>
      <c r="M15" s="39"/>
      <c r="N15" s="33">
        <f t="shared" si="0"/>
        <v>0</v>
      </c>
      <c r="O15" s="52" t="b">
        <f>IF(AND(E15="CLIENT S+L",F15="HUILE"),(S15*3333.33+(VLOOKUP(H15,'BASE '!$I$112:$J$142,2,0)))-((S15*3333.33)*G15),IF(AND(E15="CLIENT S+L",F15="LAIT"),((S15*952.4)-(S15*952.4)*G15),IF(E15="CLIENT O","OFFERT",IF(AND(F15="HUILE",E15="CLIENT L"),(((VLOOKUP(H15,'BASE '!$I$112:$J$142,2,0))+(VLOOKUP(S15,'BASE '!#REF!,2,0)))),IF(AND(F15="LAIT",E15="CLIENT L"),(S15*952.4),IF(AND(F15="HUILE",E15="CLIENT D"),(S15*3809.53+(VLOOKUP(H15,'BASE '!$I$112:$J$142,2,0))),IF(AND(F15="LAIT",E15="CLIENT D"),(S15*952.4),IF(AND(F15="HUILE",E15="CLIENT S+D"),((S15*3809.53+(VLOOKUP(H15,'BASE '!$I$112:$J$142,2,0)))-((S15*3809.53)*G15)),IF(AND(F15="LAIT",E15="CLIENT S+D"),((S15*952.4)-((S15*952.4)*G15)),IF(AND(E15="CLIENT S",F15="LAIT"),((S15*952.4)-((S15*952.4)*G15)),IF(AND(F15="HUILE",E15="CLIENT S"),(VLOOKUP(H15,'BASE '!$I$112:$J$142,2,0)+(VLOOKUP(S15,'BASE '!#REF!,2,0)))-(G15*((VLOOKUP(S15,'BASE '!#REF!,2,0)+(VLOOKUP(H15,'BASE '!$I$112:$J$142,2,0))))))))))))))))</f>
        <v>0</v>
      </c>
      <c r="P15" s="52" t="b">
        <f t="shared" si="1"/>
        <v>0</v>
      </c>
      <c r="Q15" s="53" t="b">
        <f t="shared" si="2"/>
        <v>0</v>
      </c>
      <c r="R15" s="152" t="s">
        <v>175</v>
      </c>
      <c r="S15" s="184">
        <f t="shared" si="6"/>
        <v>0</v>
      </c>
      <c r="T15" s="124"/>
      <c r="U15" s="41" t="s">
        <v>175</v>
      </c>
      <c r="V15" s="70" t="e">
        <f>VLOOKUP(U15,'BASE '!$A$4:$H$144,2,0)</f>
        <v>#N/A</v>
      </c>
      <c r="W15" s="159"/>
      <c r="X15" s="159"/>
      <c r="Y15" s="160"/>
      <c r="Z15" s="158" t="e">
        <f>VLOOKUP(U15,'BASE '!$A$4:$H$144,3,0)</f>
        <v>#N/A</v>
      </c>
      <c r="AA15" s="94" t="e">
        <f t="shared" si="3"/>
        <v>#N/A</v>
      </c>
      <c r="AB15" s="95" t="e">
        <f>VLOOKUP(U15,'BASE '!$A$4:$H$144,6,0)*Y15/100</f>
        <v>#N/A</v>
      </c>
      <c r="AC15" s="95" t="e">
        <f>VLOOKUP(U15,'BASE '!$A$4:$H$144,7,0)*Y15/100</f>
        <v>#N/A</v>
      </c>
      <c r="AD15" s="95" t="e">
        <f>VLOOKUP(U15,'BASE '!$A$4:$H$144,8,0)*Y15/100</f>
        <v>#N/A</v>
      </c>
      <c r="AE15" s="96" t="e">
        <f t="shared" si="7"/>
        <v>#N/A</v>
      </c>
      <c r="AF15" s="435" t="s">
        <v>8</v>
      </c>
      <c r="AG15" s="91" t="s">
        <v>157</v>
      </c>
      <c r="AH15" s="36" t="e">
        <f>SUMIFS($H$6:$H$165,$D$6:$D$165,AF15,CHOIX,AG15)</f>
        <v>#NAME?</v>
      </c>
      <c r="AI15" s="36" t="e">
        <f>SUMIFS($I$6:$I$165,$D$6:$D$165,AF15,CHOIX,AG15)</f>
        <v>#NAME?</v>
      </c>
      <c r="AJ15" s="36" t="e">
        <f>SUMIFS($J$6:$J$165,$D$6:$D$165,AF15,CHOIX,AG15)</f>
        <v>#NAME?</v>
      </c>
      <c r="AK15" s="36" t="e">
        <f>SUMIFS($K$6:$K$165,$D$6:$D$165,AF15,CHOIX,AG15)</f>
        <v>#NAME?</v>
      </c>
      <c r="AL15" s="36" t="e">
        <f>SUMIFS($L$6:$L$165,$D$6:$D$165,AF15,CHOIX,AG15)</f>
        <v>#NAME?</v>
      </c>
      <c r="AM15" s="36" t="e">
        <f>SUMIFS($M$6:$M$165,$D$6:$D$165,AF15,CHOIX,AG15)</f>
        <v>#NAME?</v>
      </c>
      <c r="AN15" s="91" t="s">
        <v>157</v>
      </c>
      <c r="AO15" s="83"/>
      <c r="AP15" s="63"/>
      <c r="AQ15" s="63"/>
      <c r="AR15" s="63"/>
      <c r="AS15" s="79"/>
      <c r="AT15" s="79"/>
      <c r="AU15" s="55" t="e">
        <f>SUMIFS($O$6:$O$165,$D$6:$D$165,AF15,CHOIX,AG15)</f>
        <v>#NAME?</v>
      </c>
      <c r="AV15" s="80" t="e">
        <f>SUMIFS($Q$6:$Q$165,$D$6:$D$165,AF15,CHOIX,AG15)</f>
        <v>#NAME?</v>
      </c>
      <c r="AW15" s="12"/>
      <c r="AX15" s="12"/>
      <c r="AY15" s="12"/>
      <c r="AZ15" s="8"/>
      <c r="BA15" s="148"/>
      <c r="BB15" s="148"/>
      <c r="BC15" s="148"/>
      <c r="BD15" s="10"/>
      <c r="BE15" s="10"/>
      <c r="BF15" s="10"/>
      <c r="BG15" s="10"/>
      <c r="BH15" s="10"/>
      <c r="BI15" s="10"/>
      <c r="BJ15" s="10"/>
      <c r="BK15" s="10"/>
      <c r="BL15" s="10"/>
      <c r="BM15" s="147">
        <f t="shared" si="8"/>
        <v>0</v>
      </c>
      <c r="BN15" s="147">
        <f t="shared" si="9"/>
        <v>0</v>
      </c>
      <c r="BO15" s="149"/>
      <c r="BP15" s="166"/>
      <c r="BQ15" s="12"/>
      <c r="BR15" s="12"/>
      <c r="BS15" s="431" t="s">
        <v>176</v>
      </c>
      <c r="BT15" s="481"/>
      <c r="BU15" s="477"/>
      <c r="BV15" s="545">
        <f t="shared" ref="BV15" si="20">BU15*BT15</f>
        <v>0</v>
      </c>
      <c r="BW15" s="580"/>
      <c r="BX15" s="585">
        <v>5</v>
      </c>
      <c r="BY15" s="497">
        <f>BI70</f>
        <v>0</v>
      </c>
      <c r="BZ15" s="496" t="e">
        <f>M166</f>
        <v>#NAME?</v>
      </c>
      <c r="CA15" s="542"/>
      <c r="CB15" s="477"/>
      <c r="CC15" s="544">
        <f t="shared" ref="CC15" si="21">BY15*CB15</f>
        <v>0</v>
      </c>
      <c r="CV15" s="64"/>
      <c r="CW15" s="148"/>
      <c r="CX15" s="109"/>
      <c r="CY15" s="132"/>
      <c r="CZ15" s="143"/>
      <c r="DA15" s="63"/>
      <c r="DB15" s="50"/>
      <c r="DC15" s="111"/>
      <c r="DD15" s="111"/>
      <c r="DE15" s="111"/>
      <c r="DF15" s="111"/>
      <c r="DG15" s="111"/>
      <c r="DH15" s="112"/>
      <c r="DI15" s="33">
        <f t="shared" si="4"/>
        <v>0</v>
      </c>
      <c r="DJ15" s="52" t="b">
        <f>IF(AND(CZ15="CLIENT S+L",DA15="HUILE"),(DN15*3333.33+(VLOOKUP(DC15,'BASE '!$I$112:$J$142,2,0)))-((DN15*3333.33)*DB15),IF(AND(CZ15="CLIENT S+L",DA15="LAIT"),((DN15*952.4)-(DN15*952.4)*DB15),IF(CZ15="CLIENT O","OFFERT",IF(AND(DA15="HUILE",CZ15="CLIENT L"),(((VLOOKUP(DC15,'BASE '!$I$112:$J$142,2,0))+(VLOOKUP(DN15,'BASE '!#REF!,2,0)))),IF(AND(DA15="LAIT",CZ15="CLIENT L"),(DN15*952.4),IF(AND(DA15="HUILE",CZ15="CLIENT D"),(DN15*3809.53+(VLOOKUP(DC15,'BASE '!$I$112:$J$142,2,0))),IF(AND(DA15="LAIT",CZ15="CLIENT D"),(DN15*952.4),IF(AND(DA15="HUILE",CZ15="CLIENT S+D"),((DN15*3809.53+(VLOOKUP(DC15,'BASE '!$I$112:$J$142,2,0)))-((DN15*3809.53)*DB15)),IF(AND(DA15="LAIT",CZ15="CLIENT S+D"),((DN15*952.4)-((DN15*952.4)*DB15)),IF(AND(CZ15="CLIENT S",DA15="LAIT"),((DN15*952.4)-((DN15*952.4)*DB15)),IF(AND(DA15="HUILE",CZ15="CLIENT S"),(VLOOKUP(DC15,'BASE '!$I$112:$J$142,2,0)+(VLOOKUP(DN15,'BASE '!#REF!,2,0)))-(DB15*((VLOOKUP(DN15,'BASE '!#REF!,2,0)+(VLOOKUP(DC15,'BASE '!$I$112:$J$142,2,0))))))))))))))))</f>
        <v>0</v>
      </c>
      <c r="DK15" s="52" t="b">
        <f t="shared" si="5"/>
        <v>0</v>
      </c>
      <c r="DL15" s="53" t="b">
        <f t="shared" si="12"/>
        <v>0</v>
      </c>
      <c r="DM15" s="149" t="s">
        <v>175</v>
      </c>
      <c r="DN15" s="116">
        <f t="shared" si="13"/>
        <v>0</v>
      </c>
      <c r="DO15" s="124"/>
      <c r="DP15" s="42"/>
      <c r="DQ15" s="70"/>
      <c r="DR15" s="159"/>
      <c r="DS15" s="159"/>
      <c r="DT15" s="159"/>
      <c r="DU15" s="160"/>
      <c r="DV15" s="95"/>
      <c r="DW15" s="95"/>
      <c r="DX15" s="95"/>
      <c r="DY15" s="96"/>
    </row>
    <row r="16" spans="2:129" ht="15" customHeight="1" x14ac:dyDescent="0.3">
      <c r="B16" s="64"/>
      <c r="C16" s="148"/>
      <c r="D16" s="109"/>
      <c r="E16" s="63"/>
      <c r="F16" s="127"/>
      <c r="G16" s="50"/>
      <c r="H16" s="10"/>
      <c r="I16" s="10"/>
      <c r="J16" s="10"/>
      <c r="K16" s="10"/>
      <c r="L16" s="10"/>
      <c r="M16" s="39"/>
      <c r="N16" s="33">
        <f t="shared" si="0"/>
        <v>0</v>
      </c>
      <c r="O16" s="52" t="b">
        <f>IF(AND(E16="CLIENT S+L",F16="HUILE"),(S16*3333.33+(VLOOKUP(H16,'BASE '!$I$112:$J$142,2,0)))-((S16*3333.33)*G16),IF(AND(E16="CLIENT S+L",F16="LAIT"),((S16*952.4)-(S16*952.4)*G16),IF(E16="CLIENT O","OFFERT",IF(AND(F16="HUILE",E16="CLIENT L"),(((VLOOKUP(H16,'BASE '!$I$112:$J$142,2,0))+(VLOOKUP(S16,'BASE '!#REF!,2,0)))),IF(AND(F16="LAIT",E16="CLIENT L"),(S16*952.4),IF(AND(F16="HUILE",E16="CLIENT D"),(S16*3809.53+(VLOOKUP(H16,'BASE '!$I$112:$J$142,2,0))),IF(AND(F16="LAIT",E16="CLIENT D"),(S16*952.4),IF(AND(F16="HUILE",E16="CLIENT S+D"),((S16*3809.53+(VLOOKUP(H16,'BASE '!$I$112:$J$142,2,0)))-((S16*3809.53)*G16)),IF(AND(F16="LAIT",E16="CLIENT S+D"),((S16*952.4)-((S16*952.4)*G16)),IF(AND(E16="CLIENT S",F16="LAIT"),((S16*952.4)-((S16*952.4)*G16)),IF(AND(F16="HUILE",E16="CLIENT S"),(VLOOKUP(H16,'BASE '!$I$112:$J$142,2,0)+(VLOOKUP(S16,'BASE '!#REF!,2,0)))-(G16*((VLOOKUP(S16,'BASE '!#REF!,2,0)+(VLOOKUP(H16,'BASE '!$I$112:$J$142,2,0))))))))))))))))</f>
        <v>0</v>
      </c>
      <c r="P16" s="52" t="b">
        <f t="shared" si="1"/>
        <v>0</v>
      </c>
      <c r="Q16" s="53" t="b">
        <f t="shared" si="2"/>
        <v>0</v>
      </c>
      <c r="R16" s="152" t="s">
        <v>175</v>
      </c>
      <c r="S16" s="184">
        <f t="shared" si="6"/>
        <v>0</v>
      </c>
      <c r="T16" s="124"/>
      <c r="U16" s="41" t="s">
        <v>175</v>
      </c>
      <c r="V16" s="70" t="e">
        <f>VLOOKUP(U16,'BASE '!$A$4:$H$144,2,0)</f>
        <v>#N/A</v>
      </c>
      <c r="W16" s="159"/>
      <c r="X16" s="159"/>
      <c r="Y16" s="160"/>
      <c r="Z16" s="158" t="e">
        <f>VLOOKUP(U16,'BASE '!$A$4:$H$144,3,0)</f>
        <v>#N/A</v>
      </c>
      <c r="AA16" s="94" t="e">
        <f t="shared" si="3"/>
        <v>#N/A</v>
      </c>
      <c r="AB16" s="95" t="e">
        <f>VLOOKUP(U16,'BASE '!$A$4:$H$144,6,0)*Y16/100</f>
        <v>#N/A</v>
      </c>
      <c r="AC16" s="95" t="e">
        <f>VLOOKUP(U16,'BASE '!$A$4:$H$144,7,0)*Y16/100</f>
        <v>#N/A</v>
      </c>
      <c r="AD16" s="95" t="e">
        <f>VLOOKUP(U16,'BASE '!$A$4:$H$144,8,0)*Y16/100</f>
        <v>#N/A</v>
      </c>
      <c r="AE16" s="96" t="e">
        <f t="shared" si="7"/>
        <v>#N/A</v>
      </c>
      <c r="AF16" s="435"/>
      <c r="AG16" s="1" t="s">
        <v>155</v>
      </c>
      <c r="AH16" s="36" t="e">
        <f>SUMIFS($H$6:$H$165,$D$6:$D$165,AF15,CHOIX,AG16)</f>
        <v>#NAME?</v>
      </c>
      <c r="AI16" s="36" t="e">
        <f>SUMIFS($I$6:$I$165,$D$6:$D$165,AF15,CHOIX,AG16)</f>
        <v>#NAME?</v>
      </c>
      <c r="AJ16" s="36" t="e">
        <f>SUMIFS($J$6:$J$165,$D$6:$D$165,AF15,CHOIX,AG16)</f>
        <v>#NAME?</v>
      </c>
      <c r="AK16" s="36" t="e">
        <f>SUMIFS($K$6:$K$165,$D$6:$D$165,AF15,CHOIX,AG16)</f>
        <v>#NAME?</v>
      </c>
      <c r="AL16" s="36" t="e">
        <f>SUMIFS($L$6:$L$165,$D$6:$D$165,AF15,CHOIX,AG16)</f>
        <v>#NAME?</v>
      </c>
      <c r="AM16" s="36" t="e">
        <f>SUMIFS($M$6:$M$165,$D$6:$D$165,AF15,CHOIX,AG16)</f>
        <v>#NAME?</v>
      </c>
      <c r="AN16" s="1" t="s">
        <v>155</v>
      </c>
      <c r="AO16" s="83"/>
      <c r="AP16" s="63"/>
      <c r="AQ16" s="63"/>
      <c r="AR16" s="63"/>
      <c r="AS16" s="79"/>
      <c r="AT16" s="79"/>
      <c r="AU16" s="55" t="e">
        <f>SUMIFS($O$6:$O$165,$D$6:$D$165,AF15,CHOIX,AG16)</f>
        <v>#NAME?</v>
      </c>
      <c r="AV16" s="80" t="e">
        <f>SUMIFS($Q$6:$Q$165,$D$6:$D$165,AF15,CHOIX,AG16)</f>
        <v>#NAME?</v>
      </c>
      <c r="AW16" s="12"/>
      <c r="AX16" s="12"/>
      <c r="AY16" s="12"/>
      <c r="AZ16" s="8"/>
      <c r="BA16" s="148"/>
      <c r="BB16" s="148"/>
      <c r="BC16" s="148"/>
      <c r="BD16" s="10"/>
      <c r="BE16" s="10"/>
      <c r="BF16" s="10"/>
      <c r="BG16" s="10"/>
      <c r="BH16" s="10"/>
      <c r="BI16" s="10"/>
      <c r="BJ16" s="10"/>
      <c r="BK16" s="10"/>
      <c r="BL16" s="10"/>
      <c r="BM16" s="147">
        <f t="shared" si="8"/>
        <v>0</v>
      </c>
      <c r="BN16" s="147">
        <f t="shared" si="9"/>
        <v>0</v>
      </c>
      <c r="BO16" s="149"/>
      <c r="BP16" s="166"/>
      <c r="BQ16" s="12"/>
      <c r="BR16" s="12"/>
      <c r="BS16" s="431"/>
      <c r="BT16" s="481"/>
      <c r="BU16" s="477"/>
      <c r="BV16" s="545"/>
      <c r="BW16" s="581"/>
      <c r="BX16" s="585"/>
      <c r="BY16" s="497"/>
      <c r="BZ16" s="497"/>
      <c r="CA16" s="543"/>
      <c r="CB16" s="477"/>
      <c r="CC16" s="544"/>
      <c r="CV16" s="64"/>
      <c r="CW16" s="148"/>
      <c r="CX16" s="109"/>
      <c r="CY16" s="132"/>
      <c r="CZ16" s="143"/>
      <c r="DA16" s="63"/>
      <c r="DB16" s="50"/>
      <c r="DC16" s="10"/>
      <c r="DD16" s="10"/>
      <c r="DE16" s="10"/>
      <c r="DF16" s="10"/>
      <c r="DG16" s="10"/>
      <c r="DH16" s="39"/>
      <c r="DI16" s="33">
        <f t="shared" si="4"/>
        <v>0</v>
      </c>
      <c r="DJ16" s="52" t="b">
        <f>IF(AND(CZ16="CLIENT S+L",DA16="HUILE"),(DN16*3333.33+(VLOOKUP(DC16,'BASE '!$I$112:$J$142,2,0)))-((DN16*3333.33)*DB16),IF(AND(CZ16="CLIENT S+L",DA16="LAIT"),((DN16*952.4)-(DN16*952.4)*DB16),IF(CZ16="CLIENT O","OFFERT",IF(AND(DA16="HUILE",CZ16="CLIENT L"),(((VLOOKUP(DC16,'BASE '!$I$112:$J$142,2,0))+(VLOOKUP(DN16,'BASE '!#REF!,2,0)))),IF(AND(DA16="LAIT",CZ16="CLIENT L"),(DN16*952.4),IF(AND(DA16="HUILE",CZ16="CLIENT D"),(DN16*3809.53+(VLOOKUP(DC16,'BASE '!$I$112:$J$142,2,0))),IF(AND(DA16="LAIT",CZ16="CLIENT D"),(DN16*952.4),IF(AND(DA16="HUILE",CZ16="CLIENT S+D"),((DN16*3809.53+(VLOOKUP(DC16,'BASE '!$I$112:$J$142,2,0)))-((DN16*3809.53)*DB16)),IF(AND(DA16="LAIT",CZ16="CLIENT S+D"),((DN16*952.4)-((DN16*952.4)*DB16)),IF(AND(CZ16="CLIENT S",DA16="LAIT"),((DN16*952.4)-((DN16*952.4)*DB16)),IF(AND(DA16="HUILE",CZ16="CLIENT S"),(VLOOKUP(DC16,'BASE '!$I$112:$J$142,2,0)+(VLOOKUP(DN16,'BASE '!#REF!,2,0)))-(DB16*((VLOOKUP(DN16,'BASE '!#REF!,2,0)+(VLOOKUP(DC16,'BASE '!$I$112:$J$142,2,0))))))))))))))))</f>
        <v>0</v>
      </c>
      <c r="DK16" s="52" t="b">
        <f t="shared" si="5"/>
        <v>0</v>
      </c>
      <c r="DL16" s="53" t="b">
        <f t="shared" si="12"/>
        <v>0</v>
      </c>
      <c r="DM16" s="149" t="s">
        <v>175</v>
      </c>
      <c r="DN16" s="116">
        <f t="shared" si="13"/>
        <v>0</v>
      </c>
      <c r="DO16" s="124"/>
      <c r="DP16" s="42"/>
      <c r="DQ16" s="70"/>
      <c r="DR16" s="159"/>
      <c r="DS16" s="159"/>
      <c r="DT16" s="159"/>
      <c r="DU16" s="160"/>
      <c r="DV16" s="95"/>
      <c r="DW16" s="95"/>
      <c r="DX16" s="95"/>
      <c r="DY16" s="96"/>
    </row>
    <row r="17" spans="2:129" ht="15" customHeight="1" x14ac:dyDescent="0.3">
      <c r="B17" s="64"/>
      <c r="C17" s="148"/>
      <c r="D17" s="109"/>
      <c r="E17" s="63"/>
      <c r="F17" s="127"/>
      <c r="G17" s="50"/>
      <c r="H17" s="10"/>
      <c r="I17" s="10"/>
      <c r="J17" s="10"/>
      <c r="K17" s="10"/>
      <c r="L17" s="10"/>
      <c r="M17" s="39"/>
      <c r="N17" s="33">
        <f t="shared" si="0"/>
        <v>0</v>
      </c>
      <c r="O17" s="52" t="b">
        <f>IF(AND(E17="CLIENT S+L",F17="HUILE"),(S17*3333.33+(VLOOKUP(H17,'BASE '!$I$112:$J$142,2,0)))-((S17*3333.33)*G17),IF(AND(E17="CLIENT S+L",F17="LAIT"),((S17*952.4)-(S17*952.4)*G17),IF(E17="CLIENT O","OFFERT",IF(AND(F17="HUILE",E17="CLIENT L"),(((VLOOKUP(H17,'BASE '!$I$112:$J$142,2,0))+(VLOOKUP(S17,'BASE '!#REF!,2,0)))),IF(AND(F17="LAIT",E17="CLIENT L"),(S17*952.4),IF(AND(F17="HUILE",E17="CLIENT D"),(S17*3809.53+(VLOOKUP(H17,'BASE '!$I$112:$J$142,2,0))),IF(AND(F17="LAIT",E17="CLIENT D"),(S17*952.4),IF(AND(F17="HUILE",E17="CLIENT S+D"),((S17*3809.53+(VLOOKUP(H17,'BASE '!$I$112:$J$142,2,0)))-((S17*3809.53)*G17)),IF(AND(F17="LAIT",E17="CLIENT S+D"),((S17*952.4)-((S17*952.4)*G17)),IF(AND(E17="CLIENT S",F17="LAIT"),((S17*952.4)-((S17*952.4)*G17)),IF(AND(F17="HUILE",E17="CLIENT S"),(VLOOKUP(H17,'BASE '!$I$112:$J$142,2,0)+(VLOOKUP(S17,'BASE '!#REF!,2,0)))-(G17*((VLOOKUP(S17,'BASE '!#REF!,2,0)+(VLOOKUP(H17,'BASE '!$I$112:$J$142,2,0))))))))))))))))</f>
        <v>0</v>
      </c>
      <c r="P17" s="52" t="b">
        <f t="shared" si="1"/>
        <v>0</v>
      </c>
      <c r="Q17" s="53" t="b">
        <f t="shared" si="2"/>
        <v>0</v>
      </c>
      <c r="R17" s="152" t="s">
        <v>175</v>
      </c>
      <c r="S17" s="184">
        <f t="shared" si="6"/>
        <v>0</v>
      </c>
      <c r="T17" s="124"/>
      <c r="U17" s="41" t="s">
        <v>175</v>
      </c>
      <c r="V17" s="70" t="e">
        <f>VLOOKUP(U17,'BASE '!$A$4:$H$144,2,0)</f>
        <v>#N/A</v>
      </c>
      <c r="W17" s="159"/>
      <c r="X17" s="159"/>
      <c r="Y17" s="160"/>
      <c r="Z17" s="158" t="e">
        <f>VLOOKUP(U17,'BASE '!$A$4:$H$144,3,0)</f>
        <v>#N/A</v>
      </c>
      <c r="AA17" s="94" t="e">
        <f t="shared" si="3"/>
        <v>#N/A</v>
      </c>
      <c r="AB17" s="95" t="e">
        <f>VLOOKUP(U17,'BASE '!$A$4:$H$144,6,0)*Y17/100</f>
        <v>#N/A</v>
      </c>
      <c r="AC17" s="95" t="e">
        <f>VLOOKUP(U17,'BASE '!$A$4:$H$144,7,0)*Y17/100</f>
        <v>#N/A</v>
      </c>
      <c r="AD17" s="95" t="e">
        <f>VLOOKUP(U17,'BASE '!$A$4:$H$144,8,0)*Y17/100</f>
        <v>#N/A</v>
      </c>
      <c r="AE17" s="96" t="e">
        <f t="shared" si="7"/>
        <v>#N/A</v>
      </c>
      <c r="AF17" s="435" t="s">
        <v>131</v>
      </c>
      <c r="AG17" s="91" t="s">
        <v>157</v>
      </c>
      <c r="AH17" s="36" t="e">
        <f>SUMIFS($H$6:$H$165,$D$6:$D$165,AF17,CHOIX,AG17)</f>
        <v>#NAME?</v>
      </c>
      <c r="AI17" s="36" t="e">
        <f>SUMIFS($I$6:$I$165,$D$6:$D$165,AF17,CHOIX,AG17)</f>
        <v>#NAME?</v>
      </c>
      <c r="AJ17" s="36" t="e">
        <f>SUMIFS($J$6:$J$165,$D$6:$D$165,AF17,CHOIX,AG17)</f>
        <v>#NAME?</v>
      </c>
      <c r="AK17" s="36" t="e">
        <f>SUMIFS($K$6:$K$165,$D$6:$D$165,AF17,CHOIX,AG17)</f>
        <v>#NAME?</v>
      </c>
      <c r="AL17" s="36" t="e">
        <f>SUMIFS($L$6:$L$165,$D$6:$D$165,AF17,CHOIX,AG17)</f>
        <v>#NAME?</v>
      </c>
      <c r="AM17" s="36" t="e">
        <f>SUMIFS($M$6:$M$165,$D$6:$D$165,AF17,CHOIX,AG17)</f>
        <v>#NAME?</v>
      </c>
      <c r="AN17" s="91" t="s">
        <v>157</v>
      </c>
      <c r="AO17" s="83"/>
      <c r="AP17" s="63"/>
      <c r="AQ17" s="63"/>
      <c r="AR17" s="63"/>
      <c r="AS17" s="79"/>
      <c r="AT17" s="79"/>
      <c r="AU17" s="55" t="e">
        <f>SUMIFS($O$6:$O$165,$D$6:$D$165,AF17,CHOIX,AG17)</f>
        <v>#NAME?</v>
      </c>
      <c r="AV17" s="80" t="e">
        <f>SUMIFS($Q$6:$Q$165,$D$6:$D$165,AF17,CHOIX,AG17)</f>
        <v>#NAME?</v>
      </c>
      <c r="AW17" s="12"/>
      <c r="AX17" s="12"/>
      <c r="AY17" s="12"/>
      <c r="AZ17" s="8"/>
      <c r="BA17" s="148"/>
      <c r="BB17" s="148"/>
      <c r="BC17" s="148"/>
      <c r="BD17" s="10"/>
      <c r="BE17" s="10"/>
      <c r="BF17" s="10"/>
      <c r="BG17" s="10"/>
      <c r="BH17" s="10"/>
      <c r="BI17" s="10"/>
      <c r="BJ17" s="10"/>
      <c r="BK17" s="10"/>
      <c r="BL17" s="10"/>
      <c r="BM17" s="147">
        <f t="shared" si="8"/>
        <v>0</v>
      </c>
      <c r="BN17" s="147">
        <f t="shared" si="9"/>
        <v>0</v>
      </c>
      <c r="BO17" s="149"/>
      <c r="BP17" s="166"/>
      <c r="BQ17" s="12"/>
      <c r="BR17" s="12"/>
      <c r="BS17" s="476" t="s">
        <v>122</v>
      </c>
      <c r="BT17" s="481"/>
      <c r="BU17" s="477"/>
      <c r="BV17" s="545">
        <f t="shared" ref="BV17" si="22">BU17*BT17</f>
        <v>0</v>
      </c>
      <c r="BW17" s="591" t="s">
        <v>155</v>
      </c>
      <c r="BX17" s="576">
        <v>25</v>
      </c>
      <c r="BY17" s="497">
        <f>BJ71</f>
        <v>0</v>
      </c>
      <c r="BZ17" s="496" t="e">
        <f>I168</f>
        <v>#NAME?</v>
      </c>
      <c r="CA17" s="542"/>
      <c r="CB17" s="477">
        <v>250</v>
      </c>
      <c r="CC17" s="544">
        <f t="shared" ref="CC17" si="23">BY17*CB17</f>
        <v>0</v>
      </c>
      <c r="CV17" s="64"/>
      <c r="CW17" s="148"/>
      <c r="CX17" s="109"/>
      <c r="CY17" s="132"/>
      <c r="CZ17" s="143"/>
      <c r="DA17" s="63"/>
      <c r="DB17" s="50"/>
      <c r="DC17" s="10"/>
      <c r="DD17" s="10"/>
      <c r="DE17" s="10"/>
      <c r="DF17" s="10"/>
      <c r="DG17" s="10"/>
      <c r="DH17" s="39"/>
      <c r="DI17" s="33">
        <f t="shared" si="4"/>
        <v>0</v>
      </c>
      <c r="DJ17" s="52" t="b">
        <f>IF(AND(CZ17="CLIENT S+L",DA17="HUILE"),(DN17*3333.33+(VLOOKUP(DC17,'BASE '!$I$112:$J$142,2,0)))-((DN17*3333.33)*DB17),IF(AND(CZ17="CLIENT S+L",DA17="LAIT"),((DN17*952.4)-(DN17*952.4)*DB17),IF(CZ17="CLIENT O","OFFERT",IF(AND(DA17="HUILE",CZ17="CLIENT L"),(((VLOOKUP(DC17,'BASE '!$I$112:$J$142,2,0))+(VLOOKUP(DN17,'BASE '!#REF!,2,0)))),IF(AND(DA17="LAIT",CZ17="CLIENT L"),(DN17*952.4),IF(AND(DA17="HUILE",CZ17="CLIENT D"),(DN17*3809.53+(VLOOKUP(DC17,'BASE '!$I$112:$J$142,2,0))),IF(AND(DA17="LAIT",CZ17="CLIENT D"),(DN17*952.4),IF(AND(DA17="HUILE",CZ17="CLIENT S+D"),((DN17*3809.53+(VLOOKUP(DC17,'BASE '!$I$112:$J$142,2,0)))-((DN17*3809.53)*DB17)),IF(AND(DA17="LAIT",CZ17="CLIENT S+D"),((DN17*952.4)-((DN17*952.4)*DB17)),IF(AND(CZ17="CLIENT S",DA17="LAIT"),((DN17*952.4)-((DN17*952.4)*DB17)),IF(AND(DA17="HUILE",CZ17="CLIENT S"),(VLOOKUP(DC17,'BASE '!$I$112:$J$142,2,0)+(VLOOKUP(DN17,'BASE '!#REF!,2,0)))-(DB17*((VLOOKUP(DN17,'BASE '!#REF!,2,0)+(VLOOKUP(DC17,'BASE '!$I$112:$J$142,2,0))))))))))))))))</f>
        <v>0</v>
      </c>
      <c r="DK17" s="52" t="b">
        <f t="shared" si="5"/>
        <v>0</v>
      </c>
      <c r="DL17" s="53" t="b">
        <f t="shared" si="12"/>
        <v>0</v>
      </c>
      <c r="DM17" s="149"/>
      <c r="DN17" s="116">
        <f t="shared" si="13"/>
        <v>0</v>
      </c>
      <c r="DO17" s="124"/>
      <c r="DP17" s="42"/>
      <c r="DQ17" s="70"/>
      <c r="DR17" s="159"/>
      <c r="DS17" s="159"/>
      <c r="DT17" s="159"/>
      <c r="DU17" s="160"/>
      <c r="DV17" s="95"/>
      <c r="DW17" s="95"/>
      <c r="DX17" s="95"/>
      <c r="DY17" s="96"/>
    </row>
    <row r="18" spans="2:129" ht="15" customHeight="1" x14ac:dyDescent="0.3">
      <c r="B18" s="64"/>
      <c r="C18" s="148"/>
      <c r="D18" s="109"/>
      <c r="E18" s="63"/>
      <c r="F18" s="127"/>
      <c r="G18" s="50"/>
      <c r="H18" s="10"/>
      <c r="I18" s="10"/>
      <c r="J18" s="10"/>
      <c r="K18" s="10"/>
      <c r="L18" s="10"/>
      <c r="M18" s="39"/>
      <c r="N18" s="33">
        <f t="shared" si="0"/>
        <v>0</v>
      </c>
      <c r="O18" s="52" t="b">
        <f>IF(AND(E18="CLIENT S+L",F18="HUILE"),(S18*3333.33+(VLOOKUP(H18,'BASE '!$I$112:$J$142,2,0)))-((S18*3333.33)*G18),IF(AND(E18="CLIENT S+L",F18="LAIT"),((S18*952.4)-(S18*952.4)*G18),IF(E18="CLIENT O","OFFERT",IF(AND(F18="HUILE",E18="CLIENT L"),(((VLOOKUP(H18,'BASE '!$I$112:$J$142,2,0))+(VLOOKUP(S18,'BASE '!#REF!,2,0)))),IF(AND(F18="LAIT",E18="CLIENT L"),(S18*952.4),IF(AND(F18="HUILE",E18="CLIENT D"),(S18*3809.53+(VLOOKUP(H18,'BASE '!$I$112:$J$142,2,0))),IF(AND(F18="LAIT",E18="CLIENT D"),(S18*952.4),IF(AND(F18="HUILE",E18="CLIENT S+D"),((S18*3809.53+(VLOOKUP(H18,'BASE '!$I$112:$J$142,2,0)))-((S18*3809.53)*G18)),IF(AND(F18="LAIT",E18="CLIENT S+D"),((S18*952.4)-((S18*952.4)*G18)),IF(AND(E18="CLIENT S",F18="LAIT"),((S18*952.4)-((S18*952.4)*G18)),IF(AND(F18="HUILE",E18="CLIENT S"),(VLOOKUP(H18,'BASE '!$I$112:$J$142,2,0)+(VLOOKUP(S18,'BASE '!#REF!,2,0)))-(G18*((VLOOKUP(S18,'BASE '!#REF!,2,0)+(VLOOKUP(H18,'BASE '!$I$112:$J$142,2,0))))))))))))))))</f>
        <v>0</v>
      </c>
      <c r="P18" s="52" t="b">
        <f t="shared" si="1"/>
        <v>0</v>
      </c>
      <c r="Q18" s="53" t="b">
        <f t="shared" si="2"/>
        <v>0</v>
      </c>
      <c r="R18" s="152" t="s">
        <v>175</v>
      </c>
      <c r="S18" s="184">
        <f t="shared" si="6"/>
        <v>0</v>
      </c>
      <c r="T18" s="124"/>
      <c r="U18" s="41" t="s">
        <v>175</v>
      </c>
      <c r="V18" s="70" t="e">
        <f>VLOOKUP(U18,'BASE '!$A$4:$H$144,2,0)</f>
        <v>#N/A</v>
      </c>
      <c r="W18" s="159"/>
      <c r="X18" s="159"/>
      <c r="Y18" s="160"/>
      <c r="Z18" s="158" t="e">
        <f>VLOOKUP(U18,'BASE '!$A$4:$H$144,3,0)</f>
        <v>#N/A</v>
      </c>
      <c r="AA18" s="94" t="e">
        <f t="shared" si="3"/>
        <v>#N/A</v>
      </c>
      <c r="AB18" s="95" t="e">
        <f>VLOOKUP(U18,'BASE '!$A$4:$H$144,6,0)*Y18/100</f>
        <v>#N/A</v>
      </c>
      <c r="AC18" s="95" t="e">
        <f>VLOOKUP(U18,'BASE '!$A$4:$H$144,7,0)*Y18/100</f>
        <v>#N/A</v>
      </c>
      <c r="AD18" s="95" t="e">
        <f>VLOOKUP(U18,'BASE '!$A$4:$H$144,8,0)*Y18/100</f>
        <v>#N/A</v>
      </c>
      <c r="AE18" s="96" t="e">
        <f t="shared" si="7"/>
        <v>#N/A</v>
      </c>
      <c r="AF18" s="435"/>
      <c r="AG18" s="1" t="s">
        <v>155</v>
      </c>
      <c r="AH18" s="36" t="e">
        <f>SUMIFS($H$6:$H$165,$D$6:$D$165,AF17,CHOIX,AG18)</f>
        <v>#NAME?</v>
      </c>
      <c r="AI18" s="36" t="e">
        <f>SUMIFS($I$6:$I$165,$D$6:$D$165,AF17,CHOIX,AG18)</f>
        <v>#NAME?</v>
      </c>
      <c r="AJ18" s="36" t="e">
        <f>SUMIFS($J$6:$J$165,$D$6:$D$165,AF17,CHOIX,AG18)</f>
        <v>#NAME?</v>
      </c>
      <c r="AK18" s="36" t="e">
        <f>SUMIFS($K$6:$K$165,$D$6:$D$165,AF17,CHOIX,AG18)</f>
        <v>#NAME?</v>
      </c>
      <c r="AL18" s="36" t="e">
        <f>SUMIFS($L$6:$L$165,$D$6:$D$165,AF17,CHOIX,AG18)</f>
        <v>#NAME?</v>
      </c>
      <c r="AM18" s="36" t="e">
        <f>SUMIFS($M$6:$M$165,$D$6:$D$165,AF17,CHOIX,AG18)</f>
        <v>#NAME?</v>
      </c>
      <c r="AN18" s="1" t="s">
        <v>155</v>
      </c>
      <c r="AO18" s="83"/>
      <c r="AP18" s="63"/>
      <c r="AQ18" s="63"/>
      <c r="AR18" s="63"/>
      <c r="AS18" s="79"/>
      <c r="AT18" s="79"/>
      <c r="AU18" s="55" t="e">
        <f>SUMIFS($O$6:$O$165,$D$6:$D$165,AF17,CHOIX,AG18)</f>
        <v>#NAME?</v>
      </c>
      <c r="AV18" s="80" t="e">
        <f>SUMIFS($Q$6:$Q$165,$D$6:$D$165,AF17,CHOIX,AG18)</f>
        <v>#NAME?</v>
      </c>
      <c r="AW18" s="12"/>
      <c r="AX18" s="12"/>
      <c r="AY18" s="12"/>
      <c r="AZ18" s="8"/>
      <c r="BA18" s="148"/>
      <c r="BB18" s="148"/>
      <c r="BC18" s="148"/>
      <c r="BD18" s="10"/>
      <c r="BE18" s="10"/>
      <c r="BF18" s="10"/>
      <c r="BG18" s="10"/>
      <c r="BH18" s="10"/>
      <c r="BI18" s="10"/>
      <c r="BJ18" s="10"/>
      <c r="BK18" s="10"/>
      <c r="BL18" s="10"/>
      <c r="BM18" s="147">
        <f t="shared" si="8"/>
        <v>0</v>
      </c>
      <c r="BN18" s="147">
        <f t="shared" si="9"/>
        <v>0</v>
      </c>
      <c r="BO18" s="149"/>
      <c r="BP18" s="166"/>
      <c r="BQ18" s="12"/>
      <c r="BR18" s="12"/>
      <c r="BS18" s="476"/>
      <c r="BT18" s="481"/>
      <c r="BU18" s="477"/>
      <c r="BV18" s="545"/>
      <c r="BW18" s="580"/>
      <c r="BX18" s="576"/>
      <c r="BY18" s="497"/>
      <c r="BZ18" s="497"/>
      <c r="CA18" s="543"/>
      <c r="CB18" s="477"/>
      <c r="CC18" s="544"/>
      <c r="CV18" s="64"/>
      <c r="CW18" s="148"/>
      <c r="CX18" s="109"/>
      <c r="CY18" s="132"/>
      <c r="CZ18" s="143"/>
      <c r="DA18" s="63"/>
      <c r="DB18" s="50"/>
      <c r="DC18" s="10"/>
      <c r="DD18" s="10"/>
      <c r="DE18" s="10"/>
      <c r="DF18" s="10"/>
      <c r="DG18" s="10"/>
      <c r="DH18" s="39"/>
      <c r="DI18" s="33">
        <f t="shared" si="4"/>
        <v>0</v>
      </c>
      <c r="DJ18" s="52" t="b">
        <f>IF(AND(CZ18="CLIENT S+L",DA18="HUILE"),(DN18*3333.33+(VLOOKUP(DC18,'BASE '!$I$112:$J$142,2,0)))-((DN18*3333.33)*DB18),IF(AND(CZ18="CLIENT S+L",DA18="LAIT"),((DN18*952.4)-(DN18*952.4)*DB18),IF(CZ18="CLIENT O","OFFERT",IF(AND(DA18="HUILE",CZ18="CLIENT L"),(((VLOOKUP(DC18,'BASE '!$I$112:$J$142,2,0))+(VLOOKUP(DN18,'BASE '!#REF!,2,0)))),IF(AND(DA18="LAIT",CZ18="CLIENT L"),(DN18*952.4),IF(AND(DA18="HUILE",CZ18="CLIENT D"),(DN18*3809.53+(VLOOKUP(DC18,'BASE '!$I$112:$J$142,2,0))),IF(AND(DA18="LAIT",CZ18="CLIENT D"),(DN18*952.4),IF(AND(DA18="HUILE",CZ18="CLIENT S+D"),((DN18*3809.53+(VLOOKUP(DC18,'BASE '!$I$112:$J$142,2,0)))-((DN18*3809.53)*DB18)),IF(AND(DA18="LAIT",CZ18="CLIENT S+D"),((DN18*952.4)-((DN18*952.4)*DB18)),IF(AND(CZ18="CLIENT S",DA18="LAIT"),((DN18*952.4)-((DN18*952.4)*DB18)),IF(AND(DA18="HUILE",CZ18="CLIENT S"),(VLOOKUP(DC18,'BASE '!$I$112:$J$142,2,0)+(VLOOKUP(DN18,'BASE '!#REF!,2,0)))-(DB18*((VLOOKUP(DN18,'BASE '!#REF!,2,0)+(VLOOKUP(DC18,'BASE '!$I$112:$J$142,2,0))))))))))))))))</f>
        <v>0</v>
      </c>
      <c r="DK18" s="52" t="b">
        <f t="shared" si="5"/>
        <v>0</v>
      </c>
      <c r="DL18" s="53" t="b">
        <f t="shared" si="12"/>
        <v>0</v>
      </c>
      <c r="DM18" s="149"/>
      <c r="DN18" s="116">
        <f t="shared" si="13"/>
        <v>0</v>
      </c>
      <c r="DO18" s="124"/>
      <c r="DP18" s="42"/>
      <c r="DQ18" s="70"/>
      <c r="DR18" s="159"/>
      <c r="DS18" s="159"/>
      <c r="DT18" s="159"/>
      <c r="DU18" s="160"/>
      <c r="DV18" s="95"/>
      <c r="DW18" s="95"/>
      <c r="DX18" s="95"/>
      <c r="DY18" s="96"/>
    </row>
    <row r="19" spans="2:129" ht="15" customHeight="1" x14ac:dyDescent="0.3">
      <c r="B19" s="64"/>
      <c r="C19" s="148"/>
      <c r="D19" s="109"/>
      <c r="E19" s="63"/>
      <c r="F19" s="127"/>
      <c r="G19" s="50"/>
      <c r="H19" s="10"/>
      <c r="I19" s="10"/>
      <c r="J19" s="10"/>
      <c r="K19" s="10"/>
      <c r="L19" s="10"/>
      <c r="M19" s="39"/>
      <c r="N19" s="33">
        <f t="shared" si="0"/>
        <v>0</v>
      </c>
      <c r="O19" s="52" t="b">
        <f>IF(AND(E19="CLIENT S+L",F19="HUILE"),(S19*3333.33+(VLOOKUP(H19,'BASE '!$I$112:$J$142,2,0)))-((S19*3333.33)*G19),IF(AND(E19="CLIENT S+L",F19="LAIT"),((S19*952.4)-(S19*952.4)*G19),IF(E19="CLIENT O","OFFERT",IF(AND(F19="HUILE",E19="CLIENT L"),(((VLOOKUP(H19,'BASE '!$I$112:$J$142,2,0))+(VLOOKUP(S19,'BASE '!#REF!,2,0)))),IF(AND(F19="LAIT",E19="CLIENT L"),(S19*952.4),IF(AND(F19="HUILE",E19="CLIENT D"),(S19*3809.53+(VLOOKUP(H19,'BASE '!$I$112:$J$142,2,0))),IF(AND(F19="LAIT",E19="CLIENT D"),(S19*952.4),IF(AND(F19="HUILE",E19="CLIENT S+D"),((S19*3809.53+(VLOOKUP(H19,'BASE '!$I$112:$J$142,2,0)))-((S19*3809.53)*G19)),IF(AND(F19="LAIT",E19="CLIENT S+D"),((S19*952.4)-((S19*952.4)*G19)),IF(AND(E19="CLIENT S",F19="LAIT"),((S19*952.4)-((S19*952.4)*G19)),IF(AND(F19="HUILE",E19="CLIENT S"),(VLOOKUP(H19,'BASE '!$I$112:$J$142,2,0)+(VLOOKUP(S19,'BASE '!#REF!,2,0)))-(G19*((VLOOKUP(S19,'BASE '!#REF!,2,0)+(VLOOKUP(H19,'BASE '!$I$112:$J$142,2,0))))))))))))))))</f>
        <v>0</v>
      </c>
      <c r="P19" s="52" t="b">
        <f t="shared" si="1"/>
        <v>0</v>
      </c>
      <c r="Q19" s="53" t="b">
        <f t="shared" si="2"/>
        <v>0</v>
      </c>
      <c r="R19" s="152" t="s">
        <v>175</v>
      </c>
      <c r="S19" s="184">
        <f t="shared" si="6"/>
        <v>0</v>
      </c>
      <c r="T19" s="124"/>
      <c r="U19" s="41" t="s">
        <v>175</v>
      </c>
      <c r="V19" s="70" t="e">
        <f>VLOOKUP(U19,'BASE '!$A$4:$H$144,2,0)</f>
        <v>#N/A</v>
      </c>
      <c r="W19" s="159"/>
      <c r="X19" s="159"/>
      <c r="Y19" s="160"/>
      <c r="Z19" s="158" t="e">
        <f>VLOOKUP(U19,'BASE '!$A$4:$H$144,3,0)</f>
        <v>#N/A</v>
      </c>
      <c r="AA19" s="94" t="e">
        <f t="shared" si="3"/>
        <v>#N/A</v>
      </c>
      <c r="AB19" s="95" t="e">
        <f>VLOOKUP(U19,'BASE '!$A$4:$H$144,6,0)*Y19/100</f>
        <v>#N/A</v>
      </c>
      <c r="AC19" s="95" t="e">
        <f>VLOOKUP(U19,'BASE '!$A$4:$H$144,7,0)*Y19/100</f>
        <v>#N/A</v>
      </c>
      <c r="AD19" s="95" t="e">
        <f>VLOOKUP(U19,'BASE '!$A$4:$H$144,8,0)*Y19/100</f>
        <v>#N/A</v>
      </c>
      <c r="AE19" s="96" t="e">
        <f t="shared" si="7"/>
        <v>#N/A</v>
      </c>
      <c r="AF19" s="435" t="s">
        <v>20</v>
      </c>
      <c r="AG19" s="91" t="s">
        <v>157</v>
      </c>
      <c r="AH19" s="36" t="e">
        <f>SUMIFS($H$6:$H$165,$D$6:$D$165,AF19,CHOIX,AG19)</f>
        <v>#NAME?</v>
      </c>
      <c r="AI19" s="36" t="e">
        <f>SUMIFS($I$6:$I$165,$D$6:$D$165,AF19,CHOIX,AG19)</f>
        <v>#NAME?</v>
      </c>
      <c r="AJ19" s="36" t="e">
        <f>SUMIFS($J$6:$J$165,$D$6:$D$165,AF19,CHOIX,AG19)</f>
        <v>#NAME?</v>
      </c>
      <c r="AK19" s="36" t="e">
        <f>SUMIFS($K$6:$K$165,$D$6:$D$165,AF19,CHOIX,AG19)</f>
        <v>#NAME?</v>
      </c>
      <c r="AL19" s="36" t="e">
        <f>SUMIFS($L$6:$L$165,$D$6:$D$165,AF19,CHOIX,AG19)</f>
        <v>#NAME?</v>
      </c>
      <c r="AM19" s="36" t="e">
        <f>SUMIFS($M$6:$M$165,$D$6:$D$165,AF19,CHOIX,AG19)</f>
        <v>#NAME?</v>
      </c>
      <c r="AN19" s="91" t="s">
        <v>157</v>
      </c>
      <c r="AO19" s="83"/>
      <c r="AP19" s="63"/>
      <c r="AQ19" s="63"/>
      <c r="AR19" s="63"/>
      <c r="AS19" s="79"/>
      <c r="AT19" s="79"/>
      <c r="AU19" s="55" t="e">
        <f>SUMIFS($O$6:$O$165,$D$6:$D$165,AF19,CHOIX,AG19)</f>
        <v>#NAME?</v>
      </c>
      <c r="AV19" s="80" t="e">
        <f>SUMIFS($Q$6:$Q$165,$D$6:$D$165,AF19,CHOIX,AG19)</f>
        <v>#NAME?</v>
      </c>
      <c r="AW19" s="12"/>
      <c r="AX19" s="12"/>
      <c r="AY19" s="12"/>
      <c r="AZ19" s="8"/>
      <c r="BA19" s="148"/>
      <c r="BB19" s="148"/>
      <c r="BC19" s="148"/>
      <c r="BD19" s="10"/>
      <c r="BE19" s="10"/>
      <c r="BF19" s="10"/>
      <c r="BG19" s="10"/>
      <c r="BH19" s="10"/>
      <c r="BI19" s="10"/>
      <c r="BJ19" s="10"/>
      <c r="BK19" s="10"/>
      <c r="BL19" s="10"/>
      <c r="BM19" s="147">
        <f t="shared" si="8"/>
        <v>0</v>
      </c>
      <c r="BN19" s="147">
        <f t="shared" si="9"/>
        <v>0</v>
      </c>
      <c r="BO19" s="149"/>
      <c r="BP19" s="166"/>
      <c r="BQ19" s="12"/>
      <c r="BR19" s="12"/>
      <c r="BS19" s="476" t="s">
        <v>15</v>
      </c>
      <c r="BT19" s="481"/>
      <c r="BU19" s="475">
        <v>4.016</v>
      </c>
      <c r="BV19" s="545">
        <f t="shared" ref="BV19" si="24">BU19*BT19</f>
        <v>0</v>
      </c>
      <c r="BW19" s="580"/>
      <c r="BX19" s="576">
        <v>50</v>
      </c>
      <c r="BY19" s="497">
        <f>BK72</f>
        <v>0</v>
      </c>
      <c r="BZ19" s="496" t="e">
        <f>J168</f>
        <v>#NAME?</v>
      </c>
      <c r="CA19" s="542"/>
      <c r="CB19" s="475">
        <v>500</v>
      </c>
      <c r="CC19" s="544">
        <f t="shared" ref="CC19" si="25">BY19*CB19</f>
        <v>0</v>
      </c>
      <c r="CV19" s="64"/>
      <c r="CW19" s="148"/>
      <c r="CX19" s="109"/>
      <c r="CY19" s="132"/>
      <c r="CZ19" s="143"/>
      <c r="DA19" s="63"/>
      <c r="DB19" s="50"/>
      <c r="DC19" s="10"/>
      <c r="DD19" s="10"/>
      <c r="DE19" s="10"/>
      <c r="DF19" s="10"/>
      <c r="DG19" s="10"/>
      <c r="DH19" s="39"/>
      <c r="DI19" s="33">
        <f t="shared" si="4"/>
        <v>0</v>
      </c>
      <c r="DJ19" s="52" t="b">
        <f>IF(AND(CZ19="CLIENT S+L",DA19="HUILE"),(DN19*3333.33+(VLOOKUP(DC19,'BASE '!$I$112:$J$142,2,0)))-((DN19*3333.33)*DB19),IF(AND(CZ19="CLIENT S+L",DA19="LAIT"),((DN19*952.4)-(DN19*952.4)*DB19),IF(CZ19="CLIENT O","OFFERT",IF(AND(DA19="HUILE",CZ19="CLIENT L"),(((VLOOKUP(DC19,'BASE '!$I$112:$J$142,2,0))+(VLOOKUP(DN19,'BASE '!#REF!,2,0)))),IF(AND(DA19="LAIT",CZ19="CLIENT L"),(DN19*952.4),IF(AND(DA19="HUILE",CZ19="CLIENT D"),(DN19*3809.53+(VLOOKUP(DC19,'BASE '!$I$112:$J$142,2,0))),IF(AND(DA19="LAIT",CZ19="CLIENT D"),(DN19*952.4),IF(AND(DA19="HUILE",CZ19="CLIENT S+D"),((DN19*3809.53+(VLOOKUP(DC19,'BASE '!$I$112:$J$142,2,0)))-((DN19*3809.53)*DB19)),IF(AND(DA19="LAIT",CZ19="CLIENT S+D"),((DN19*952.4)-((DN19*952.4)*DB19)),IF(AND(CZ19="CLIENT S",DA19="LAIT"),((DN19*952.4)-((DN19*952.4)*DB19)),IF(AND(DA19="HUILE",CZ19="CLIENT S"),(VLOOKUP(DC19,'BASE '!$I$112:$J$142,2,0)+(VLOOKUP(DN19,'BASE '!#REF!,2,0)))-(DB19*((VLOOKUP(DN19,'BASE '!#REF!,2,0)+(VLOOKUP(DC19,'BASE '!$I$112:$J$142,2,0))))))))))))))))</f>
        <v>0</v>
      </c>
      <c r="DK19" s="52" t="b">
        <f t="shared" si="5"/>
        <v>0</v>
      </c>
      <c r="DL19" s="53" t="b">
        <f t="shared" si="12"/>
        <v>0</v>
      </c>
      <c r="DM19" s="149"/>
      <c r="DN19" s="116">
        <f t="shared" si="13"/>
        <v>0</v>
      </c>
      <c r="DO19" s="124"/>
      <c r="DP19" s="42"/>
      <c r="DQ19" s="70"/>
      <c r="DR19" s="159"/>
      <c r="DS19" s="159"/>
      <c r="DT19" s="159"/>
      <c r="DU19" s="160"/>
      <c r="DV19" s="95"/>
      <c r="DW19" s="95"/>
      <c r="DX19" s="95"/>
      <c r="DY19" s="96"/>
    </row>
    <row r="20" spans="2:129" ht="15" customHeight="1" x14ac:dyDescent="0.3">
      <c r="B20" s="64"/>
      <c r="C20" s="148"/>
      <c r="D20" s="109"/>
      <c r="E20" s="63"/>
      <c r="F20" s="127"/>
      <c r="G20" s="50"/>
      <c r="H20" s="10"/>
      <c r="I20" s="10"/>
      <c r="J20" s="10"/>
      <c r="K20" s="10"/>
      <c r="L20" s="10"/>
      <c r="M20" s="39"/>
      <c r="N20" s="33">
        <f t="shared" si="0"/>
        <v>0</v>
      </c>
      <c r="O20" s="52" t="b">
        <f>IF(AND(E20="CLIENT S+L",F20="HUILE"),(S20*3333.33+(VLOOKUP(H20,'BASE '!$I$112:$J$142,2,0)))-((S20*3333.33)*G20),IF(AND(E20="CLIENT S+L",F20="LAIT"),((S20*952.4)-(S20*952.4)*G20),IF(E20="CLIENT O","OFFERT",IF(AND(F20="HUILE",E20="CLIENT L"),(((VLOOKUP(H20,'BASE '!$I$112:$J$142,2,0))+(VLOOKUP(S20,'BASE '!#REF!,2,0)))),IF(AND(F20="LAIT",E20="CLIENT L"),(S20*952.4),IF(AND(F20="HUILE",E20="CLIENT D"),(S20*3809.53+(VLOOKUP(H20,'BASE '!$I$112:$J$142,2,0))),IF(AND(F20="LAIT",E20="CLIENT D"),(S20*952.4),IF(AND(F20="HUILE",E20="CLIENT S+D"),((S20*3809.53+(VLOOKUP(H20,'BASE '!$I$112:$J$142,2,0)))-((S20*3809.53)*G20)),IF(AND(F20="LAIT",E20="CLIENT S+D"),((S20*952.4)-((S20*952.4)*G20)),IF(AND(E20="CLIENT S",F20="LAIT"),((S20*952.4)-((S20*952.4)*G20)),IF(AND(F20="HUILE",E20="CLIENT S"),(VLOOKUP(H20,'BASE '!$I$112:$J$142,2,0)+(VLOOKUP(S20,'BASE '!#REF!,2,0)))-(G20*((VLOOKUP(S20,'BASE '!#REF!,2,0)+(VLOOKUP(H20,'BASE '!$I$112:$J$142,2,0))))))))))))))))</f>
        <v>0</v>
      </c>
      <c r="P20" s="52" t="b">
        <f t="shared" si="1"/>
        <v>0</v>
      </c>
      <c r="Q20" s="53" t="b">
        <f t="shared" si="2"/>
        <v>0</v>
      </c>
      <c r="R20" s="152" t="s">
        <v>175</v>
      </c>
      <c r="S20" s="184">
        <f t="shared" si="6"/>
        <v>0</v>
      </c>
      <c r="T20" s="124"/>
      <c r="U20" s="41" t="s">
        <v>175</v>
      </c>
      <c r="V20" s="70" t="e">
        <f>VLOOKUP(U20,'BASE '!$A$4:$H$144,2,0)</f>
        <v>#N/A</v>
      </c>
      <c r="W20" s="159"/>
      <c r="X20" s="159"/>
      <c r="Y20" s="160"/>
      <c r="Z20" s="158" t="e">
        <f>VLOOKUP(U20,'BASE '!$A$4:$H$144,3,0)</f>
        <v>#N/A</v>
      </c>
      <c r="AA20" s="94" t="e">
        <f t="shared" si="3"/>
        <v>#N/A</v>
      </c>
      <c r="AB20" s="95" t="e">
        <f>VLOOKUP(U20,'BASE '!$A$4:$H$144,6,0)*Y20/100</f>
        <v>#N/A</v>
      </c>
      <c r="AC20" s="95" t="e">
        <f>VLOOKUP(U20,'BASE '!$A$4:$H$144,7,0)*Y20/100</f>
        <v>#N/A</v>
      </c>
      <c r="AD20" s="95" t="e">
        <f>VLOOKUP(U20,'BASE '!$A$4:$H$144,8,0)*Y20/100</f>
        <v>#N/A</v>
      </c>
      <c r="AE20" s="96" t="e">
        <f t="shared" si="7"/>
        <v>#N/A</v>
      </c>
      <c r="AF20" s="435"/>
      <c r="AG20" s="1" t="s">
        <v>155</v>
      </c>
      <c r="AH20" s="36" t="e">
        <f>SUMIFS($H$6:$H$165,$D$6:$D$165,AF19,CHOIX,AG20)</f>
        <v>#NAME?</v>
      </c>
      <c r="AI20" s="36" t="e">
        <f>SUMIFS($I$6:$I$165,$D$6:$D$165,AF19,CHOIX,AG20)</f>
        <v>#NAME?</v>
      </c>
      <c r="AJ20" s="36" t="e">
        <f>SUMIFS($J$6:$J$165,$D$6:$D$165,AF19,CHOIX,AG20)</f>
        <v>#NAME?</v>
      </c>
      <c r="AK20" s="36" t="e">
        <f>SUMIFS($K$6:$K$165,$D$6:$D$165,AF19,CHOIX,AG20)</f>
        <v>#NAME?</v>
      </c>
      <c r="AL20" s="36" t="e">
        <f>SUMIFS($L$6:$L$165,$D$6:$D$165,AF19,CHOIX,AG20)</f>
        <v>#NAME?</v>
      </c>
      <c r="AM20" s="36" t="e">
        <f>SUMIFS($M$6:$M$165,$D$6:$D$165,AF19,CHOIX,AG20)</f>
        <v>#NAME?</v>
      </c>
      <c r="AN20" s="1" t="s">
        <v>155</v>
      </c>
      <c r="AO20" s="83"/>
      <c r="AP20" s="63"/>
      <c r="AQ20" s="63"/>
      <c r="AR20" s="63"/>
      <c r="AS20" s="79"/>
      <c r="AT20" s="79"/>
      <c r="AU20" s="55" t="e">
        <f>SUMIFS($O$6:$O$165,$D$6:$D$165,AF19,CHOIX,AG20)</f>
        <v>#NAME?</v>
      </c>
      <c r="AV20" s="80" t="e">
        <f>SUMIFS($Q$6:$Q$165,$D$6:$D$165,AF19,CHOIX,AG20)</f>
        <v>#NAME?</v>
      </c>
      <c r="AW20" s="12"/>
      <c r="AX20" s="12"/>
      <c r="AY20" s="12"/>
      <c r="AZ20" s="8"/>
      <c r="BA20" s="148"/>
      <c r="BB20" s="148"/>
      <c r="BC20" s="148"/>
      <c r="BD20" s="10"/>
      <c r="BE20" s="10"/>
      <c r="BF20" s="10"/>
      <c r="BG20" s="10"/>
      <c r="BH20" s="10"/>
      <c r="BI20" s="10"/>
      <c r="BJ20" s="10"/>
      <c r="BK20" s="10"/>
      <c r="BL20" s="10"/>
      <c r="BM20" s="147">
        <f t="shared" si="8"/>
        <v>0</v>
      </c>
      <c r="BN20" s="147">
        <f t="shared" si="9"/>
        <v>0</v>
      </c>
      <c r="BO20" s="149"/>
      <c r="BP20" s="166"/>
      <c r="BQ20" s="12"/>
      <c r="BR20" s="12"/>
      <c r="BS20" s="476"/>
      <c r="BT20" s="481"/>
      <c r="BU20" s="475"/>
      <c r="BV20" s="545"/>
      <c r="BW20" s="580"/>
      <c r="BX20" s="576"/>
      <c r="BY20" s="497"/>
      <c r="BZ20" s="497"/>
      <c r="CA20" s="543"/>
      <c r="CB20" s="475"/>
      <c r="CC20" s="544"/>
      <c r="CV20" s="64"/>
      <c r="CW20" s="148"/>
      <c r="CX20" s="109"/>
      <c r="CY20" s="132"/>
      <c r="CZ20" s="143"/>
      <c r="DA20" s="63"/>
      <c r="DB20" s="50"/>
      <c r="DC20" s="10"/>
      <c r="DD20" s="10"/>
      <c r="DE20" s="10"/>
      <c r="DF20" s="10"/>
      <c r="DG20" s="10"/>
      <c r="DH20" s="39"/>
      <c r="DI20" s="33">
        <f t="shared" si="4"/>
        <v>0</v>
      </c>
      <c r="DJ20" s="52" t="b">
        <f>IF(AND(CZ20="CLIENT S+L",DA20="HUILE"),(DN20*3333.33+(VLOOKUP(DC20,'BASE '!$I$112:$J$142,2,0)))-((DN20*3333.33)*DB20),IF(AND(CZ20="CLIENT S+L",DA20="LAIT"),((DN20*952.4)-(DN20*952.4)*DB20),IF(CZ20="CLIENT O","OFFERT",IF(AND(DA20="HUILE",CZ20="CLIENT L"),(((VLOOKUP(DC20,'BASE '!$I$112:$J$142,2,0))+(VLOOKUP(DN20,'BASE '!#REF!,2,0)))),IF(AND(DA20="LAIT",CZ20="CLIENT L"),(DN20*952.4),IF(AND(DA20="HUILE",CZ20="CLIENT D"),(DN20*3809.53+(VLOOKUP(DC20,'BASE '!$I$112:$J$142,2,0))),IF(AND(DA20="LAIT",CZ20="CLIENT D"),(DN20*952.4),IF(AND(DA20="HUILE",CZ20="CLIENT S+D"),((DN20*3809.53+(VLOOKUP(DC20,'BASE '!$I$112:$J$142,2,0)))-((DN20*3809.53)*DB20)),IF(AND(DA20="LAIT",CZ20="CLIENT S+D"),((DN20*952.4)-((DN20*952.4)*DB20)),IF(AND(CZ20="CLIENT S",DA20="LAIT"),((DN20*952.4)-((DN20*952.4)*DB20)),IF(AND(DA20="HUILE",CZ20="CLIENT S"),(VLOOKUP(DC20,'BASE '!$I$112:$J$142,2,0)+(VLOOKUP(DN20,'BASE '!#REF!,2,0)))-(DB20*((VLOOKUP(DN20,'BASE '!#REF!,2,0)+(VLOOKUP(DC20,'BASE '!$I$112:$J$142,2,0))))))))))))))))</f>
        <v>0</v>
      </c>
      <c r="DK20" s="52" t="b">
        <f t="shared" si="5"/>
        <v>0</v>
      </c>
      <c r="DL20" s="53" t="b">
        <f t="shared" si="12"/>
        <v>0</v>
      </c>
      <c r="DM20" s="149"/>
      <c r="DN20" s="116">
        <f t="shared" si="13"/>
        <v>0</v>
      </c>
      <c r="DO20" s="124"/>
      <c r="DP20" s="42"/>
      <c r="DQ20" s="70"/>
      <c r="DR20" s="159"/>
      <c r="DS20" s="159"/>
      <c r="DT20" s="159"/>
      <c r="DU20" s="160"/>
      <c r="DV20" s="95"/>
      <c r="DW20" s="95"/>
      <c r="DX20" s="95"/>
      <c r="DY20" s="96"/>
    </row>
    <row r="21" spans="2:129" ht="15" customHeight="1" x14ac:dyDescent="0.3">
      <c r="B21" s="64"/>
      <c r="C21" s="148"/>
      <c r="D21" s="109"/>
      <c r="E21" s="63"/>
      <c r="F21" s="127"/>
      <c r="G21" s="50"/>
      <c r="H21" s="10"/>
      <c r="I21" s="10"/>
      <c r="J21" s="10"/>
      <c r="K21" s="10"/>
      <c r="L21" s="10"/>
      <c r="M21" s="39"/>
      <c r="N21" s="33">
        <f t="shared" si="0"/>
        <v>0</v>
      </c>
      <c r="O21" s="52" t="b">
        <f>IF(AND(E21="CLIENT S+L",F21="HUILE"),(S21*3333.33+(VLOOKUP(H21,'BASE '!$I$112:$J$142,2,0)))-((S21*3333.33)*G21),IF(AND(E21="CLIENT S+L",F21="LAIT"),((S21*952.4)-(S21*952.4)*G21),IF(E21="CLIENT O","OFFERT",IF(AND(F21="HUILE",E21="CLIENT L"),(((VLOOKUP(H21,'BASE '!$I$112:$J$142,2,0))+(VLOOKUP(S21,'BASE '!#REF!,2,0)))),IF(AND(F21="LAIT",E21="CLIENT L"),(S21*952.4),IF(AND(F21="HUILE",E21="CLIENT D"),(S21*3809.53+(VLOOKUP(H21,'BASE '!$I$112:$J$142,2,0))),IF(AND(F21="LAIT",E21="CLIENT D"),(S21*952.4),IF(AND(F21="HUILE",E21="CLIENT S+D"),((S21*3809.53+(VLOOKUP(H21,'BASE '!$I$112:$J$142,2,0)))-((S21*3809.53)*G21)),IF(AND(F21="LAIT",E21="CLIENT S+D"),((S21*952.4)-((S21*952.4)*G21)),IF(AND(E21="CLIENT S",F21="LAIT"),((S21*952.4)-((S21*952.4)*G21)),IF(AND(F21="HUILE",E21="CLIENT S"),(VLOOKUP(H21,'BASE '!$I$112:$J$142,2,0)+(VLOOKUP(S21,'BASE '!#REF!,2,0)))-(G21*((VLOOKUP(S21,'BASE '!#REF!,2,0)+(VLOOKUP(H21,'BASE '!$I$112:$J$142,2,0))))))))))))))))</f>
        <v>0</v>
      </c>
      <c r="P21" s="52" t="b">
        <f t="shared" si="1"/>
        <v>0</v>
      </c>
      <c r="Q21" s="53" t="b">
        <f t="shared" si="2"/>
        <v>0</v>
      </c>
      <c r="R21" s="152" t="s">
        <v>175</v>
      </c>
      <c r="S21" s="184">
        <f t="shared" si="6"/>
        <v>0</v>
      </c>
      <c r="T21" s="124"/>
      <c r="U21" s="41" t="s">
        <v>175</v>
      </c>
      <c r="V21" s="70" t="e">
        <f>VLOOKUP(U21,'BASE '!$A$4:$H$144,2,0)</f>
        <v>#N/A</v>
      </c>
      <c r="W21" s="159"/>
      <c r="X21" s="159"/>
      <c r="Y21" s="160"/>
      <c r="Z21" s="158" t="e">
        <f>VLOOKUP(U21,'BASE '!$A$4:$H$144,3,0)</f>
        <v>#N/A</v>
      </c>
      <c r="AA21" s="94" t="e">
        <f t="shared" si="3"/>
        <v>#N/A</v>
      </c>
      <c r="AB21" s="95" t="e">
        <f>VLOOKUP(U21,'BASE '!$A$4:$H$144,6,0)*Y21/100</f>
        <v>#N/A</v>
      </c>
      <c r="AC21" s="95" t="e">
        <f>VLOOKUP(U21,'BASE '!$A$4:$H$144,7,0)*Y21/100</f>
        <v>#N/A</v>
      </c>
      <c r="AD21" s="95" t="e">
        <f>VLOOKUP(U21,'BASE '!$A$4:$H$144,8,0)*Y21/100</f>
        <v>#N/A</v>
      </c>
      <c r="AE21" s="96" t="e">
        <f t="shared" si="7"/>
        <v>#N/A</v>
      </c>
      <c r="AF21" s="435" t="s">
        <v>132</v>
      </c>
      <c r="AG21" s="91" t="s">
        <v>157</v>
      </c>
      <c r="AH21" s="36" t="e">
        <f>SUMIFS($H$6:$H$165,$D$6:$D$165,AF21,CHOIX,AG21)</f>
        <v>#NAME?</v>
      </c>
      <c r="AI21" s="36" t="e">
        <f>SUMIFS($I$6:$I$165,$D$6:$D$165,AF21,CHOIX,AG21)</f>
        <v>#NAME?</v>
      </c>
      <c r="AJ21" s="36" t="e">
        <f>SUMIFS($J$6:$J$165,$D$6:$D$165,AF21,CHOIX,AG21)</f>
        <v>#NAME?</v>
      </c>
      <c r="AK21" s="36" t="e">
        <f>SUMIFS($K$6:$K$165,$D$6:$D$165,AF21,CHOIX,AG21)</f>
        <v>#NAME?</v>
      </c>
      <c r="AL21" s="36" t="e">
        <f>SUMIFS($L$6:$L$165,$D$6:$D$165,AF21,CHOIX,AG21)</f>
        <v>#NAME?</v>
      </c>
      <c r="AM21" s="36" t="e">
        <f>SUMIFS($M$6:$M$165,$D$6:$D$165,AF21,CHOIX,AG21)</f>
        <v>#NAME?</v>
      </c>
      <c r="AN21" s="91" t="s">
        <v>157</v>
      </c>
      <c r="AO21" s="83"/>
      <c r="AP21" s="63"/>
      <c r="AQ21" s="63"/>
      <c r="AR21" s="63"/>
      <c r="AS21" s="79"/>
      <c r="AT21" s="79"/>
      <c r="AU21" s="55" t="e">
        <f>SUMIFS($O$6:$O$165,$D$6:$D$165,AF21,CHOIX,AG21)</f>
        <v>#NAME?</v>
      </c>
      <c r="AV21" s="80" t="e">
        <f>SUMIFS($Q$6:$Q$165,$D$6:$D$165,AF21,CHOIX,AG21)</f>
        <v>#NAME?</v>
      </c>
      <c r="AW21" s="12"/>
      <c r="AX21" s="12"/>
      <c r="AY21" s="12"/>
      <c r="AZ21" s="8"/>
      <c r="BA21" s="148"/>
      <c r="BB21" s="148"/>
      <c r="BC21" s="148"/>
      <c r="BD21" s="10"/>
      <c r="BE21" s="10"/>
      <c r="BF21" s="10"/>
      <c r="BG21" s="10"/>
      <c r="BH21" s="10"/>
      <c r="BI21" s="10"/>
      <c r="BJ21" s="10"/>
      <c r="BK21" s="10"/>
      <c r="BL21" s="10"/>
      <c r="BM21" s="147">
        <f t="shared" si="8"/>
        <v>0</v>
      </c>
      <c r="BN21" s="147">
        <f t="shared" si="9"/>
        <v>0</v>
      </c>
      <c r="BO21" s="149"/>
      <c r="BP21" s="166"/>
      <c r="BQ21" s="12"/>
      <c r="BR21" s="12"/>
      <c r="BS21" s="476" t="s">
        <v>16</v>
      </c>
      <c r="BT21" s="481"/>
      <c r="BU21" s="475">
        <v>215</v>
      </c>
      <c r="BV21" s="545">
        <f t="shared" ref="BV21" si="26">BU21*BT21</f>
        <v>0</v>
      </c>
      <c r="BW21" s="580"/>
      <c r="BX21" s="576">
        <v>75</v>
      </c>
      <c r="BY21" s="497">
        <f>BL73</f>
        <v>0</v>
      </c>
      <c r="BZ21" s="588" t="e">
        <f>K168</f>
        <v>#NAME?</v>
      </c>
      <c r="CA21" s="542"/>
      <c r="CB21" s="475">
        <v>1000</v>
      </c>
      <c r="CC21" s="544">
        <f t="shared" ref="CC21" si="27">BY21*CB21</f>
        <v>0</v>
      </c>
      <c r="CV21" s="64"/>
      <c r="CW21" s="148"/>
      <c r="CX21" s="109"/>
      <c r="CY21" s="132"/>
      <c r="CZ21" s="143"/>
      <c r="DA21" s="63"/>
      <c r="DB21" s="50"/>
      <c r="DC21" s="10"/>
      <c r="DD21" s="10"/>
      <c r="DE21" s="10"/>
      <c r="DF21" s="10"/>
      <c r="DG21" s="10"/>
      <c r="DH21" s="39"/>
      <c r="DI21" s="33">
        <f t="shared" si="4"/>
        <v>0</v>
      </c>
      <c r="DJ21" s="52" t="b">
        <f>IF(AND(CZ21="CLIENT S+L",DA21="HUILE"),(DN21*3333.33+(VLOOKUP(DC21,'BASE '!$I$112:$J$142,2,0)))-((DN21*3333.33)*DB21),IF(AND(CZ21="CLIENT S+L",DA21="LAIT"),((DN21*952.4)-(DN21*952.4)*DB21),IF(CZ21="CLIENT O","OFFERT",IF(AND(DA21="HUILE",CZ21="CLIENT L"),(((VLOOKUP(DC21,'BASE '!$I$112:$J$142,2,0))+(VLOOKUP(DN21,'BASE '!#REF!,2,0)))),IF(AND(DA21="LAIT",CZ21="CLIENT L"),(DN21*952.4),IF(AND(DA21="HUILE",CZ21="CLIENT D"),(DN21*3809.53+(VLOOKUP(DC21,'BASE '!$I$112:$J$142,2,0))),IF(AND(DA21="LAIT",CZ21="CLIENT D"),(DN21*952.4),IF(AND(DA21="HUILE",CZ21="CLIENT S+D"),((DN21*3809.53+(VLOOKUP(DC21,'BASE '!$I$112:$J$142,2,0)))-((DN21*3809.53)*DB21)),IF(AND(DA21="LAIT",CZ21="CLIENT S+D"),((DN21*952.4)-((DN21*952.4)*DB21)),IF(AND(CZ21="CLIENT S",DA21="LAIT"),((DN21*952.4)-((DN21*952.4)*DB21)),IF(AND(DA21="HUILE",CZ21="CLIENT S"),(VLOOKUP(DC21,'BASE '!$I$112:$J$142,2,0)+(VLOOKUP(DN21,'BASE '!#REF!,2,0)))-(DB21*((VLOOKUP(DN21,'BASE '!#REF!,2,0)+(VLOOKUP(DC21,'BASE '!$I$112:$J$142,2,0))))))))))))))))</f>
        <v>0</v>
      </c>
      <c r="DK21" s="52" t="b">
        <f t="shared" si="5"/>
        <v>0</v>
      </c>
      <c r="DL21" s="53" t="b">
        <f t="shared" si="12"/>
        <v>0</v>
      </c>
      <c r="DM21" s="149"/>
      <c r="DN21" s="116">
        <f t="shared" si="13"/>
        <v>0</v>
      </c>
      <c r="DO21" s="124"/>
      <c r="DP21" s="42"/>
      <c r="DQ21" s="70"/>
      <c r="DR21" s="159"/>
      <c r="DS21" s="159"/>
      <c r="DT21" s="159"/>
      <c r="DU21" s="160"/>
      <c r="DV21" s="95"/>
      <c r="DW21" s="95"/>
      <c r="DX21" s="95"/>
      <c r="DY21" s="96"/>
    </row>
    <row r="22" spans="2:129" ht="15" customHeight="1" thickBot="1" x14ac:dyDescent="0.35">
      <c r="B22" s="64"/>
      <c r="C22" s="148"/>
      <c r="D22" s="109"/>
      <c r="E22" s="63"/>
      <c r="F22" s="127"/>
      <c r="G22" s="50"/>
      <c r="H22" s="10"/>
      <c r="I22" s="10"/>
      <c r="J22" s="10"/>
      <c r="K22" s="10"/>
      <c r="L22" s="10"/>
      <c r="M22" s="39"/>
      <c r="N22" s="33">
        <f t="shared" si="0"/>
        <v>0</v>
      </c>
      <c r="O22" s="52" t="b">
        <f>IF(AND(E22="CLIENT S+L",F22="HUILE"),(S22*3333.33+(VLOOKUP(H22,'BASE '!$I$112:$J$142,2,0)))-((S22*3333.33)*G22),IF(AND(E22="CLIENT S+L",F22="LAIT"),((S22*952.4)-(S22*952.4)*G22),IF(E22="CLIENT O","OFFERT",IF(AND(F22="HUILE",E22="CLIENT L"),(((VLOOKUP(H22,'BASE '!$I$112:$J$142,2,0))+(VLOOKUP(S22,'BASE '!#REF!,2,0)))),IF(AND(F22="LAIT",E22="CLIENT L"),(S22*952.4),IF(AND(F22="HUILE",E22="CLIENT D"),(S22*3809.53+(VLOOKUP(H22,'BASE '!$I$112:$J$142,2,0))),IF(AND(F22="LAIT",E22="CLIENT D"),(S22*952.4),IF(AND(F22="HUILE",E22="CLIENT S+D"),((S22*3809.53+(VLOOKUP(H22,'BASE '!$I$112:$J$142,2,0)))-((S22*3809.53)*G22)),IF(AND(F22="LAIT",E22="CLIENT S+D"),((S22*952.4)-((S22*952.4)*G22)),IF(AND(E22="CLIENT S",F22="LAIT"),((S22*952.4)-((S22*952.4)*G22)),IF(AND(F22="HUILE",E22="CLIENT S"),(VLOOKUP(H22,'BASE '!$I$112:$J$142,2,0)+(VLOOKUP(S22,'BASE '!#REF!,2,0)))-(G22*((VLOOKUP(S22,'BASE '!#REF!,2,0)+(VLOOKUP(H22,'BASE '!$I$112:$J$142,2,0))))))))))))))))</f>
        <v>0</v>
      </c>
      <c r="P22" s="52" t="b">
        <f t="shared" si="1"/>
        <v>0</v>
      </c>
      <c r="Q22" s="53" t="b">
        <f t="shared" si="2"/>
        <v>0</v>
      </c>
      <c r="R22" s="152" t="s">
        <v>175</v>
      </c>
      <c r="S22" s="184">
        <f t="shared" si="6"/>
        <v>0</v>
      </c>
      <c r="T22" s="124"/>
      <c r="U22" s="41" t="s">
        <v>175</v>
      </c>
      <c r="V22" s="70" t="e">
        <f>VLOOKUP(U22,'BASE '!$A$4:$H$144,2,0)</f>
        <v>#N/A</v>
      </c>
      <c r="W22" s="159"/>
      <c r="X22" s="159"/>
      <c r="Y22" s="160"/>
      <c r="Z22" s="158" t="e">
        <f>VLOOKUP(U22,'BASE '!$A$4:$H$144,3,0)</f>
        <v>#N/A</v>
      </c>
      <c r="AA22" s="94" t="e">
        <f t="shared" si="3"/>
        <v>#N/A</v>
      </c>
      <c r="AB22" s="95" t="e">
        <f>VLOOKUP(U22,'BASE '!$A$4:$H$144,6,0)*Y22/100</f>
        <v>#N/A</v>
      </c>
      <c r="AC22" s="95" t="e">
        <f>VLOOKUP(U22,'BASE '!$A$4:$H$144,7,0)*Y22/100</f>
        <v>#N/A</v>
      </c>
      <c r="AD22" s="95" t="e">
        <f>VLOOKUP(U22,'BASE '!$A$4:$H$144,8,0)*Y22/100</f>
        <v>#N/A</v>
      </c>
      <c r="AE22" s="96" t="e">
        <f t="shared" si="7"/>
        <v>#N/A</v>
      </c>
      <c r="AF22" s="435"/>
      <c r="AG22" s="1" t="s">
        <v>155</v>
      </c>
      <c r="AH22" s="36" t="e">
        <f>SUMIFS($H$6:$H$165,$D$6:$D$165,AF21,CHOIX,AG22)</f>
        <v>#NAME?</v>
      </c>
      <c r="AI22" s="36" t="e">
        <f>SUMIFS($I$6:$I$165,$D$6:$D$165,AF21,CHOIX,AG22)</f>
        <v>#NAME?</v>
      </c>
      <c r="AJ22" s="36" t="e">
        <f>SUMIFS($J$6:$J$165,$D$6:$D$165,AF21,CHOIX,AG22)</f>
        <v>#NAME?</v>
      </c>
      <c r="AK22" s="36" t="e">
        <f>SUMIFS($K$6:$K$165,$D$6:$D$165,AF21,CHOIX,AG22)</f>
        <v>#NAME?</v>
      </c>
      <c r="AL22" s="36" t="e">
        <f>SUMIFS($L$6:$L$165,$D$6:$D$165,AF21,CHOIX,AG22)</f>
        <v>#NAME?</v>
      </c>
      <c r="AM22" s="36" t="e">
        <f>SUMIFS($M$6:$M$165,$D$6:$D$165,AF21,CHOIX,AG22)</f>
        <v>#NAME?</v>
      </c>
      <c r="AN22" s="1" t="s">
        <v>155</v>
      </c>
      <c r="AO22" s="83"/>
      <c r="AP22" s="63"/>
      <c r="AQ22" s="63"/>
      <c r="AR22" s="63"/>
      <c r="AS22" s="79"/>
      <c r="AT22" s="79"/>
      <c r="AU22" s="55" t="e">
        <f>SUMIFS($O$6:$O$165,$D$6:$D$165,AF21,CHOIX,AG22)</f>
        <v>#NAME?</v>
      </c>
      <c r="AV22" s="80" t="e">
        <f>SUMIFS($Q$6:$Q$165,$D$6:$D$165,AF21,CHOIX,AG22)</f>
        <v>#NAME?</v>
      </c>
      <c r="AW22" s="12"/>
      <c r="AX22" s="12"/>
      <c r="AY22" s="12"/>
      <c r="AZ22" s="8"/>
      <c r="BA22" s="148"/>
      <c r="BB22" s="148"/>
      <c r="BC22" s="148"/>
      <c r="BD22" s="10"/>
      <c r="BE22" s="10"/>
      <c r="BF22" s="10"/>
      <c r="BG22" s="10"/>
      <c r="BH22" s="10"/>
      <c r="BI22" s="10"/>
      <c r="BJ22" s="10"/>
      <c r="BK22" s="10"/>
      <c r="BL22" s="10"/>
      <c r="BM22" s="147">
        <f t="shared" si="8"/>
        <v>0</v>
      </c>
      <c r="BN22" s="147">
        <f t="shared" si="9"/>
        <v>0</v>
      </c>
      <c r="BO22" s="149"/>
      <c r="BP22" s="166"/>
      <c r="BQ22" s="12"/>
      <c r="BR22" s="12"/>
      <c r="BS22" s="479"/>
      <c r="BT22" s="527"/>
      <c r="BU22" s="528"/>
      <c r="BV22" s="586"/>
      <c r="BW22" s="592"/>
      <c r="BX22" s="587"/>
      <c r="BY22" s="526"/>
      <c r="BZ22" s="589"/>
      <c r="CA22" s="590"/>
      <c r="CB22" s="528"/>
      <c r="CC22" s="595"/>
      <c r="CV22" s="64"/>
      <c r="CW22" s="148"/>
      <c r="CX22" s="109"/>
      <c r="CY22" s="132"/>
      <c r="CZ22" s="143"/>
      <c r="DA22" s="63"/>
      <c r="DB22" s="50"/>
      <c r="DC22" s="10"/>
      <c r="DD22" s="10"/>
      <c r="DE22" s="10"/>
      <c r="DF22" s="10"/>
      <c r="DG22" s="10"/>
      <c r="DH22" s="39"/>
      <c r="DI22" s="33">
        <f t="shared" si="4"/>
        <v>0</v>
      </c>
      <c r="DJ22" s="52" t="b">
        <f>IF(AND(CZ22="CLIENT S+L",DA22="HUILE"),(DN22*3333.33+(VLOOKUP(DC22,'BASE '!$I$112:$J$142,2,0)))-((DN22*3333.33)*DB22),IF(AND(CZ22="CLIENT S+L",DA22="LAIT"),((DN22*952.4)-(DN22*952.4)*DB22),IF(CZ22="CLIENT O","OFFERT",IF(AND(DA22="HUILE",CZ22="CLIENT L"),(((VLOOKUP(DC22,'BASE '!$I$112:$J$142,2,0))+(VLOOKUP(DN22,'BASE '!#REF!,2,0)))),IF(AND(DA22="LAIT",CZ22="CLIENT L"),(DN22*952.4),IF(AND(DA22="HUILE",CZ22="CLIENT D"),(DN22*3809.53+(VLOOKUP(DC22,'BASE '!$I$112:$J$142,2,0))),IF(AND(DA22="LAIT",CZ22="CLIENT D"),(DN22*952.4),IF(AND(DA22="HUILE",CZ22="CLIENT S+D"),((DN22*3809.53+(VLOOKUP(DC22,'BASE '!$I$112:$J$142,2,0)))-((DN22*3809.53)*DB22)),IF(AND(DA22="LAIT",CZ22="CLIENT S+D"),((DN22*952.4)-((DN22*952.4)*DB22)),IF(AND(CZ22="CLIENT S",DA22="LAIT"),((DN22*952.4)-((DN22*952.4)*DB22)),IF(AND(DA22="HUILE",CZ22="CLIENT S"),(VLOOKUP(DC22,'BASE '!$I$112:$J$142,2,0)+(VLOOKUP(DN22,'BASE '!#REF!,2,0)))-(DB22*((VLOOKUP(DN22,'BASE '!#REF!,2,0)+(VLOOKUP(DC22,'BASE '!$I$112:$J$142,2,0))))))))))))))))</f>
        <v>0</v>
      </c>
      <c r="DK22" s="52" t="b">
        <f t="shared" si="5"/>
        <v>0</v>
      </c>
      <c r="DL22" s="53" t="b">
        <f t="shared" si="12"/>
        <v>0</v>
      </c>
      <c r="DM22" s="149"/>
      <c r="DN22" s="116">
        <f t="shared" si="13"/>
        <v>0</v>
      </c>
      <c r="DO22" s="124"/>
      <c r="DP22" s="42"/>
      <c r="DQ22" s="70"/>
      <c r="DR22" s="159"/>
      <c r="DS22" s="159"/>
      <c r="DT22" s="159"/>
      <c r="DU22" s="160"/>
      <c r="DV22" s="95"/>
      <c r="DW22" s="95"/>
      <c r="DX22" s="95"/>
      <c r="DY22" s="96"/>
    </row>
    <row r="23" spans="2:129" ht="15" customHeight="1" x14ac:dyDescent="0.3">
      <c r="B23" s="64"/>
      <c r="C23" s="148"/>
      <c r="D23" s="109"/>
      <c r="E23" s="63"/>
      <c r="F23" s="127"/>
      <c r="G23" s="50"/>
      <c r="H23" s="10"/>
      <c r="I23" s="10"/>
      <c r="J23" s="10"/>
      <c r="K23" s="10"/>
      <c r="L23" s="10"/>
      <c r="M23" s="39"/>
      <c r="N23" s="33">
        <f t="shared" si="0"/>
        <v>0</v>
      </c>
      <c r="O23" s="52" t="b">
        <f>IF(AND(E23="CLIENT S+L",F23="HUILE"),(S23*3333.33+(VLOOKUP(H23,'BASE '!$I$112:$J$142,2,0)))-((S23*3333.33)*G23),IF(AND(E23="CLIENT S+L",F23="LAIT"),((S23*952.4)-(S23*952.4)*G23),IF(E23="CLIENT O","OFFERT",IF(AND(F23="HUILE",E23="CLIENT L"),(((VLOOKUP(H23,'BASE '!$I$112:$J$142,2,0))+(VLOOKUP(S23,'BASE '!#REF!,2,0)))),IF(AND(F23="LAIT",E23="CLIENT L"),(S23*952.4),IF(AND(F23="HUILE",E23="CLIENT D"),(S23*3809.53+(VLOOKUP(H23,'BASE '!$I$112:$J$142,2,0))),IF(AND(F23="LAIT",E23="CLIENT D"),(S23*952.4),IF(AND(F23="HUILE",E23="CLIENT S+D"),((S23*3809.53+(VLOOKUP(H23,'BASE '!$I$112:$J$142,2,0)))-((S23*3809.53)*G23)),IF(AND(F23="LAIT",E23="CLIENT S+D"),((S23*952.4)-((S23*952.4)*G23)),IF(AND(E23="CLIENT S",F23="LAIT"),((S23*952.4)-((S23*952.4)*G23)),IF(AND(F23="HUILE",E23="CLIENT S"),(VLOOKUP(H23,'BASE '!$I$112:$J$142,2,0)+(VLOOKUP(S23,'BASE '!#REF!,2,0)))-(G23*((VLOOKUP(S23,'BASE '!#REF!,2,0)+(VLOOKUP(H23,'BASE '!$I$112:$J$142,2,0))))))))))))))))</f>
        <v>0</v>
      </c>
      <c r="P23" s="52" t="b">
        <f t="shared" si="1"/>
        <v>0</v>
      </c>
      <c r="Q23" s="53" t="b">
        <f t="shared" si="2"/>
        <v>0</v>
      </c>
      <c r="R23" s="152" t="s">
        <v>175</v>
      </c>
      <c r="S23" s="184">
        <f t="shared" si="6"/>
        <v>0</v>
      </c>
      <c r="T23" s="124"/>
      <c r="U23" s="41" t="s">
        <v>175</v>
      </c>
      <c r="V23" s="70" t="e">
        <f>VLOOKUP(U23,'BASE '!$A$4:$H$144,2,0)</f>
        <v>#N/A</v>
      </c>
      <c r="W23" s="159"/>
      <c r="X23" s="159"/>
      <c r="Y23" s="160"/>
      <c r="Z23" s="158" t="e">
        <f>VLOOKUP(U23,'BASE '!$A$4:$H$144,3,0)</f>
        <v>#N/A</v>
      </c>
      <c r="AA23" s="94" t="e">
        <f t="shared" si="3"/>
        <v>#N/A</v>
      </c>
      <c r="AB23" s="95" t="e">
        <f>VLOOKUP(U23,'BASE '!$A$4:$H$144,6,0)*Y23/100</f>
        <v>#N/A</v>
      </c>
      <c r="AC23" s="95" t="e">
        <f>VLOOKUP(U23,'BASE '!$A$4:$H$144,7,0)*Y23/100</f>
        <v>#N/A</v>
      </c>
      <c r="AD23" s="95" t="e">
        <f>VLOOKUP(U23,'BASE '!$A$4:$H$144,8,0)*Y23/100</f>
        <v>#N/A</v>
      </c>
      <c r="AE23" s="96" t="e">
        <f t="shared" si="7"/>
        <v>#N/A</v>
      </c>
      <c r="AF23" s="435" t="s">
        <v>9</v>
      </c>
      <c r="AG23" s="91" t="s">
        <v>157</v>
      </c>
      <c r="AH23" s="36" t="e">
        <f>SUMIFS($H$6:$H$165,$D$6:$D$165,AF23,CHOIX,AG23)</f>
        <v>#NAME?</v>
      </c>
      <c r="AI23" s="36" t="e">
        <f>SUMIFS($I$6:$I$165,$D$6:$D$165,AF23,CHOIX,AG23)</f>
        <v>#NAME?</v>
      </c>
      <c r="AJ23" s="36" t="e">
        <f>SUMIFS($J$6:$J$165,$D$6:$D$165,AF23,CHOIX,AG23)</f>
        <v>#NAME?</v>
      </c>
      <c r="AK23" s="36" t="e">
        <f>SUMIFS($K$6:$K$165,$D$6:$D$165,AF23,CHOIX,AG23)</f>
        <v>#NAME?</v>
      </c>
      <c r="AL23" s="36" t="e">
        <f>SUMIFS($L$6:$L$165,$D$6:$D$165,AF23,CHOIX,AG23)</f>
        <v>#NAME?</v>
      </c>
      <c r="AM23" s="36" t="e">
        <f>SUMIFS($M$6:$M$165,$D$6:$D$165,AF23,CHOIX,AG23)</f>
        <v>#NAME?</v>
      </c>
      <c r="AN23" s="91" t="s">
        <v>157</v>
      </c>
      <c r="AO23" s="83"/>
      <c r="AP23" s="63"/>
      <c r="AQ23" s="63"/>
      <c r="AR23" s="63"/>
      <c r="AS23" s="79"/>
      <c r="AT23" s="79"/>
      <c r="AU23" s="55" t="e">
        <f>SUMIFS($O$6:$O$165,$D$6:$D$165,AF23,CHOIX,AG23)</f>
        <v>#NAME?</v>
      </c>
      <c r="AV23" s="80" t="e">
        <f>SUMIFS($Q$6:$Q$165,$D$6:$D$165,AF23,CHOIX,AG23)</f>
        <v>#NAME?</v>
      </c>
      <c r="AW23" s="12"/>
      <c r="AX23" s="12"/>
      <c r="AY23" s="12"/>
      <c r="AZ23" s="8"/>
      <c r="BA23" s="148"/>
      <c r="BB23" s="148"/>
      <c r="BC23" s="148"/>
      <c r="BD23" s="10"/>
      <c r="BE23" s="10"/>
      <c r="BF23" s="10"/>
      <c r="BG23" s="10"/>
      <c r="BH23" s="10"/>
      <c r="BI23" s="10"/>
      <c r="BJ23" s="10"/>
      <c r="BK23" s="10"/>
      <c r="BL23" s="10"/>
      <c r="BM23" s="147">
        <f t="shared" si="8"/>
        <v>0</v>
      </c>
      <c r="BN23" s="147">
        <f t="shared" si="9"/>
        <v>0</v>
      </c>
      <c r="BO23" s="149"/>
      <c r="BP23" s="166"/>
      <c r="BQ23" s="12"/>
      <c r="BR23" s="12"/>
      <c r="BS23" s="514" t="s">
        <v>177</v>
      </c>
      <c r="BT23" s="516"/>
      <c r="BU23" s="516"/>
      <c r="BV23" s="520">
        <f>SUM(BV5:BV22)</f>
        <v>0</v>
      </c>
      <c r="BW23" s="134"/>
      <c r="BX23" s="522" t="s">
        <v>146</v>
      </c>
      <c r="BY23" s="522"/>
      <c r="BZ23" s="522"/>
      <c r="CA23" s="522"/>
      <c r="CB23" s="515"/>
      <c r="CC23" s="512">
        <f>SUM(CC5:CC22)</f>
        <v>0</v>
      </c>
      <c r="CV23" s="64"/>
      <c r="CW23" s="148"/>
      <c r="CX23" s="109"/>
      <c r="CY23" s="132"/>
      <c r="CZ23" s="143"/>
      <c r="DA23" s="63"/>
      <c r="DB23" s="50"/>
      <c r="DC23" s="10"/>
      <c r="DD23" s="10"/>
      <c r="DE23" s="10"/>
      <c r="DF23" s="10"/>
      <c r="DG23" s="10"/>
      <c r="DH23" s="39"/>
      <c r="DI23" s="33">
        <f t="shared" si="4"/>
        <v>0</v>
      </c>
      <c r="DJ23" s="52" t="b">
        <f>IF(AND(CZ23="CLIENT S+L",DA23="HUILE"),(DN23*3333.33+(VLOOKUP(DC23,'BASE '!$I$112:$J$142,2,0)))-((DN23*3333.33)*DB23),IF(AND(CZ23="CLIENT S+L",DA23="LAIT"),((DN23*952.4)-(DN23*952.4)*DB23),IF(CZ23="CLIENT O","OFFERT",IF(AND(DA23="HUILE",CZ23="CLIENT L"),(((VLOOKUP(DC23,'BASE '!$I$112:$J$142,2,0))+(VLOOKUP(DN23,'BASE '!#REF!,2,0)))),IF(AND(DA23="LAIT",CZ23="CLIENT L"),(DN23*952.4),IF(AND(DA23="HUILE",CZ23="CLIENT D"),(DN23*3809.53+(VLOOKUP(DC23,'BASE '!$I$112:$J$142,2,0))),IF(AND(DA23="LAIT",CZ23="CLIENT D"),(DN23*952.4),IF(AND(DA23="HUILE",CZ23="CLIENT S+D"),((DN23*3809.53+(VLOOKUP(DC23,'BASE '!$I$112:$J$142,2,0)))-((DN23*3809.53)*DB23)),IF(AND(DA23="LAIT",CZ23="CLIENT S+D"),((DN23*952.4)-((DN23*952.4)*DB23)),IF(AND(CZ23="CLIENT S",DA23="LAIT"),((DN23*952.4)-((DN23*952.4)*DB23)),IF(AND(DA23="HUILE",CZ23="CLIENT S"),(VLOOKUP(DC23,'BASE '!$I$112:$J$142,2,0)+(VLOOKUP(DN23,'BASE '!#REF!,2,0)))-(DB23*((VLOOKUP(DN23,'BASE '!#REF!,2,0)+(VLOOKUP(DC23,'BASE '!$I$112:$J$142,2,0))))))))))))))))</f>
        <v>0</v>
      </c>
      <c r="DK23" s="52" t="b">
        <f t="shared" si="5"/>
        <v>0</v>
      </c>
      <c r="DL23" s="53" t="b">
        <f t="shared" si="12"/>
        <v>0</v>
      </c>
      <c r="DM23" s="149"/>
      <c r="DN23" s="116">
        <f t="shared" si="13"/>
        <v>0</v>
      </c>
      <c r="DO23" s="124"/>
      <c r="DP23" s="42"/>
      <c r="DQ23" s="70"/>
      <c r="DR23" s="159"/>
      <c r="DS23" s="159"/>
      <c r="DT23" s="159"/>
      <c r="DU23" s="160"/>
      <c r="DV23" s="95"/>
      <c r="DW23" s="95"/>
      <c r="DX23" s="95"/>
      <c r="DY23" s="96"/>
    </row>
    <row r="24" spans="2:129" ht="15" customHeight="1" thickBot="1" x14ac:dyDescent="0.35">
      <c r="B24" s="64"/>
      <c r="C24" s="148"/>
      <c r="D24" s="109"/>
      <c r="E24" s="63"/>
      <c r="F24" s="127"/>
      <c r="G24" s="50"/>
      <c r="H24" s="10"/>
      <c r="I24" s="10"/>
      <c r="J24" s="10"/>
      <c r="K24" s="10"/>
      <c r="L24" s="10"/>
      <c r="M24" s="39"/>
      <c r="N24" s="33">
        <f t="shared" si="0"/>
        <v>0</v>
      </c>
      <c r="O24" s="52" t="b">
        <f>IF(AND(E24="CLIENT S+L",F24="HUILE"),(S24*3333.33+(VLOOKUP(H24,'BASE '!$I$112:$J$142,2,0)))-((S24*3333.33)*G24),IF(AND(E24="CLIENT S+L",F24="LAIT"),((S24*952.4)-(S24*952.4)*G24),IF(E24="CLIENT O","OFFERT",IF(AND(F24="HUILE",E24="CLIENT L"),(((VLOOKUP(H24,'BASE '!$I$112:$J$142,2,0))+(VLOOKUP(S24,'BASE '!#REF!,2,0)))),IF(AND(F24="LAIT",E24="CLIENT L"),(S24*952.4),IF(AND(F24="HUILE",E24="CLIENT D"),(S24*3809.53+(VLOOKUP(H24,'BASE '!$I$112:$J$142,2,0))),IF(AND(F24="LAIT",E24="CLIENT D"),(S24*952.4),IF(AND(F24="HUILE",E24="CLIENT S+D"),((S24*3809.53+(VLOOKUP(H24,'BASE '!$I$112:$J$142,2,0)))-((S24*3809.53)*G24)),IF(AND(F24="LAIT",E24="CLIENT S+D"),((S24*952.4)-((S24*952.4)*G24)),IF(AND(E24="CLIENT S",F24="LAIT"),((S24*952.4)-((S24*952.4)*G24)),IF(AND(F24="HUILE",E24="CLIENT S"),(VLOOKUP(H24,'BASE '!$I$112:$J$142,2,0)+(VLOOKUP(S24,'BASE '!#REF!,2,0)))-(G24*((VLOOKUP(S24,'BASE '!#REF!,2,0)+(VLOOKUP(H24,'BASE '!$I$112:$J$142,2,0))))))))))))))))</f>
        <v>0</v>
      </c>
      <c r="P24" s="52" t="b">
        <f t="shared" si="1"/>
        <v>0</v>
      </c>
      <c r="Q24" s="53" t="b">
        <f t="shared" si="2"/>
        <v>0</v>
      </c>
      <c r="R24" s="152" t="s">
        <v>175</v>
      </c>
      <c r="S24" s="184">
        <f t="shared" si="6"/>
        <v>0</v>
      </c>
      <c r="T24" s="124"/>
      <c r="U24" s="41" t="s">
        <v>175</v>
      </c>
      <c r="V24" s="70" t="e">
        <f>VLOOKUP(U24,'BASE '!$A$4:$H$144,2,0)</f>
        <v>#N/A</v>
      </c>
      <c r="W24" s="159"/>
      <c r="X24" s="159"/>
      <c r="Y24" s="160"/>
      <c r="Z24" s="158" t="e">
        <f>VLOOKUP(U24,'BASE '!$A$4:$H$144,3,0)</f>
        <v>#N/A</v>
      </c>
      <c r="AA24" s="94" t="e">
        <f t="shared" si="3"/>
        <v>#N/A</v>
      </c>
      <c r="AB24" s="95" t="e">
        <f>VLOOKUP(U24,'BASE '!$A$4:$H$144,6,0)*Y24/100</f>
        <v>#N/A</v>
      </c>
      <c r="AC24" s="95" t="e">
        <f>VLOOKUP(U24,'BASE '!$A$4:$H$144,7,0)*Y24/100</f>
        <v>#N/A</v>
      </c>
      <c r="AD24" s="95" t="e">
        <f>VLOOKUP(U24,'BASE '!$A$4:$H$144,8,0)*Y24/100</f>
        <v>#N/A</v>
      </c>
      <c r="AE24" s="96" t="e">
        <f t="shared" si="7"/>
        <v>#N/A</v>
      </c>
      <c r="AF24" s="435"/>
      <c r="AG24" s="1" t="s">
        <v>155</v>
      </c>
      <c r="AH24" s="36" t="e">
        <f>SUMIFS($H$6:$H$165,$D$6:$D$165,AF23,CHOIX,AG24)</f>
        <v>#NAME?</v>
      </c>
      <c r="AI24" s="36" t="e">
        <f>SUMIFS($I$6:$I$165,$D$6:$D$165,AF23,CHOIX,AG24)</f>
        <v>#NAME?</v>
      </c>
      <c r="AJ24" s="36" t="e">
        <f>SUMIFS($J$6:$J$165,$D$6:$D$165,AF23,CHOIX,AG24)</f>
        <v>#NAME?</v>
      </c>
      <c r="AK24" s="36" t="e">
        <f>SUMIFS($K$6:$K$165,$D$6:$D$165,AF23,CHOIX,AG24)</f>
        <v>#NAME?</v>
      </c>
      <c r="AL24" s="36" t="e">
        <f>SUMIFS($L$6:$L$165,$D$6:$D$165,AF23,CHOIX,AG24)</f>
        <v>#NAME?</v>
      </c>
      <c r="AM24" s="36" t="e">
        <f>SUMIFS($M$6:$M$165,$D$6:$D$165,AF23,CHOIX,AG24)</f>
        <v>#NAME?</v>
      </c>
      <c r="AN24" s="1" t="s">
        <v>155</v>
      </c>
      <c r="AO24" s="83"/>
      <c r="AP24" s="63"/>
      <c r="AQ24" s="63"/>
      <c r="AR24" s="63"/>
      <c r="AS24" s="79"/>
      <c r="AT24" s="79"/>
      <c r="AU24" s="55" t="e">
        <f>SUMIFS($O$6:$O$165,$D$6:$D$165,AF23,CHOIX,AG24)</f>
        <v>#NAME?</v>
      </c>
      <c r="AV24" s="80" t="e">
        <f>SUMIFS($Q$6:$Q$165,$D$6:$D$165,AF23,CHOIX,AG24)</f>
        <v>#NAME?</v>
      </c>
      <c r="AW24" s="12"/>
      <c r="AX24" s="12"/>
      <c r="AY24" s="12"/>
      <c r="AZ24" s="8"/>
      <c r="BA24" s="148"/>
      <c r="BB24" s="148"/>
      <c r="BC24" s="148"/>
      <c r="BD24" s="10"/>
      <c r="BE24" s="10"/>
      <c r="BF24" s="10"/>
      <c r="BG24" s="10"/>
      <c r="BH24" s="10"/>
      <c r="BI24" s="10"/>
      <c r="BJ24" s="10"/>
      <c r="BK24" s="10"/>
      <c r="BL24" s="10"/>
      <c r="BM24" s="147">
        <f t="shared" si="8"/>
        <v>0</v>
      </c>
      <c r="BN24" s="147">
        <f t="shared" si="9"/>
        <v>0</v>
      </c>
      <c r="BO24" s="149"/>
      <c r="BP24" s="49"/>
      <c r="BQ24" s="12"/>
      <c r="BR24" s="12"/>
      <c r="BS24" s="517"/>
      <c r="BT24" s="519"/>
      <c r="BU24" s="519"/>
      <c r="BV24" s="521"/>
      <c r="BW24" s="135"/>
      <c r="BX24" s="523"/>
      <c r="BY24" s="523"/>
      <c r="BZ24" s="523"/>
      <c r="CA24" s="523"/>
      <c r="CB24" s="518"/>
      <c r="CC24" s="513"/>
      <c r="CV24" s="64"/>
      <c r="CW24" s="148"/>
      <c r="CX24" s="109"/>
      <c r="CY24" s="132"/>
      <c r="CZ24" s="143"/>
      <c r="DA24" s="63"/>
      <c r="DB24" s="50"/>
      <c r="DC24" s="10"/>
      <c r="DD24" s="10"/>
      <c r="DE24" s="10"/>
      <c r="DF24" s="10"/>
      <c r="DG24" s="10"/>
      <c r="DH24" s="39"/>
      <c r="DI24" s="33">
        <f t="shared" si="4"/>
        <v>0</v>
      </c>
      <c r="DJ24" s="52" t="b">
        <f>IF(AND(CZ24="CLIENT S+L",DA24="HUILE"),(DN24*3333.33+(VLOOKUP(DC24,'BASE '!$I$112:$J$142,2,0)))-((DN24*3333.33)*DB24),IF(AND(CZ24="CLIENT S+L",DA24="LAIT"),((DN24*952.4)-(DN24*952.4)*DB24),IF(CZ24="CLIENT O","OFFERT",IF(AND(DA24="HUILE",CZ24="CLIENT L"),(((VLOOKUP(DC24,'BASE '!$I$112:$J$142,2,0))+(VLOOKUP(DN24,'BASE '!#REF!,2,0)))),IF(AND(DA24="LAIT",CZ24="CLIENT L"),(DN24*952.4),IF(AND(DA24="HUILE",CZ24="CLIENT D"),(DN24*3809.53+(VLOOKUP(DC24,'BASE '!$I$112:$J$142,2,0))),IF(AND(DA24="LAIT",CZ24="CLIENT D"),(DN24*952.4),IF(AND(DA24="HUILE",CZ24="CLIENT S+D"),((DN24*3809.53+(VLOOKUP(DC24,'BASE '!$I$112:$J$142,2,0)))-((DN24*3809.53)*DB24)),IF(AND(DA24="LAIT",CZ24="CLIENT S+D"),((DN24*952.4)-((DN24*952.4)*DB24)),IF(AND(CZ24="CLIENT S",DA24="LAIT"),((DN24*952.4)-((DN24*952.4)*DB24)),IF(AND(DA24="HUILE",CZ24="CLIENT S"),(VLOOKUP(DC24,'BASE '!$I$112:$J$142,2,0)+(VLOOKUP(DN24,'BASE '!#REF!,2,0)))-(DB24*((VLOOKUP(DN24,'BASE '!#REF!,2,0)+(VLOOKUP(DC24,'BASE '!$I$112:$J$142,2,0))))))))))))))))</f>
        <v>0</v>
      </c>
      <c r="DK24" s="52" t="b">
        <f t="shared" si="5"/>
        <v>0</v>
      </c>
      <c r="DL24" s="53" t="b">
        <f t="shared" si="12"/>
        <v>0</v>
      </c>
      <c r="DM24" s="149"/>
      <c r="DN24" s="116">
        <f t="shared" si="13"/>
        <v>0</v>
      </c>
      <c r="DO24" s="124"/>
      <c r="DP24" s="42"/>
      <c r="DQ24" s="70"/>
      <c r="DR24" s="159"/>
      <c r="DS24" s="159"/>
      <c r="DT24" s="159"/>
      <c r="DU24" s="160"/>
      <c r="DV24" s="95"/>
      <c r="DW24" s="95"/>
      <c r="DX24" s="95"/>
      <c r="DY24" s="96"/>
    </row>
    <row r="25" spans="2:129" ht="15" customHeight="1" x14ac:dyDescent="0.3">
      <c r="B25" s="64"/>
      <c r="C25" s="148"/>
      <c r="D25" s="109"/>
      <c r="E25" s="63"/>
      <c r="F25" s="127"/>
      <c r="G25" s="50"/>
      <c r="H25" s="10"/>
      <c r="I25" s="10"/>
      <c r="J25" s="10"/>
      <c r="K25" s="10"/>
      <c r="L25" s="10"/>
      <c r="M25" s="39"/>
      <c r="N25" s="33">
        <f t="shared" si="0"/>
        <v>0</v>
      </c>
      <c r="O25" s="52" t="b">
        <f>IF(AND(E25="CLIENT S+L",F25="HUILE"),(S25*3333.33+(VLOOKUP(H25,'BASE '!$I$112:$J$142,2,0)))-((S25*3333.33)*G25),IF(AND(E25="CLIENT S+L",F25="LAIT"),((S25*952.4)-(S25*952.4)*G25),IF(E25="CLIENT O","OFFERT",IF(AND(F25="HUILE",E25="CLIENT L"),(((VLOOKUP(H25,'BASE '!$I$112:$J$142,2,0))+(VLOOKUP(S25,'BASE '!#REF!,2,0)))),IF(AND(F25="LAIT",E25="CLIENT L"),(S25*952.4),IF(AND(F25="HUILE",E25="CLIENT D"),(S25*3809.53+(VLOOKUP(H25,'BASE '!$I$112:$J$142,2,0))),IF(AND(F25="LAIT",E25="CLIENT D"),(S25*952.4),IF(AND(F25="HUILE",E25="CLIENT S+D"),((S25*3809.53+(VLOOKUP(H25,'BASE '!$I$112:$J$142,2,0)))-((S25*3809.53)*G25)),IF(AND(F25="LAIT",E25="CLIENT S+D"),((S25*952.4)-((S25*952.4)*G25)),IF(AND(E25="CLIENT S",F25="LAIT"),((S25*952.4)-((S25*952.4)*G25)),IF(AND(F25="HUILE",E25="CLIENT S"),(VLOOKUP(H25,'BASE '!$I$112:$J$142,2,0)+(VLOOKUP(S25,'BASE '!#REF!,2,0)))-(G25*((VLOOKUP(S25,'BASE '!#REF!,2,0)+(VLOOKUP(H25,'BASE '!$I$112:$J$142,2,0))))))))))))))))</f>
        <v>0</v>
      </c>
      <c r="P25" s="52" t="b">
        <f t="shared" si="1"/>
        <v>0</v>
      </c>
      <c r="Q25" s="53" t="b">
        <f t="shared" si="2"/>
        <v>0</v>
      </c>
      <c r="R25" s="152" t="s">
        <v>175</v>
      </c>
      <c r="S25" s="184">
        <f t="shared" si="6"/>
        <v>0</v>
      </c>
      <c r="T25" s="124"/>
      <c r="U25" s="41" t="s">
        <v>175</v>
      </c>
      <c r="V25" s="70" t="e">
        <f>VLOOKUP(U25,'BASE '!$A$4:$H$144,2,0)</f>
        <v>#N/A</v>
      </c>
      <c r="W25" s="159"/>
      <c r="X25" s="159"/>
      <c r="Y25" s="160"/>
      <c r="Z25" s="158" t="e">
        <f>VLOOKUP(U25,'BASE '!$A$4:$H$144,3,0)</f>
        <v>#N/A</v>
      </c>
      <c r="AA25" s="94" t="e">
        <f t="shared" si="3"/>
        <v>#N/A</v>
      </c>
      <c r="AB25" s="95" t="e">
        <f>VLOOKUP(U25,'BASE '!$A$4:$H$144,6,0)*Y25/100</f>
        <v>#N/A</v>
      </c>
      <c r="AC25" s="95" t="e">
        <f>VLOOKUP(U25,'BASE '!$A$4:$H$144,7,0)*Y25/100</f>
        <v>#N/A</v>
      </c>
      <c r="AD25" s="95" t="e">
        <f>VLOOKUP(U25,'BASE '!$A$4:$H$144,8,0)*Y25/100</f>
        <v>#N/A</v>
      </c>
      <c r="AE25" s="96" t="e">
        <f t="shared" si="7"/>
        <v>#N/A</v>
      </c>
      <c r="AF25" s="431"/>
      <c r="AG25" s="91" t="s">
        <v>157</v>
      </c>
      <c r="AH25" s="36" t="e">
        <f>SUMIFS($H$6:$H$165,$D$6:$D$165,AF25,CHOIX,AG25)</f>
        <v>#NAME?</v>
      </c>
      <c r="AI25" s="36" t="e">
        <f>SUMIFS($I$6:$I$165,$D$6:$D$165,AF25,CHOIX,AG25)</f>
        <v>#NAME?</v>
      </c>
      <c r="AJ25" s="36" t="e">
        <f>SUMIFS($J$6:$J$165,$D$6:$D$165,AF25,CHOIX,AG25)</f>
        <v>#NAME?</v>
      </c>
      <c r="AK25" s="36" t="e">
        <f>SUMIFS($K$6:$K$165,$D$6:$D$165,AF25,CHOIX,AG25)</f>
        <v>#NAME?</v>
      </c>
      <c r="AL25" s="36" t="e">
        <f>SUMIFS($L$6:$L$165,$D$6:$D$165,AF25,CHOIX,AG25)</f>
        <v>#NAME?</v>
      </c>
      <c r="AM25" s="36" t="e">
        <f>SUMIFS($M$6:$M$165,$D$6:$D$165,AF25,CHOIX,AG25)</f>
        <v>#NAME?</v>
      </c>
      <c r="AN25" s="91" t="s">
        <v>157</v>
      </c>
      <c r="AO25" s="83"/>
      <c r="AP25" s="63"/>
      <c r="AQ25" s="63"/>
      <c r="AR25" s="63"/>
      <c r="AS25" s="79"/>
      <c r="AT25" s="79"/>
      <c r="AU25" s="55" t="e">
        <f>SUMIFS($O$6:$O$165,$D$6:$D$165,AF25,CHOIX,AG25)</f>
        <v>#NAME?</v>
      </c>
      <c r="AV25" s="80" t="e">
        <f>SUMIFS($Q$6:$Q$165,$D$6:$D$165,AF25,CHOIX,AG25)</f>
        <v>#NAME?</v>
      </c>
      <c r="AW25" s="12"/>
      <c r="AX25" s="12"/>
      <c r="AY25" s="12"/>
      <c r="AZ25" s="8"/>
      <c r="BA25" s="148"/>
      <c r="BB25" s="148"/>
      <c r="BC25" s="148"/>
      <c r="BD25" s="10"/>
      <c r="BE25" s="10"/>
      <c r="BF25" s="10"/>
      <c r="BG25" s="10"/>
      <c r="BH25" s="10"/>
      <c r="BI25" s="10"/>
      <c r="BJ25" s="10"/>
      <c r="BK25" s="10"/>
      <c r="BL25" s="10"/>
      <c r="BM25" s="147">
        <f t="shared" si="8"/>
        <v>0</v>
      </c>
      <c r="BN25" s="147">
        <f t="shared" si="9"/>
        <v>0</v>
      </c>
      <c r="BO25" s="149"/>
      <c r="BP25" s="49"/>
      <c r="BQ25" s="12"/>
      <c r="BR25" s="12"/>
      <c r="BS25" s="593" t="s">
        <v>178</v>
      </c>
      <c r="BT25" s="522"/>
      <c r="BU25" s="522"/>
      <c r="BV25" s="522"/>
      <c r="BW25" s="522"/>
      <c r="BX25" s="522"/>
      <c r="BY25" s="522"/>
      <c r="BZ25" s="522"/>
      <c r="CA25" s="522"/>
      <c r="CB25" s="522"/>
      <c r="CC25" s="493">
        <f>CC23+BV23</f>
        <v>0</v>
      </c>
      <c r="CV25" s="64"/>
      <c r="CW25" s="148"/>
      <c r="CX25" s="109"/>
      <c r="CY25" s="132"/>
      <c r="CZ25" s="143"/>
      <c r="DA25" s="63"/>
      <c r="DB25" s="50"/>
      <c r="DC25" s="10"/>
      <c r="DD25" s="10"/>
      <c r="DE25" s="10"/>
      <c r="DF25" s="10"/>
      <c r="DG25" s="10"/>
      <c r="DH25" s="39"/>
      <c r="DI25" s="33">
        <f t="shared" si="4"/>
        <v>0</v>
      </c>
      <c r="DJ25" s="52" t="b">
        <f>IF(AND(CZ25="CLIENT S+L",DA25="HUILE"),(DN25*3333.33+(VLOOKUP(DC25,'BASE '!$I$112:$J$142,2,0)))-((DN25*3333.33)*DB25),IF(AND(CZ25="CLIENT S+L",DA25="LAIT"),((DN25*952.4)-(DN25*952.4)*DB25),IF(CZ25="CLIENT O","OFFERT",IF(AND(DA25="HUILE",CZ25="CLIENT L"),(((VLOOKUP(DC25,'BASE '!$I$112:$J$142,2,0))+(VLOOKUP(DN25,'BASE '!#REF!,2,0)))),IF(AND(DA25="LAIT",CZ25="CLIENT L"),(DN25*952.4),IF(AND(DA25="HUILE",CZ25="CLIENT D"),(DN25*3809.53+(VLOOKUP(DC25,'BASE '!$I$112:$J$142,2,0))),IF(AND(DA25="LAIT",CZ25="CLIENT D"),(DN25*952.4),IF(AND(DA25="HUILE",CZ25="CLIENT S+D"),((DN25*3809.53+(VLOOKUP(DC25,'BASE '!$I$112:$J$142,2,0)))-((DN25*3809.53)*DB25)),IF(AND(DA25="LAIT",CZ25="CLIENT S+D"),((DN25*952.4)-((DN25*952.4)*DB25)),IF(AND(CZ25="CLIENT S",DA25="LAIT"),((DN25*952.4)-((DN25*952.4)*DB25)),IF(AND(DA25="HUILE",CZ25="CLIENT S"),(VLOOKUP(DC25,'BASE '!$I$112:$J$142,2,0)+(VLOOKUP(DN25,'BASE '!#REF!,2,0)))-(DB25*((VLOOKUP(DN25,'BASE '!#REF!,2,0)+(VLOOKUP(DC25,'BASE '!$I$112:$J$142,2,0))))))))))))))))</f>
        <v>0</v>
      </c>
      <c r="DK25" s="52" t="b">
        <f t="shared" si="5"/>
        <v>0</v>
      </c>
      <c r="DL25" s="53" t="b">
        <f t="shared" si="12"/>
        <v>0</v>
      </c>
      <c r="DM25" s="149"/>
      <c r="DN25" s="116">
        <f t="shared" si="13"/>
        <v>0</v>
      </c>
      <c r="DO25" s="124"/>
      <c r="DP25" s="42"/>
      <c r="DQ25" s="70"/>
      <c r="DR25" s="159"/>
      <c r="DS25" s="159"/>
      <c r="DT25" s="159"/>
      <c r="DU25" s="160"/>
      <c r="DV25" s="95"/>
      <c r="DW25" s="95"/>
      <c r="DX25" s="95"/>
      <c r="DY25" s="96"/>
    </row>
    <row r="26" spans="2:129" ht="15" customHeight="1" thickBot="1" x14ac:dyDescent="0.35">
      <c r="B26" s="64"/>
      <c r="C26" s="148"/>
      <c r="D26" s="109"/>
      <c r="E26" s="63"/>
      <c r="F26" s="127"/>
      <c r="G26" s="50"/>
      <c r="H26" s="10"/>
      <c r="I26" s="10"/>
      <c r="J26" s="10"/>
      <c r="K26" s="10"/>
      <c r="L26" s="10"/>
      <c r="M26" s="39"/>
      <c r="N26" s="33">
        <f t="shared" si="0"/>
        <v>0</v>
      </c>
      <c r="O26" s="52" t="b">
        <f>IF(AND(E26="CLIENT S+L",F26="HUILE"),(S26*3333.33+(VLOOKUP(H26,'BASE '!$I$112:$J$142,2,0)))-((S26*3333.33)*G26),IF(AND(E26="CLIENT S+L",F26="LAIT"),((S26*952.4)-(S26*952.4)*G26),IF(E26="CLIENT O","OFFERT",IF(AND(F26="HUILE",E26="CLIENT L"),(((VLOOKUP(H26,'BASE '!$I$112:$J$142,2,0))+(VLOOKUP(S26,'BASE '!#REF!,2,0)))),IF(AND(F26="LAIT",E26="CLIENT L"),(S26*952.4),IF(AND(F26="HUILE",E26="CLIENT D"),(S26*3809.53+(VLOOKUP(H26,'BASE '!$I$112:$J$142,2,0))),IF(AND(F26="LAIT",E26="CLIENT D"),(S26*952.4),IF(AND(F26="HUILE",E26="CLIENT S+D"),((S26*3809.53+(VLOOKUP(H26,'BASE '!$I$112:$J$142,2,0)))-((S26*3809.53)*G26)),IF(AND(F26="LAIT",E26="CLIENT S+D"),((S26*952.4)-((S26*952.4)*G26)),IF(AND(E26="CLIENT S",F26="LAIT"),((S26*952.4)-((S26*952.4)*G26)),IF(AND(F26="HUILE",E26="CLIENT S"),(VLOOKUP(H26,'BASE '!$I$112:$J$142,2,0)+(VLOOKUP(S26,'BASE '!#REF!,2,0)))-(G26*((VLOOKUP(S26,'BASE '!#REF!,2,0)+(VLOOKUP(H26,'BASE '!$I$112:$J$142,2,0))))))))))))))))</f>
        <v>0</v>
      </c>
      <c r="P26" s="52" t="b">
        <f t="shared" si="1"/>
        <v>0</v>
      </c>
      <c r="Q26" s="53" t="b">
        <f t="shared" si="2"/>
        <v>0</v>
      </c>
      <c r="R26" s="152" t="s">
        <v>175</v>
      </c>
      <c r="S26" s="184">
        <f t="shared" si="6"/>
        <v>0</v>
      </c>
      <c r="T26" s="124"/>
      <c r="U26" s="41" t="s">
        <v>175</v>
      </c>
      <c r="V26" s="70" t="e">
        <f>VLOOKUP(U26,'BASE '!$A$4:$H$144,2,0)</f>
        <v>#N/A</v>
      </c>
      <c r="W26" s="159"/>
      <c r="X26" s="159"/>
      <c r="Y26" s="160"/>
      <c r="Z26" s="158" t="e">
        <f>VLOOKUP(U26,'BASE '!$A$4:$H$144,3,0)</f>
        <v>#N/A</v>
      </c>
      <c r="AA26" s="94" t="e">
        <f t="shared" si="3"/>
        <v>#N/A</v>
      </c>
      <c r="AB26" s="95" t="e">
        <f>VLOOKUP(U26,'BASE '!$A$4:$H$144,6,0)*Y26/100</f>
        <v>#N/A</v>
      </c>
      <c r="AC26" s="95" t="e">
        <f>VLOOKUP(U26,'BASE '!$A$4:$H$144,7,0)*Y26/100</f>
        <v>#N/A</v>
      </c>
      <c r="AD26" s="95" t="e">
        <f>VLOOKUP(U26,'BASE '!$A$4:$H$144,8,0)*Y26/100</f>
        <v>#N/A</v>
      </c>
      <c r="AE26" s="96" t="e">
        <f t="shared" si="7"/>
        <v>#N/A</v>
      </c>
      <c r="AF26" s="431"/>
      <c r="AG26" s="1" t="s">
        <v>155</v>
      </c>
      <c r="AH26" s="36" t="e">
        <f>SUMIFS($H$6:$H$165,$D$6:$D$165,AF25,CHOIX,AG26)</f>
        <v>#NAME?</v>
      </c>
      <c r="AI26" s="36" t="e">
        <f>SUMIFS($I$6:$I$165,$D$6:$D$165,AF25,CHOIX,AG26)</f>
        <v>#NAME?</v>
      </c>
      <c r="AJ26" s="36" t="e">
        <f>SUMIFS($J$6:$J$165,$D$6:$D$165,AF25,CHOIX,AG26)</f>
        <v>#NAME?</v>
      </c>
      <c r="AK26" s="36" t="e">
        <f>SUMIFS($K$6:$K$165,$D$6:$D$165,AF25,CHOIX,AG26)</f>
        <v>#NAME?</v>
      </c>
      <c r="AL26" s="36" t="e">
        <f>SUMIFS($L$6:$L$165,$D$6:$D$165,AF25,CHOIX,AG26)</f>
        <v>#NAME?</v>
      </c>
      <c r="AM26" s="36" t="e">
        <f>SUMIFS($M$6:$M$165,$D$6:$D$165,AF25,CHOIX,AG26)</f>
        <v>#NAME?</v>
      </c>
      <c r="AN26" s="1" t="s">
        <v>155</v>
      </c>
      <c r="AO26" s="83"/>
      <c r="AP26" s="63"/>
      <c r="AQ26" s="63"/>
      <c r="AR26" s="63"/>
      <c r="AS26" s="79"/>
      <c r="AT26" s="79"/>
      <c r="AU26" s="55" t="e">
        <f>SUMIFS($O$6:$O$165,$D$6:$D$165,AF25,CHOIX,AG26)</f>
        <v>#NAME?</v>
      </c>
      <c r="AV26" s="80" t="e">
        <f>SUMIFS($Q$6:$Q$165,$D$6:$D$165,AF25,CHOIX,AG26)</f>
        <v>#NAME?</v>
      </c>
      <c r="AW26" s="12"/>
      <c r="AX26" s="12"/>
      <c r="AY26" s="12"/>
      <c r="AZ26" s="8"/>
      <c r="BA26" s="148"/>
      <c r="BB26" s="148"/>
      <c r="BC26" s="148"/>
      <c r="BD26" s="10"/>
      <c r="BE26" s="10"/>
      <c r="BF26" s="10"/>
      <c r="BG26" s="10"/>
      <c r="BH26" s="10"/>
      <c r="BI26" s="10"/>
      <c r="BJ26" s="10"/>
      <c r="BK26" s="10"/>
      <c r="BL26" s="10"/>
      <c r="BM26" s="147">
        <f t="shared" si="8"/>
        <v>0</v>
      </c>
      <c r="BN26" s="147">
        <f t="shared" si="9"/>
        <v>0</v>
      </c>
      <c r="BO26" s="149"/>
      <c r="BP26" s="49"/>
      <c r="BQ26" s="12"/>
      <c r="BR26" s="12"/>
      <c r="BS26" s="594"/>
      <c r="BT26" s="523"/>
      <c r="BU26" s="523"/>
      <c r="BV26" s="523"/>
      <c r="BW26" s="523"/>
      <c r="BX26" s="523"/>
      <c r="BY26" s="523"/>
      <c r="BZ26" s="523"/>
      <c r="CA26" s="523"/>
      <c r="CB26" s="523"/>
      <c r="CC26" s="494"/>
      <c r="CV26" s="64"/>
      <c r="CW26" s="148"/>
      <c r="CX26" s="109"/>
      <c r="CY26" s="132"/>
      <c r="CZ26" s="143"/>
      <c r="DA26" s="63"/>
      <c r="DB26" s="50"/>
      <c r="DC26" s="10"/>
      <c r="DD26" s="10"/>
      <c r="DE26" s="10"/>
      <c r="DF26" s="10"/>
      <c r="DG26" s="10"/>
      <c r="DH26" s="39"/>
      <c r="DI26" s="33">
        <f t="shared" si="4"/>
        <v>0</v>
      </c>
      <c r="DJ26" s="52" t="b">
        <f>IF(AND(CZ26="CLIENT S+L",DA26="HUILE"),(DN26*3333.33+(VLOOKUP(DC26,'BASE '!$I$112:$J$142,2,0)))-((DN26*3333.33)*DB26),IF(AND(CZ26="CLIENT S+L",DA26="LAIT"),((DN26*952.4)-(DN26*952.4)*DB26),IF(CZ26="CLIENT O","OFFERT",IF(AND(DA26="HUILE",CZ26="CLIENT L"),(((VLOOKUP(DC26,'BASE '!$I$112:$J$142,2,0))+(VLOOKUP(DN26,'BASE '!#REF!,2,0)))),IF(AND(DA26="LAIT",CZ26="CLIENT L"),(DN26*952.4),IF(AND(DA26="HUILE",CZ26="CLIENT D"),(DN26*3809.53+(VLOOKUP(DC26,'BASE '!$I$112:$J$142,2,0))),IF(AND(DA26="LAIT",CZ26="CLIENT D"),(DN26*952.4),IF(AND(DA26="HUILE",CZ26="CLIENT S+D"),((DN26*3809.53+(VLOOKUP(DC26,'BASE '!$I$112:$J$142,2,0)))-((DN26*3809.53)*DB26)),IF(AND(DA26="LAIT",CZ26="CLIENT S+D"),((DN26*952.4)-((DN26*952.4)*DB26)),IF(AND(CZ26="CLIENT S",DA26="LAIT"),((DN26*952.4)-((DN26*952.4)*DB26)),IF(AND(DA26="HUILE",CZ26="CLIENT S"),(VLOOKUP(DC26,'BASE '!$I$112:$J$142,2,0)+(VLOOKUP(DN26,'BASE '!#REF!,2,0)))-(DB26*((VLOOKUP(DN26,'BASE '!#REF!,2,0)+(VLOOKUP(DC26,'BASE '!$I$112:$J$142,2,0))))))))))))))))</f>
        <v>0</v>
      </c>
      <c r="DK26" s="52" t="b">
        <f t="shared" si="5"/>
        <v>0</v>
      </c>
      <c r="DL26" s="53" t="b">
        <f t="shared" si="12"/>
        <v>0</v>
      </c>
      <c r="DM26" s="149"/>
      <c r="DN26" s="116">
        <f t="shared" si="13"/>
        <v>0</v>
      </c>
      <c r="DO26" s="124"/>
      <c r="DP26" s="42"/>
      <c r="DQ26" s="70"/>
      <c r="DR26" s="159"/>
      <c r="DS26" s="159"/>
      <c r="DT26" s="159"/>
      <c r="DU26" s="160"/>
      <c r="DV26" s="95"/>
      <c r="DW26" s="95"/>
      <c r="DX26" s="95"/>
      <c r="DY26" s="96"/>
    </row>
    <row r="27" spans="2:129" ht="15" customHeight="1" x14ac:dyDescent="0.3">
      <c r="B27" s="64"/>
      <c r="C27" s="148"/>
      <c r="D27" s="109"/>
      <c r="E27" s="63"/>
      <c r="F27" s="127"/>
      <c r="G27" s="50"/>
      <c r="H27" s="10"/>
      <c r="I27" s="10"/>
      <c r="J27" s="10"/>
      <c r="K27" s="10"/>
      <c r="L27" s="10"/>
      <c r="M27" s="39"/>
      <c r="N27" s="33">
        <f t="shared" si="0"/>
        <v>0</v>
      </c>
      <c r="O27" s="52" t="b">
        <f>IF(AND(E27="CLIENT S+L",F27="HUILE"),(S27*3333.33+(VLOOKUP(H27,'BASE '!$I$112:$J$142,2,0)))-((S27*3333.33)*G27),IF(AND(E27="CLIENT S+L",F27="LAIT"),((S27*952.4)-(S27*952.4)*G27),IF(E27="CLIENT O","OFFERT",IF(AND(F27="HUILE",E27="CLIENT L"),(((VLOOKUP(H27,'BASE '!$I$112:$J$142,2,0))+(VLOOKUP(S27,'BASE '!#REF!,2,0)))),IF(AND(F27="LAIT",E27="CLIENT L"),(S27*952.4),IF(AND(F27="HUILE",E27="CLIENT D"),(S27*3809.53+(VLOOKUP(H27,'BASE '!$I$112:$J$142,2,0))),IF(AND(F27="LAIT",E27="CLIENT D"),(S27*952.4),IF(AND(F27="HUILE",E27="CLIENT S+D"),((S27*3809.53+(VLOOKUP(H27,'BASE '!$I$112:$J$142,2,0)))-((S27*3809.53)*G27)),IF(AND(F27="LAIT",E27="CLIENT S+D"),((S27*952.4)-((S27*952.4)*G27)),IF(AND(E27="CLIENT S",F27="LAIT"),((S27*952.4)-((S27*952.4)*G27)),IF(AND(F27="HUILE",E27="CLIENT S"),(VLOOKUP(H27,'BASE '!$I$112:$J$142,2,0)+(VLOOKUP(S27,'BASE '!#REF!,2,0)))-(G27*((VLOOKUP(S27,'BASE '!#REF!,2,0)+(VLOOKUP(H27,'BASE '!$I$112:$J$142,2,0))))))))))))))))</f>
        <v>0</v>
      </c>
      <c r="P27" s="52" t="b">
        <f t="shared" si="1"/>
        <v>0</v>
      </c>
      <c r="Q27" s="53" t="b">
        <f t="shared" si="2"/>
        <v>0</v>
      </c>
      <c r="R27" s="152" t="s">
        <v>175</v>
      </c>
      <c r="S27" s="184">
        <f t="shared" si="6"/>
        <v>0</v>
      </c>
      <c r="T27" s="124"/>
      <c r="U27" s="41" t="s">
        <v>175</v>
      </c>
      <c r="V27" s="70" t="e">
        <f>VLOOKUP(U27,'BASE '!$A$4:$H$144,2,0)</f>
        <v>#N/A</v>
      </c>
      <c r="W27" s="159"/>
      <c r="X27" s="159"/>
      <c r="Y27" s="160"/>
      <c r="Z27" s="158" t="e">
        <f>VLOOKUP(U27,'BASE '!$A$4:$H$144,3,0)</f>
        <v>#N/A</v>
      </c>
      <c r="AA27" s="94" t="e">
        <f t="shared" si="3"/>
        <v>#N/A</v>
      </c>
      <c r="AB27" s="95" t="e">
        <f>VLOOKUP(U27,'BASE '!$A$4:$H$144,6,0)*Y27/100</f>
        <v>#N/A</v>
      </c>
      <c r="AC27" s="95" t="e">
        <f>VLOOKUP(U27,'BASE '!$A$4:$H$144,7,0)*Y27/100</f>
        <v>#N/A</v>
      </c>
      <c r="AD27" s="95" t="e">
        <f>VLOOKUP(U27,'BASE '!$A$4:$H$144,8,0)*Y27/100</f>
        <v>#N/A</v>
      </c>
      <c r="AE27" s="96" t="e">
        <f t="shared" si="7"/>
        <v>#N/A</v>
      </c>
      <c r="AF27" s="431"/>
      <c r="AG27" s="91" t="s">
        <v>157</v>
      </c>
      <c r="AH27" s="36" t="e">
        <f>SUMIFS($H$6:$H$165,$D$6:$D$165,AF27,CHOIX,AG27)</f>
        <v>#NAME?</v>
      </c>
      <c r="AI27" s="36" t="e">
        <f>SUMIFS($I$6:$I$165,$D$6:$D$165,AF27,CHOIX,AG27)</f>
        <v>#NAME?</v>
      </c>
      <c r="AJ27" s="36" t="e">
        <f>SUMIFS($J$6:$J$165,$D$6:$D$165,AF27,CHOIX,AG27)</f>
        <v>#NAME?</v>
      </c>
      <c r="AK27" s="36" t="e">
        <f>SUMIFS($K$6:$K$165,$D$6:$D$165,AF27,CHOIX,AG27)</f>
        <v>#NAME?</v>
      </c>
      <c r="AL27" s="36" t="e">
        <f>SUMIFS($L$6:$L$165,$D$6:$D$165,AF27,CHOIX,AG27)</f>
        <v>#NAME?</v>
      </c>
      <c r="AM27" s="36" t="e">
        <f>SUMIFS($M$6:$M$165,$D$6:$D$165,AF27,CHOIX,AG27)</f>
        <v>#NAME?</v>
      </c>
      <c r="AN27" s="91" t="s">
        <v>157</v>
      </c>
      <c r="AO27" s="83"/>
      <c r="AP27" s="63"/>
      <c r="AQ27" s="63"/>
      <c r="AR27" s="63"/>
      <c r="AS27" s="79"/>
      <c r="AT27" s="79"/>
      <c r="AU27" s="55" t="e">
        <f>SUMIFS($O$6:$O$165,$D$6:$D$165,AF27,CHOIX,AG27)</f>
        <v>#NAME?</v>
      </c>
      <c r="AV27" s="80" t="e">
        <f>SUMIFS($Q$6:$Q$165,$D$6:$D$165,AF27,CHOIX,AG27)</f>
        <v>#NAME?</v>
      </c>
      <c r="AW27" s="12"/>
      <c r="AX27" s="12"/>
      <c r="AY27" s="12"/>
      <c r="AZ27" s="8"/>
      <c r="BA27" s="148"/>
      <c r="BB27" s="148"/>
      <c r="BC27" s="148"/>
      <c r="BD27" s="10"/>
      <c r="BE27" s="10"/>
      <c r="BF27" s="10"/>
      <c r="BG27" s="10"/>
      <c r="BH27" s="10"/>
      <c r="BI27" s="10"/>
      <c r="BJ27" s="10"/>
      <c r="BK27" s="10"/>
      <c r="BL27" s="10"/>
      <c r="BM27" s="147">
        <f t="shared" si="8"/>
        <v>0</v>
      </c>
      <c r="BN27" s="147">
        <f t="shared" si="9"/>
        <v>0</v>
      </c>
      <c r="BO27" s="149"/>
      <c r="BP27" s="49"/>
      <c r="BQ27" s="12"/>
      <c r="BR27" s="12"/>
      <c r="BS27" s="12"/>
      <c r="BT27" s="12"/>
      <c r="BU27" s="12"/>
      <c r="BV27" s="51"/>
      <c r="BW27" s="51"/>
      <c r="BX27" s="12"/>
      <c r="CV27" s="64"/>
      <c r="CW27" s="148"/>
      <c r="CX27" s="109"/>
      <c r="CY27" s="132"/>
      <c r="CZ27" s="143"/>
      <c r="DA27" s="63"/>
      <c r="DB27" s="50"/>
      <c r="DC27" s="10"/>
      <c r="DD27" s="10"/>
      <c r="DE27" s="10"/>
      <c r="DF27" s="10"/>
      <c r="DG27" s="10"/>
      <c r="DH27" s="39"/>
      <c r="DI27" s="33">
        <f t="shared" si="4"/>
        <v>0</v>
      </c>
      <c r="DJ27" s="52" t="b">
        <f>IF(AND(CZ27="CLIENT S+L",DA27="HUILE"),(DN27*3333.33+(VLOOKUP(DC27,'BASE '!$I$112:$J$142,2,0)))-((DN27*3333.33)*DB27),IF(AND(CZ27="CLIENT S+L",DA27="LAIT"),((DN27*952.4)-(DN27*952.4)*DB27),IF(CZ27="CLIENT O","OFFERT",IF(AND(DA27="HUILE",CZ27="CLIENT L"),(((VLOOKUP(DC27,'BASE '!$I$112:$J$142,2,0))+(VLOOKUP(DN27,'BASE '!#REF!,2,0)))),IF(AND(DA27="LAIT",CZ27="CLIENT L"),(DN27*952.4),IF(AND(DA27="HUILE",CZ27="CLIENT D"),(DN27*3809.53+(VLOOKUP(DC27,'BASE '!$I$112:$J$142,2,0))),IF(AND(DA27="LAIT",CZ27="CLIENT D"),(DN27*952.4),IF(AND(DA27="HUILE",CZ27="CLIENT S+D"),((DN27*3809.53+(VLOOKUP(DC27,'BASE '!$I$112:$J$142,2,0)))-((DN27*3809.53)*DB27)),IF(AND(DA27="LAIT",CZ27="CLIENT S+D"),((DN27*952.4)-((DN27*952.4)*DB27)),IF(AND(CZ27="CLIENT S",DA27="LAIT"),((DN27*952.4)-((DN27*952.4)*DB27)),IF(AND(DA27="HUILE",CZ27="CLIENT S"),(VLOOKUP(DC27,'BASE '!$I$112:$J$142,2,0)+(VLOOKUP(DN27,'BASE '!#REF!,2,0)))-(DB27*((VLOOKUP(DN27,'BASE '!#REF!,2,0)+(VLOOKUP(DC27,'BASE '!$I$112:$J$142,2,0))))))))))))))))</f>
        <v>0</v>
      </c>
      <c r="DK27" s="52" t="b">
        <f t="shared" si="5"/>
        <v>0</v>
      </c>
      <c r="DL27" s="53" t="b">
        <f t="shared" si="12"/>
        <v>0</v>
      </c>
      <c r="DM27" s="149"/>
      <c r="DN27" s="116">
        <f t="shared" si="13"/>
        <v>0</v>
      </c>
      <c r="DO27" s="124"/>
      <c r="DP27" s="42"/>
      <c r="DQ27" s="70"/>
      <c r="DR27" s="159"/>
      <c r="DS27" s="159"/>
      <c r="DT27" s="159"/>
      <c r="DU27" s="160"/>
      <c r="DV27" s="95"/>
      <c r="DW27" s="95"/>
      <c r="DX27" s="95"/>
      <c r="DY27" s="96"/>
    </row>
    <row r="28" spans="2:129" ht="15" customHeight="1" x14ac:dyDescent="0.3">
      <c r="B28" s="64"/>
      <c r="C28" s="148"/>
      <c r="D28" s="109"/>
      <c r="E28" s="63"/>
      <c r="F28" s="127"/>
      <c r="G28" s="50"/>
      <c r="H28" s="10"/>
      <c r="I28" s="10"/>
      <c r="J28" s="10"/>
      <c r="K28" s="10"/>
      <c r="L28" s="10"/>
      <c r="M28" s="39"/>
      <c r="N28" s="33">
        <f t="shared" si="0"/>
        <v>0</v>
      </c>
      <c r="O28" s="52" t="b">
        <f>IF(AND(E28="CLIENT S+L",F28="HUILE"),(S28*3333.33+(VLOOKUP(H28,'BASE '!$I$112:$J$142,2,0)))-((S28*3333.33)*G28),IF(AND(E28="CLIENT S+L",F28="LAIT"),((S28*952.4)-(S28*952.4)*G28),IF(E28="CLIENT O","OFFERT",IF(AND(F28="HUILE",E28="CLIENT L"),(((VLOOKUP(H28,'BASE '!$I$112:$J$142,2,0))+(VLOOKUP(S28,'BASE '!#REF!,2,0)))),IF(AND(F28="LAIT",E28="CLIENT L"),(S28*952.4),IF(AND(F28="HUILE",E28="CLIENT D"),(S28*3809.53+(VLOOKUP(H28,'BASE '!$I$112:$J$142,2,0))),IF(AND(F28="LAIT",E28="CLIENT D"),(S28*952.4),IF(AND(F28="HUILE",E28="CLIENT S+D"),((S28*3809.53+(VLOOKUP(H28,'BASE '!$I$112:$J$142,2,0)))-((S28*3809.53)*G28)),IF(AND(F28="LAIT",E28="CLIENT S+D"),((S28*952.4)-((S28*952.4)*G28)),IF(AND(E28="CLIENT S",F28="LAIT"),((S28*952.4)-((S28*952.4)*G28)),IF(AND(F28="HUILE",E28="CLIENT S"),(VLOOKUP(H28,'BASE '!$I$112:$J$142,2,0)+(VLOOKUP(S28,'BASE '!#REF!,2,0)))-(G28*((VLOOKUP(S28,'BASE '!#REF!,2,0)+(VLOOKUP(H28,'BASE '!$I$112:$J$142,2,0))))))))))))))))</f>
        <v>0</v>
      </c>
      <c r="P28" s="52" t="b">
        <f t="shared" si="1"/>
        <v>0</v>
      </c>
      <c r="Q28" s="53" t="b">
        <f t="shared" si="2"/>
        <v>0</v>
      </c>
      <c r="R28" s="152" t="s">
        <v>175</v>
      </c>
      <c r="S28" s="184">
        <f t="shared" si="6"/>
        <v>0</v>
      </c>
      <c r="T28" s="124"/>
      <c r="U28" s="41" t="s">
        <v>175</v>
      </c>
      <c r="V28" s="70" t="e">
        <f>VLOOKUP(U28,'BASE '!$A$4:$H$144,2,0)</f>
        <v>#N/A</v>
      </c>
      <c r="W28" s="159"/>
      <c r="X28" s="159"/>
      <c r="Y28" s="160"/>
      <c r="Z28" s="158" t="e">
        <f>VLOOKUP(U28,'BASE '!$A$4:$H$144,3,0)</f>
        <v>#N/A</v>
      </c>
      <c r="AA28" s="94" t="e">
        <f t="shared" si="3"/>
        <v>#N/A</v>
      </c>
      <c r="AB28" s="95" t="e">
        <f>VLOOKUP(U28,'BASE '!$A$4:$H$144,6,0)*Y28/100</f>
        <v>#N/A</v>
      </c>
      <c r="AC28" s="95" t="e">
        <f>VLOOKUP(U28,'BASE '!$A$4:$H$144,7,0)*Y28/100</f>
        <v>#N/A</v>
      </c>
      <c r="AD28" s="95" t="e">
        <f>VLOOKUP(U28,'BASE '!$A$4:$H$144,8,0)*Y28/100</f>
        <v>#N/A</v>
      </c>
      <c r="AE28" s="96" t="e">
        <f t="shared" si="7"/>
        <v>#N/A</v>
      </c>
      <c r="AF28" s="431"/>
      <c r="AG28" s="1" t="s">
        <v>155</v>
      </c>
      <c r="AH28" s="36" t="e">
        <f>SUMIFS($H$6:$H$165,$D$6:$D$165,AF27,CHOIX,AG28)</f>
        <v>#NAME?</v>
      </c>
      <c r="AI28" s="36" t="e">
        <f>SUMIFS($I$6:$I$165,$D$6:$D$165,AF27,CHOIX,AG28)</f>
        <v>#NAME?</v>
      </c>
      <c r="AJ28" s="36" t="e">
        <f>SUMIFS($J$6:$J$165,$D$6:$D$165,AF27,CHOIX,AG28)</f>
        <v>#NAME?</v>
      </c>
      <c r="AK28" s="36" t="e">
        <f>SUMIFS($K$6:$K$165,$D$6:$D$165,AF27,CHOIX,AG28)</f>
        <v>#NAME?</v>
      </c>
      <c r="AL28" s="36" t="e">
        <f>SUMIFS($L$6:$L$165,$D$6:$D$165,AF27,CHOIX,AG28)</f>
        <v>#NAME?</v>
      </c>
      <c r="AM28" s="36" t="e">
        <f>SUMIFS($M$6:$M$165,$D$6:$D$165,AF27,CHOIX,AG28)</f>
        <v>#NAME?</v>
      </c>
      <c r="AN28" s="1" t="s">
        <v>155</v>
      </c>
      <c r="AO28" s="83"/>
      <c r="AP28" s="63"/>
      <c r="AQ28" s="63"/>
      <c r="AR28" s="63"/>
      <c r="AS28" s="79"/>
      <c r="AT28" s="79"/>
      <c r="AU28" s="55" t="e">
        <f>SUMIFS($O$6:$O$165,$D$6:$D$165,AF27,CHOIX,AG28)</f>
        <v>#NAME?</v>
      </c>
      <c r="AV28" s="80" t="e">
        <f>SUMIFS($Q$6:$Q$165,$D$6:$D$165,AF27,CHOIX,AG28)</f>
        <v>#NAME?</v>
      </c>
      <c r="AW28" s="12"/>
      <c r="AX28" s="12"/>
      <c r="AY28" s="12"/>
      <c r="AZ28" s="8"/>
      <c r="BA28" s="148"/>
      <c r="BB28" s="148"/>
      <c r="BC28" s="148"/>
      <c r="BD28" s="10"/>
      <c r="BE28" s="10"/>
      <c r="BF28" s="10"/>
      <c r="BG28" s="10"/>
      <c r="BH28" s="10"/>
      <c r="BI28" s="10"/>
      <c r="BJ28" s="10"/>
      <c r="BK28" s="10"/>
      <c r="BL28" s="10"/>
      <c r="BM28" s="147">
        <f t="shared" si="8"/>
        <v>0</v>
      </c>
      <c r="BN28" s="147">
        <f t="shared" si="9"/>
        <v>0</v>
      </c>
      <c r="BO28" s="149"/>
      <c r="BP28" s="49"/>
      <c r="BQ28" s="12"/>
      <c r="BR28" s="12"/>
      <c r="BS28" s="12"/>
      <c r="BT28" s="12"/>
      <c r="BU28" s="12"/>
      <c r="BV28" s="51"/>
      <c r="BW28" s="51"/>
      <c r="BX28" s="12"/>
      <c r="CV28" s="64"/>
      <c r="CW28" s="148"/>
      <c r="CX28" s="109"/>
      <c r="CY28" s="132"/>
      <c r="CZ28" s="143"/>
      <c r="DA28" s="63"/>
      <c r="DB28" s="50"/>
      <c r="DC28" s="10"/>
      <c r="DD28" s="10"/>
      <c r="DE28" s="10"/>
      <c r="DF28" s="10"/>
      <c r="DG28" s="10"/>
      <c r="DH28" s="39"/>
      <c r="DI28" s="33">
        <f t="shared" si="4"/>
        <v>0</v>
      </c>
      <c r="DJ28" s="52" t="b">
        <f>IF(AND(CZ28="CLIENT S+L",DA28="HUILE"),(DN28*3333.33+(VLOOKUP(DC28,'BASE '!$I$112:$J$142,2,0)))-((DN28*3333.33)*DB28),IF(AND(CZ28="CLIENT S+L",DA28="LAIT"),((DN28*952.4)-(DN28*952.4)*DB28),IF(CZ28="CLIENT O","OFFERT",IF(AND(DA28="HUILE",CZ28="CLIENT L"),(((VLOOKUP(DC28,'BASE '!$I$112:$J$142,2,0))+(VLOOKUP(DN28,'BASE '!#REF!,2,0)))),IF(AND(DA28="LAIT",CZ28="CLIENT L"),(DN28*952.4),IF(AND(DA28="HUILE",CZ28="CLIENT D"),(DN28*3809.53+(VLOOKUP(DC28,'BASE '!$I$112:$J$142,2,0))),IF(AND(DA28="LAIT",CZ28="CLIENT D"),(DN28*952.4),IF(AND(DA28="HUILE",CZ28="CLIENT S+D"),((DN28*3809.53+(VLOOKUP(DC28,'BASE '!$I$112:$J$142,2,0)))-((DN28*3809.53)*DB28)),IF(AND(DA28="LAIT",CZ28="CLIENT S+D"),((DN28*952.4)-((DN28*952.4)*DB28)),IF(AND(CZ28="CLIENT S",DA28="LAIT"),((DN28*952.4)-((DN28*952.4)*DB28)),IF(AND(DA28="HUILE",CZ28="CLIENT S"),(VLOOKUP(DC28,'BASE '!$I$112:$J$142,2,0)+(VLOOKUP(DN28,'BASE '!#REF!,2,0)))-(DB28*((VLOOKUP(DN28,'BASE '!#REF!,2,0)+(VLOOKUP(DC28,'BASE '!$I$112:$J$142,2,0))))))))))))))))</f>
        <v>0</v>
      </c>
      <c r="DK28" s="52" t="b">
        <f t="shared" si="5"/>
        <v>0</v>
      </c>
      <c r="DL28" s="53" t="b">
        <f t="shared" si="12"/>
        <v>0</v>
      </c>
      <c r="DM28" s="149"/>
      <c r="DN28" s="116">
        <f t="shared" si="13"/>
        <v>0</v>
      </c>
      <c r="DO28" s="124"/>
      <c r="DP28" s="42"/>
      <c r="DQ28" s="70"/>
      <c r="DR28" s="159"/>
      <c r="DS28" s="159"/>
      <c r="DT28" s="159"/>
      <c r="DU28" s="160"/>
      <c r="DV28" s="95"/>
      <c r="DW28" s="95"/>
      <c r="DX28" s="95"/>
      <c r="DY28" s="96"/>
    </row>
    <row r="29" spans="2:129" ht="15" customHeight="1" thickBot="1" x14ac:dyDescent="0.35">
      <c r="B29" s="64"/>
      <c r="C29" s="148"/>
      <c r="D29" s="109"/>
      <c r="E29" s="63"/>
      <c r="F29" s="127"/>
      <c r="G29" s="50"/>
      <c r="H29" s="10"/>
      <c r="I29" s="10"/>
      <c r="J29" s="10"/>
      <c r="K29" s="10"/>
      <c r="L29" s="10"/>
      <c r="M29" s="39"/>
      <c r="N29" s="33">
        <f t="shared" si="0"/>
        <v>0</v>
      </c>
      <c r="O29" s="52" t="b">
        <f>IF(AND(E29="CLIENT S+L",F29="HUILE"),(S29*3333.33+(VLOOKUP(H29,'BASE '!$I$112:$J$142,2,0)))-((S29*3333.33)*G29),IF(AND(E29="CLIENT S+L",F29="LAIT"),((S29*952.4)-(S29*952.4)*G29),IF(E29="CLIENT O","OFFERT",IF(AND(F29="HUILE",E29="CLIENT L"),(((VLOOKUP(H29,'BASE '!$I$112:$J$142,2,0))+(VLOOKUP(S29,'BASE '!#REF!,2,0)))),IF(AND(F29="LAIT",E29="CLIENT L"),(S29*952.4),IF(AND(F29="HUILE",E29="CLIENT D"),(S29*3809.53+(VLOOKUP(H29,'BASE '!$I$112:$J$142,2,0))),IF(AND(F29="LAIT",E29="CLIENT D"),(S29*952.4),IF(AND(F29="HUILE",E29="CLIENT S+D"),((S29*3809.53+(VLOOKUP(H29,'BASE '!$I$112:$J$142,2,0)))-((S29*3809.53)*G29)),IF(AND(F29="LAIT",E29="CLIENT S+D"),((S29*952.4)-((S29*952.4)*G29)),IF(AND(E29="CLIENT S",F29="LAIT"),((S29*952.4)-((S29*952.4)*G29)),IF(AND(F29="HUILE",E29="CLIENT S"),(VLOOKUP(H29,'BASE '!$I$112:$J$142,2,0)+(VLOOKUP(S29,'BASE '!#REF!,2,0)))-(G29*((VLOOKUP(S29,'BASE '!#REF!,2,0)+(VLOOKUP(H29,'BASE '!$I$112:$J$142,2,0))))))))))))))))</f>
        <v>0</v>
      </c>
      <c r="P29" s="52" t="b">
        <f t="shared" si="1"/>
        <v>0</v>
      </c>
      <c r="Q29" s="53" t="b">
        <f t="shared" si="2"/>
        <v>0</v>
      </c>
      <c r="R29" s="152" t="s">
        <v>175</v>
      </c>
      <c r="S29" s="184">
        <f t="shared" si="6"/>
        <v>0</v>
      </c>
      <c r="T29" s="124"/>
      <c r="U29" s="41" t="s">
        <v>175</v>
      </c>
      <c r="V29" s="70" t="e">
        <f>VLOOKUP(U29,'BASE '!$A$4:$H$144,2,0)</f>
        <v>#N/A</v>
      </c>
      <c r="W29" s="159"/>
      <c r="X29" s="159"/>
      <c r="Y29" s="160"/>
      <c r="Z29" s="158" t="e">
        <f>VLOOKUP(U29,'BASE '!$A$4:$H$144,3,0)</f>
        <v>#N/A</v>
      </c>
      <c r="AA29" s="94" t="e">
        <f t="shared" si="3"/>
        <v>#N/A</v>
      </c>
      <c r="AB29" s="95" t="e">
        <f>VLOOKUP(U29,'BASE '!$A$4:$H$144,6,0)*Y29/100</f>
        <v>#N/A</v>
      </c>
      <c r="AC29" s="95" t="e">
        <f>VLOOKUP(U29,'BASE '!$A$4:$H$144,7,0)*Y29/100</f>
        <v>#N/A</v>
      </c>
      <c r="AD29" s="95" t="e">
        <f>VLOOKUP(U29,'BASE '!$A$4:$H$144,8,0)*Y29/100</f>
        <v>#N/A</v>
      </c>
      <c r="AE29" s="96" t="e">
        <f t="shared" si="7"/>
        <v>#N/A</v>
      </c>
      <c r="AF29" s="431"/>
      <c r="AG29" s="91" t="s">
        <v>157</v>
      </c>
      <c r="AH29" s="36" t="e">
        <f>SUMIFS($H$6:$H$165,$D$6:$D$165,AF29,CHOIX,AG29)</f>
        <v>#NAME?</v>
      </c>
      <c r="AI29" s="36" t="e">
        <f>SUMIFS($I$6:$I$165,$D$6:$D$165,AF29,CHOIX,AG29)</f>
        <v>#NAME?</v>
      </c>
      <c r="AJ29" s="36" t="e">
        <f>SUMIFS($J$6:$J$165,$D$6:$D$165,AF29,CHOIX,AG29)</f>
        <v>#NAME?</v>
      </c>
      <c r="AK29" s="36" t="e">
        <f>SUMIFS($K$6:$K$165,$D$6:$D$165,AF29,CHOIX,AG29)</f>
        <v>#NAME?</v>
      </c>
      <c r="AL29" s="36" t="e">
        <f>SUMIFS($L$6:$L$165,$D$6:$D$165,AF29,CHOIX,AG29)</f>
        <v>#NAME?</v>
      </c>
      <c r="AM29" s="36" t="e">
        <f>SUMIFS($M$6:$M$165,$D$6:$D$165,AF29,CHOIX,AG29)</f>
        <v>#NAME?</v>
      </c>
      <c r="AN29" s="91" t="s">
        <v>157</v>
      </c>
      <c r="AO29" s="83"/>
      <c r="AP29" s="63"/>
      <c r="AQ29" s="63"/>
      <c r="AR29" s="63"/>
      <c r="AS29" s="79"/>
      <c r="AT29" s="79"/>
      <c r="AU29" s="55" t="e">
        <f>SUMIFS($O$6:$O$165,$D$6:$D$165,AF29,CHOIX,AG29)</f>
        <v>#NAME?</v>
      </c>
      <c r="AV29" s="80" t="e">
        <f>SUMIFS($Q$6:$Q$165,$D$6:$D$165,AF29,CHOIX,AG29)</f>
        <v>#NAME?</v>
      </c>
      <c r="AW29" s="12"/>
      <c r="AX29" s="12"/>
      <c r="AY29" s="12"/>
      <c r="AZ29" s="8"/>
      <c r="BA29" s="148"/>
      <c r="BB29" s="148"/>
      <c r="BC29" s="148"/>
      <c r="BD29" s="10"/>
      <c r="BE29" s="10"/>
      <c r="BF29" s="10"/>
      <c r="BG29" s="10"/>
      <c r="BH29" s="10"/>
      <c r="BI29" s="10"/>
      <c r="BJ29" s="10"/>
      <c r="BK29" s="10"/>
      <c r="BL29" s="10"/>
      <c r="BM29" s="147">
        <f t="shared" si="8"/>
        <v>0</v>
      </c>
      <c r="BN29" s="147">
        <f t="shared" si="9"/>
        <v>0</v>
      </c>
      <c r="BO29" s="149"/>
      <c r="BP29" s="49"/>
      <c r="BQ29" s="12"/>
      <c r="BR29" s="12"/>
      <c r="BS29" s="12"/>
      <c r="BT29" s="12"/>
      <c r="BU29" s="12"/>
      <c r="BV29" s="51"/>
      <c r="BW29" s="51"/>
      <c r="BX29" s="12"/>
      <c r="CV29" s="64"/>
      <c r="CW29" s="148"/>
      <c r="CX29" s="109"/>
      <c r="CY29" s="132"/>
      <c r="CZ29" s="143"/>
      <c r="DA29" s="63"/>
      <c r="DB29" s="50"/>
      <c r="DC29" s="10"/>
      <c r="DD29" s="10"/>
      <c r="DE29" s="10"/>
      <c r="DF29" s="10"/>
      <c r="DG29" s="10"/>
      <c r="DH29" s="39"/>
      <c r="DI29" s="33">
        <f t="shared" si="4"/>
        <v>0</v>
      </c>
      <c r="DJ29" s="52" t="b">
        <f>IF(AND(CZ29="CLIENT S+L",DA29="HUILE"),(DO29*3333.33+(VLOOKUP(DC29,'BASE '!$I$112:$J$142,2,0)))-((DO29*3333.33)*DB29),IF(AND(CZ29="CLIENT S+L",DA29="LAIT"),((DO29*952.4)-(DO29*952.4)*DB29),IF(CZ29="CLIENT O","OFFERT",IF(AND(DA29="HUILE",CZ29="CLIENT L"),(((VLOOKUP(DC29,'BASE '!$I$112:$J$142,2,0))+(VLOOKUP(DO29,'BASE '!#REF!,2,0)))),IF(AND(DA29="LAIT",CZ29="CLIENT L"),(DO29*952.4),IF(AND(DA29="HUILE",CZ29="CLIENT D"),(DO29*3809.53+(VLOOKUP(DC29,'BASE '!$I$112:$J$142,2,0))),IF(AND(DA29="LAIT",CZ29="CLIENT D"),(DO29*952.4),IF(AND(DA29="HUILE",CZ29="CLIENT S+D"),((DO29*3809.53+(VLOOKUP(DC29,'BASE '!$I$112:$J$142,2,0)))-((DO29*3809.53)*DB29)),IF(AND(DA29="LAIT",CZ29="CLIENT S+D"),((DO29*952.4)-((DO29*952.4)*DB29)),IF(AND(CZ29="CLIENT S",DA29="LAIT"),((DO29*952.4)-((DO29*952.4)*DB29)),IF(AND(DA29="HUILE",CZ29="CLIENT S"),(VLOOKUP(DC29,'BASE '!$I$112:$J$142,2,0)+(VLOOKUP(DO29,'BASE '!#REF!,2,0)))-(DB29*((VLOOKUP(DO29,'BASE '!#REF!,2,0)+(VLOOKUP(DC29,'BASE '!$I$112:$J$142,2,0))))))))))))))))</f>
        <v>0</v>
      </c>
      <c r="DK29" s="52" t="b">
        <f t="shared" si="5"/>
        <v>0</v>
      </c>
      <c r="DL29" s="53" t="b">
        <f t="shared" si="12"/>
        <v>0</v>
      </c>
      <c r="DM29" s="149"/>
      <c r="DO29" s="124"/>
      <c r="DP29" s="42"/>
      <c r="DQ29" s="70"/>
      <c r="DR29" s="159"/>
      <c r="DS29" s="159"/>
      <c r="DT29" s="159"/>
      <c r="DU29" s="160"/>
      <c r="DV29" s="95"/>
      <c r="DW29" s="95"/>
      <c r="DX29" s="95"/>
      <c r="DY29" s="96"/>
    </row>
    <row r="30" spans="2:129" ht="15" customHeight="1" thickBot="1" x14ac:dyDescent="0.35">
      <c r="B30" s="64"/>
      <c r="C30" s="148"/>
      <c r="D30" s="109"/>
      <c r="E30" s="63"/>
      <c r="F30" s="127"/>
      <c r="G30" s="50"/>
      <c r="H30" s="10"/>
      <c r="I30" s="10"/>
      <c r="J30" s="10"/>
      <c r="K30" s="10"/>
      <c r="L30" s="10"/>
      <c r="M30" s="39"/>
      <c r="N30" s="33">
        <f t="shared" si="0"/>
        <v>0</v>
      </c>
      <c r="O30" s="52" t="b">
        <f>IF(AND(E30="CLIENT S+L",F30="HUILE"),(S30*3333.33+(VLOOKUP(H30,'BASE '!$I$112:$J$142,2,0)))-((S30*3333.33)*G30),IF(AND(E30="CLIENT S+L",F30="LAIT"),((S30*952.4)-(S30*952.4)*G30),IF(E30="CLIENT O","OFFERT",IF(AND(F30="HUILE",E30="CLIENT L"),(((VLOOKUP(H30,'BASE '!$I$112:$J$142,2,0))+(VLOOKUP(S30,'BASE '!#REF!,2,0)))),IF(AND(F30="LAIT",E30="CLIENT L"),(S30*952.4),IF(AND(F30="HUILE",E30="CLIENT D"),(S30*3809.53+(VLOOKUP(H30,'BASE '!$I$112:$J$142,2,0))),IF(AND(F30="LAIT",E30="CLIENT D"),(S30*952.4),IF(AND(F30="HUILE",E30="CLIENT S+D"),((S30*3809.53+(VLOOKUP(H30,'BASE '!$I$112:$J$142,2,0)))-((S30*3809.53)*G30)),IF(AND(F30="LAIT",E30="CLIENT S+D"),((S30*952.4)-((S30*952.4)*G30)),IF(AND(E30="CLIENT S",F30="LAIT"),((S30*952.4)-((S30*952.4)*G30)),IF(AND(F30="HUILE",E30="CLIENT S"),(VLOOKUP(H30,'BASE '!$I$112:$J$142,2,0)+(VLOOKUP(S30,'BASE '!#REF!,2,0)))-(G30*((VLOOKUP(S30,'BASE '!#REF!,2,0)+(VLOOKUP(H30,'BASE '!$I$112:$J$142,2,0))))))))))))))))</f>
        <v>0</v>
      </c>
      <c r="P30" s="52" t="b">
        <f t="shared" si="1"/>
        <v>0</v>
      </c>
      <c r="Q30" s="53" t="b">
        <f t="shared" si="2"/>
        <v>0</v>
      </c>
      <c r="R30" s="152" t="s">
        <v>175</v>
      </c>
      <c r="S30" s="184">
        <f t="shared" si="6"/>
        <v>0</v>
      </c>
      <c r="T30" s="124"/>
      <c r="U30" s="41" t="s">
        <v>175</v>
      </c>
      <c r="V30" s="70" t="e">
        <f>VLOOKUP(U30,'BASE '!$A$4:$H$144,2,0)</f>
        <v>#N/A</v>
      </c>
      <c r="W30" s="159"/>
      <c r="X30" s="159"/>
      <c r="Y30" s="160"/>
      <c r="Z30" s="158" t="e">
        <f>VLOOKUP(U30,'BASE '!$A$4:$H$144,3,0)</f>
        <v>#N/A</v>
      </c>
      <c r="AA30" s="94" t="e">
        <f t="shared" si="3"/>
        <v>#N/A</v>
      </c>
      <c r="AB30" s="95" t="e">
        <f>VLOOKUP(U30,'BASE '!$A$4:$H$144,6,0)*Y30/100</f>
        <v>#N/A</v>
      </c>
      <c r="AC30" s="95" t="e">
        <f>VLOOKUP(U30,'BASE '!$A$4:$H$144,7,0)*Y30/100</f>
        <v>#N/A</v>
      </c>
      <c r="AD30" s="95" t="e">
        <f>VLOOKUP(U30,'BASE '!$A$4:$H$144,8,0)*Y30/100</f>
        <v>#N/A</v>
      </c>
      <c r="AE30" s="96" t="e">
        <f t="shared" si="7"/>
        <v>#N/A</v>
      </c>
      <c r="AF30" s="431"/>
      <c r="AG30" s="1" t="s">
        <v>155</v>
      </c>
      <c r="AH30" s="36" t="e">
        <f>SUMIFS($H$6:$H$165,$D$6:$D$165,AF29,CHOIX,AG30)</f>
        <v>#NAME?</v>
      </c>
      <c r="AI30" s="36" t="e">
        <f>SUMIFS($I$6:$I$165,$D$6:$D$165,AF29,CHOIX,AG30)</f>
        <v>#NAME?</v>
      </c>
      <c r="AJ30" s="36" t="e">
        <f>SUMIFS($J$6:$J$165,$D$6:$D$165,AF29,CHOIX,AG30)</f>
        <v>#NAME?</v>
      </c>
      <c r="AK30" s="36" t="e">
        <f>SUMIFS($K$6:$K$165,$D$6:$D$165,AF29,CHOIX,AG30)</f>
        <v>#NAME?</v>
      </c>
      <c r="AL30" s="36" t="e">
        <f>SUMIFS($L$6:$L$165,$D$6:$D$165,AF29,CHOIX,AG30)</f>
        <v>#NAME?</v>
      </c>
      <c r="AM30" s="36" t="e">
        <f>SUMIFS($M$6:$M$165,$D$6:$D$165,AF29,CHOIX,AG30)</f>
        <v>#NAME?</v>
      </c>
      <c r="AN30" s="1" t="s">
        <v>155</v>
      </c>
      <c r="AO30" s="83"/>
      <c r="AP30" s="63"/>
      <c r="AQ30" s="63"/>
      <c r="AR30" s="63"/>
      <c r="AS30" s="79"/>
      <c r="AT30" s="79"/>
      <c r="AU30" s="55" t="e">
        <f>SUMIFS($O$6:$O$165,$D$6:$D$165,AF29,CHOIX,AG30)</f>
        <v>#NAME?</v>
      </c>
      <c r="AV30" s="80" t="e">
        <f>SUMIFS($Q$6:$Q$165,$D$6:$D$165,AF29,CHOIX,AG30)</f>
        <v>#NAME?</v>
      </c>
      <c r="AW30" s="12"/>
      <c r="AX30" s="12"/>
      <c r="AY30" s="12"/>
      <c r="AZ30" s="8"/>
      <c r="BA30" s="148"/>
      <c r="BB30" s="148"/>
      <c r="BC30" s="148"/>
      <c r="BD30" s="10"/>
      <c r="BE30" s="10"/>
      <c r="BF30" s="10"/>
      <c r="BG30" s="10"/>
      <c r="BH30" s="10"/>
      <c r="BI30" s="10"/>
      <c r="BJ30" s="10"/>
      <c r="BK30" s="10"/>
      <c r="BL30" s="10"/>
      <c r="BM30" s="147">
        <f t="shared" si="8"/>
        <v>0</v>
      </c>
      <c r="BN30" s="147">
        <f t="shared" si="9"/>
        <v>0</v>
      </c>
      <c r="BO30" s="149"/>
      <c r="BP30" s="49"/>
      <c r="BQ30" s="12"/>
      <c r="BR30" s="12"/>
      <c r="CV30" s="597" t="s">
        <v>186</v>
      </c>
      <c r="CW30" s="597"/>
      <c r="CX30" s="597"/>
      <c r="CY30" s="597"/>
      <c r="CZ30" s="597"/>
      <c r="DA30" s="597"/>
      <c r="DB30" s="597"/>
      <c r="DC30" s="537">
        <f>SUMIF($DA$6:$DA$29,"HUILE",DC6:DC29)</f>
        <v>0</v>
      </c>
      <c r="DD30" s="537">
        <f t="shared" ref="DD30:DI30" si="28">SUMIF($DA$6:$DA$29,"HUILE",DD6:DD29)</f>
        <v>0</v>
      </c>
      <c r="DE30" s="537">
        <f t="shared" si="28"/>
        <v>0</v>
      </c>
      <c r="DF30" s="537">
        <f t="shared" si="28"/>
        <v>0</v>
      </c>
      <c r="DG30" s="537">
        <f t="shared" si="28"/>
        <v>0</v>
      </c>
      <c r="DH30" s="537">
        <f t="shared" si="28"/>
        <v>0</v>
      </c>
      <c r="DI30" s="537">
        <f t="shared" si="28"/>
        <v>0</v>
      </c>
      <c r="DJ30" s="596"/>
      <c r="DK30" s="596"/>
      <c r="DL30" s="596"/>
      <c r="DM30" s="596"/>
      <c r="DO30" s="124"/>
      <c r="DP30" s="42"/>
      <c r="DQ30" s="70"/>
      <c r="DR30" s="159"/>
      <c r="DS30" s="159"/>
      <c r="DT30" s="159"/>
      <c r="DU30" s="160"/>
      <c r="DV30" s="95"/>
      <c r="DW30" s="95"/>
      <c r="DX30" s="95"/>
      <c r="DY30" s="96"/>
    </row>
    <row r="31" spans="2:129" ht="15" customHeight="1" thickBot="1" x14ac:dyDescent="0.35">
      <c r="B31" s="64"/>
      <c r="C31" s="148"/>
      <c r="D31" s="109"/>
      <c r="E31" s="63"/>
      <c r="F31" s="127"/>
      <c r="G31" s="50"/>
      <c r="H31" s="10"/>
      <c r="I31" s="10"/>
      <c r="J31" s="10"/>
      <c r="K31" s="10"/>
      <c r="L31" s="10"/>
      <c r="M31" s="39"/>
      <c r="N31" s="33">
        <f t="shared" si="0"/>
        <v>0</v>
      </c>
      <c r="O31" s="52" t="b">
        <f>IF(AND(E31="CLIENT S+L",F31="HUILE"),(S31*3333.33+(VLOOKUP(H31,'BASE '!$I$112:$J$142,2,0)))-((S31*3333.33)*G31),IF(AND(E31="CLIENT S+L",F31="LAIT"),((S31*952.4)-(S31*952.4)*G31),IF(E31="CLIENT O","OFFERT",IF(AND(F31="HUILE",E31="CLIENT L"),(((VLOOKUP(H31,'BASE '!$I$112:$J$142,2,0))+(VLOOKUP(S31,'BASE '!#REF!,2,0)))),IF(AND(F31="LAIT",E31="CLIENT L"),(S31*952.4),IF(AND(F31="HUILE",E31="CLIENT D"),(S31*3809.53+(VLOOKUP(H31,'BASE '!$I$112:$J$142,2,0))),IF(AND(F31="LAIT",E31="CLIENT D"),(S31*952.4),IF(AND(F31="HUILE",E31="CLIENT S+D"),((S31*3809.53+(VLOOKUP(H31,'BASE '!$I$112:$J$142,2,0)))-((S31*3809.53)*G31)),IF(AND(F31="LAIT",E31="CLIENT S+D"),((S31*952.4)-((S31*952.4)*G31)),IF(AND(E31="CLIENT S",F31="LAIT"),((S31*952.4)-((S31*952.4)*G31)),IF(AND(F31="HUILE",E31="CLIENT S"),(VLOOKUP(H31,'BASE '!$I$112:$J$142,2,0)+(VLOOKUP(S31,'BASE '!#REF!,2,0)))-(G31*((VLOOKUP(S31,'BASE '!#REF!,2,0)+(VLOOKUP(H31,'BASE '!$I$112:$J$142,2,0))))))))))))))))</f>
        <v>0</v>
      </c>
      <c r="P31" s="52" t="b">
        <f t="shared" si="1"/>
        <v>0</v>
      </c>
      <c r="Q31" s="53" t="b">
        <f t="shared" si="2"/>
        <v>0</v>
      </c>
      <c r="R31" s="152" t="s">
        <v>175</v>
      </c>
      <c r="S31" s="184">
        <f t="shared" si="6"/>
        <v>0</v>
      </c>
      <c r="T31" s="124"/>
      <c r="U31" s="41" t="s">
        <v>175</v>
      </c>
      <c r="V31" s="70" t="e">
        <f>VLOOKUP(U31,'BASE '!$A$4:$H$144,2,0)</f>
        <v>#N/A</v>
      </c>
      <c r="W31" s="159"/>
      <c r="X31" s="159"/>
      <c r="Y31" s="160"/>
      <c r="Z31" s="158" t="e">
        <f>VLOOKUP(U31,'BASE '!$A$4:$H$144,3,0)</f>
        <v>#N/A</v>
      </c>
      <c r="AA31" s="94" t="e">
        <f t="shared" si="3"/>
        <v>#N/A</v>
      </c>
      <c r="AB31" s="95" t="e">
        <f>VLOOKUP(U31,'BASE '!$A$4:$H$144,6,0)*Y31/100</f>
        <v>#N/A</v>
      </c>
      <c r="AC31" s="95" t="e">
        <f>VLOOKUP(U31,'BASE '!$A$4:$H$144,7,0)*Y31/100</f>
        <v>#N/A</v>
      </c>
      <c r="AD31" s="95" t="e">
        <f>VLOOKUP(U31,'BASE '!$A$4:$H$144,8,0)*Y31/100</f>
        <v>#N/A</v>
      </c>
      <c r="AE31" s="96" t="e">
        <f t="shared" si="7"/>
        <v>#N/A</v>
      </c>
      <c r="AF31" s="431"/>
      <c r="AG31" s="91" t="s">
        <v>157</v>
      </c>
      <c r="AH31" s="36" t="e">
        <f>SUMIFS($H$6:$H$165,$D$6:$D$165,AF31,CHOIX,AG31)</f>
        <v>#NAME?</v>
      </c>
      <c r="AI31" s="36" t="e">
        <f>SUMIFS($I$6:$I$165,$D$6:$D$165,AF31,CHOIX,AG31)</f>
        <v>#NAME?</v>
      </c>
      <c r="AJ31" s="36" t="e">
        <f>SUMIFS($J$6:$J$165,$D$6:$D$165,AF31,CHOIX,AG31)</f>
        <v>#NAME?</v>
      </c>
      <c r="AK31" s="36" t="e">
        <f>SUMIFS($K$6:$K$165,$D$6:$D$165,AF31,CHOIX,AG31)</f>
        <v>#NAME?</v>
      </c>
      <c r="AL31" s="36" t="e">
        <f>SUMIFS($L$6:$L$165,$D$6:$D$165,AF31,CHOIX,AG31)</f>
        <v>#NAME?</v>
      </c>
      <c r="AM31" s="36" t="e">
        <f>SUMIFS($M$6:$M$165,$D$6:$D$165,AF31,CHOIX,AG31)</f>
        <v>#NAME?</v>
      </c>
      <c r="AN31" s="91" t="s">
        <v>157</v>
      </c>
      <c r="AO31" s="83"/>
      <c r="AP31" s="63"/>
      <c r="AQ31" s="63"/>
      <c r="AR31" s="63"/>
      <c r="AS31" s="79"/>
      <c r="AT31" s="79"/>
      <c r="AU31" s="55" t="e">
        <f>SUMIFS($O$6:$O$165,$D$6:$D$165,AF31,CHOIX,AG31)</f>
        <v>#NAME?</v>
      </c>
      <c r="AV31" s="80" t="e">
        <f>SUMIFS($Q$6:$Q$165,$D$6:$D$165,AF31,CHOIX,AG31)</f>
        <v>#NAME?</v>
      </c>
      <c r="AZ31" s="8"/>
      <c r="BA31" s="148"/>
      <c r="BB31" s="148"/>
      <c r="BC31" s="148"/>
      <c r="BD31" s="10"/>
      <c r="BE31" s="10"/>
      <c r="BF31" s="10"/>
      <c r="BG31" s="10"/>
      <c r="BH31" s="10"/>
      <c r="BI31" s="10"/>
      <c r="BJ31" s="10"/>
      <c r="BK31" s="10"/>
      <c r="BL31" s="10"/>
      <c r="BM31" s="147">
        <f t="shared" si="8"/>
        <v>0</v>
      </c>
      <c r="BN31" s="147">
        <f t="shared" si="9"/>
        <v>0</v>
      </c>
      <c r="BO31" s="149"/>
      <c r="BP31" s="49"/>
      <c r="BQ31" s="12"/>
      <c r="BR31" s="12"/>
      <c r="CV31" s="597"/>
      <c r="CW31" s="597"/>
      <c r="CX31" s="597"/>
      <c r="CY31" s="597"/>
      <c r="CZ31" s="597"/>
      <c r="DA31" s="597"/>
      <c r="DB31" s="597"/>
      <c r="DC31" s="538"/>
      <c r="DD31" s="538"/>
      <c r="DE31" s="538"/>
      <c r="DF31" s="538"/>
      <c r="DG31" s="538"/>
      <c r="DH31" s="538"/>
      <c r="DI31" s="538"/>
      <c r="DJ31" s="596"/>
      <c r="DK31" s="596"/>
      <c r="DL31" s="596"/>
      <c r="DM31" s="596"/>
      <c r="DO31" s="124"/>
      <c r="DP31" s="42"/>
      <c r="DQ31" s="70"/>
      <c r="DR31" s="159"/>
      <c r="DS31" s="159"/>
      <c r="DT31" s="159"/>
      <c r="DU31" s="160"/>
      <c r="DV31" s="95"/>
      <c r="DW31" s="95"/>
      <c r="DX31" s="95"/>
      <c r="DY31" s="96"/>
    </row>
    <row r="32" spans="2:129" ht="15" customHeight="1" thickBot="1" x14ac:dyDescent="0.35">
      <c r="B32" s="64"/>
      <c r="C32" s="148"/>
      <c r="D32" s="109"/>
      <c r="E32" s="63"/>
      <c r="F32" s="127"/>
      <c r="G32" s="50"/>
      <c r="H32" s="10"/>
      <c r="I32" s="10"/>
      <c r="J32" s="10"/>
      <c r="K32" s="10"/>
      <c r="L32" s="10"/>
      <c r="M32" s="39"/>
      <c r="N32" s="33">
        <f t="shared" si="0"/>
        <v>0</v>
      </c>
      <c r="O32" s="52" t="b">
        <f>IF(AND(E32="CLIENT S+L",F32="HUILE"),(S32*3333.33+(VLOOKUP(H32,'BASE '!$I$112:$J$142,2,0)))-((S32*3333.33)*G32),IF(AND(E32="CLIENT S+L",F32="LAIT"),((S32*952.4)-(S32*952.4)*G32),IF(E32="CLIENT O","OFFERT",IF(AND(F32="HUILE",E32="CLIENT L"),(((VLOOKUP(H32,'BASE '!$I$112:$J$142,2,0))+(VLOOKUP(S32,'BASE '!#REF!,2,0)))),IF(AND(F32="LAIT",E32="CLIENT L"),(S32*952.4),IF(AND(F32="HUILE",E32="CLIENT D"),(S32*3809.53+(VLOOKUP(H32,'BASE '!$I$112:$J$142,2,0))),IF(AND(F32="LAIT",E32="CLIENT D"),(S32*952.4),IF(AND(F32="HUILE",E32="CLIENT S+D"),((S32*3809.53+(VLOOKUP(H32,'BASE '!$I$112:$J$142,2,0)))-((S32*3809.53)*G32)),IF(AND(F32="LAIT",E32="CLIENT S+D"),((S32*952.4)-((S32*952.4)*G32)),IF(AND(E32="CLIENT S",F32="LAIT"),((S32*952.4)-((S32*952.4)*G32)),IF(AND(F32="HUILE",E32="CLIENT S"),(VLOOKUP(H32,'BASE '!$I$112:$J$142,2,0)+(VLOOKUP(S32,'BASE '!#REF!,2,0)))-(G32*((VLOOKUP(S32,'BASE '!#REF!,2,0)+(VLOOKUP(H32,'BASE '!$I$112:$J$142,2,0))))))))))))))))</f>
        <v>0</v>
      </c>
      <c r="P32" s="52" t="b">
        <f t="shared" si="1"/>
        <v>0</v>
      </c>
      <c r="Q32" s="53" t="b">
        <f t="shared" si="2"/>
        <v>0</v>
      </c>
      <c r="R32" s="152" t="s">
        <v>175</v>
      </c>
      <c r="S32" s="184">
        <f t="shared" si="6"/>
        <v>0</v>
      </c>
      <c r="T32" s="124"/>
      <c r="U32" s="41" t="s">
        <v>175</v>
      </c>
      <c r="V32" s="70" t="e">
        <f>VLOOKUP(U32,'BASE '!$A$4:$H$144,2,0)</f>
        <v>#N/A</v>
      </c>
      <c r="W32" s="159"/>
      <c r="X32" s="159"/>
      <c r="Y32" s="160"/>
      <c r="Z32" s="158" t="e">
        <f>VLOOKUP(U32,'BASE '!$A$4:$H$144,3,0)</f>
        <v>#N/A</v>
      </c>
      <c r="AA32" s="94" t="e">
        <f t="shared" si="3"/>
        <v>#N/A</v>
      </c>
      <c r="AB32" s="95" t="e">
        <f>VLOOKUP(U32,'BASE '!$A$4:$H$144,6,0)*Y32/100</f>
        <v>#N/A</v>
      </c>
      <c r="AC32" s="95" t="e">
        <f>VLOOKUP(U32,'BASE '!$A$4:$H$144,7,0)*Y32/100</f>
        <v>#N/A</v>
      </c>
      <c r="AD32" s="95" t="e">
        <f>VLOOKUP(U32,'BASE '!$A$4:$H$144,8,0)*Y32/100</f>
        <v>#N/A</v>
      </c>
      <c r="AE32" s="96" t="e">
        <f t="shared" si="7"/>
        <v>#N/A</v>
      </c>
      <c r="AF32" s="431"/>
      <c r="AG32" s="1" t="s">
        <v>155</v>
      </c>
      <c r="AH32" s="36" t="e">
        <f>SUMIFS($H$6:$H$165,$D$6:$D$165,AF31,CHOIX,AG32)</f>
        <v>#NAME?</v>
      </c>
      <c r="AI32" s="36" t="e">
        <f>SUMIFS($I$6:$I$165,$D$6:$D$165,AF31,CHOIX,AG32)</f>
        <v>#NAME?</v>
      </c>
      <c r="AJ32" s="36" t="e">
        <f>SUMIFS($J$6:$J$165,$D$6:$D$165,AF31,CHOIX,AG32)</f>
        <v>#NAME?</v>
      </c>
      <c r="AK32" s="36" t="e">
        <f>SUMIFS($K$6:$K$165,$D$6:$D$165,AF31,CHOIX,AG32)</f>
        <v>#NAME?</v>
      </c>
      <c r="AL32" s="36" t="e">
        <f>SUMIFS($L$6:$L$165,$D$6:$D$165,AF31,CHOIX,AG32)</f>
        <v>#NAME?</v>
      </c>
      <c r="AM32" s="36" t="e">
        <f>SUMIFS($M$6:$M$165,$D$6:$D$165,AF31,CHOIX,AG32)</f>
        <v>#NAME?</v>
      </c>
      <c r="AN32" s="1" t="s">
        <v>155</v>
      </c>
      <c r="AO32" s="83"/>
      <c r="AP32" s="63"/>
      <c r="AQ32" s="63"/>
      <c r="AR32" s="63"/>
      <c r="AS32" s="79"/>
      <c r="AT32" s="79"/>
      <c r="AU32" s="55" t="e">
        <f>SUMIFS($O$6:$O$165,$D$6:$D$165,AF31,CHOIX,AG32)</f>
        <v>#NAME?</v>
      </c>
      <c r="AV32" s="80" t="e">
        <f>SUMIFS($Q$6:$Q$165,$D$6:$D$165,AF31,CHOIX,AG32)</f>
        <v>#NAME?</v>
      </c>
      <c r="AZ32" s="8"/>
      <c r="BA32" s="148"/>
      <c r="BB32" s="148"/>
      <c r="BC32" s="148"/>
      <c r="BD32" s="10"/>
      <c r="BE32" s="10"/>
      <c r="BF32" s="10"/>
      <c r="BG32" s="10"/>
      <c r="BH32" s="10"/>
      <c r="BI32" s="10"/>
      <c r="BJ32" s="10"/>
      <c r="BK32" s="10"/>
      <c r="BL32" s="10"/>
      <c r="BM32" s="147">
        <f t="shared" si="8"/>
        <v>0</v>
      </c>
      <c r="BN32" s="147">
        <f t="shared" si="9"/>
        <v>0</v>
      </c>
      <c r="BO32" s="149"/>
      <c r="BP32" s="166"/>
      <c r="BQ32" s="12"/>
      <c r="BR32" s="12"/>
      <c r="CV32" s="597" t="s">
        <v>181</v>
      </c>
      <c r="CW32" s="597"/>
      <c r="CX32" s="597"/>
      <c r="CY32" s="597"/>
      <c r="CZ32" s="597"/>
      <c r="DA32" s="597"/>
      <c r="DB32" s="597"/>
      <c r="DC32" s="537">
        <f>SUMIF($DA$6:$DA$29,"LAIT",DC8:DC31)</f>
        <v>0</v>
      </c>
      <c r="DD32" s="537">
        <f t="shared" ref="DD32:DI32" si="29">SUMIF($DA$6:$DA$29,"LAIT",DD8:DD31)</f>
        <v>0</v>
      </c>
      <c r="DE32" s="537">
        <f t="shared" si="29"/>
        <v>0</v>
      </c>
      <c r="DF32" s="537">
        <f t="shared" si="29"/>
        <v>0</v>
      </c>
      <c r="DG32" s="537">
        <f t="shared" si="29"/>
        <v>0</v>
      </c>
      <c r="DH32" s="537">
        <f t="shared" si="29"/>
        <v>0</v>
      </c>
      <c r="DI32" s="537">
        <f t="shared" si="29"/>
        <v>0</v>
      </c>
      <c r="DJ32" s="598"/>
      <c r="DK32" s="599"/>
      <c r="DL32" s="599"/>
      <c r="DM32" s="600"/>
      <c r="DO32" s="124"/>
      <c r="DP32" s="42"/>
      <c r="DQ32" s="70"/>
      <c r="DR32" s="159"/>
      <c r="DS32" s="159"/>
      <c r="DT32" s="159"/>
      <c r="DU32" s="160"/>
      <c r="DV32" s="95"/>
      <c r="DW32" s="95"/>
      <c r="DX32" s="95"/>
      <c r="DY32" s="96"/>
    </row>
    <row r="33" spans="2:129" ht="15" thickBot="1" x14ac:dyDescent="0.35">
      <c r="B33" s="64"/>
      <c r="C33" s="148"/>
      <c r="D33" s="109"/>
      <c r="E33" s="63"/>
      <c r="F33" s="127"/>
      <c r="G33" s="50"/>
      <c r="H33" s="10"/>
      <c r="I33" s="10"/>
      <c r="J33" s="10"/>
      <c r="K33" s="10"/>
      <c r="L33" s="10"/>
      <c r="M33" s="39"/>
      <c r="N33" s="33">
        <f t="shared" si="0"/>
        <v>0</v>
      </c>
      <c r="O33" s="52" t="b">
        <f>IF(AND(E33="CLIENT S+L",F33="HUILE"),(S33*3333.33+(VLOOKUP(H33,'BASE '!$I$112:$J$142,2,0)))-((S33*3333.33)*G33),IF(AND(E33="CLIENT S+L",F33="LAIT"),((S33*952.4)-(S33*952.4)*G33),IF(E33="CLIENT O","OFFERT",IF(AND(F33="HUILE",E33="CLIENT L"),(((VLOOKUP(H33,'BASE '!$I$112:$J$142,2,0))+(VLOOKUP(S33,'BASE '!#REF!,2,0)))),IF(AND(F33="LAIT",E33="CLIENT L"),(S33*952.4),IF(AND(F33="HUILE",E33="CLIENT D"),(S33*3809.53+(VLOOKUP(H33,'BASE '!$I$112:$J$142,2,0))),IF(AND(F33="LAIT",E33="CLIENT D"),(S33*952.4),IF(AND(F33="HUILE",E33="CLIENT S+D"),((S33*3809.53+(VLOOKUP(H33,'BASE '!$I$112:$J$142,2,0)))-((S33*3809.53)*G33)),IF(AND(F33="LAIT",E33="CLIENT S+D"),((S33*952.4)-((S33*952.4)*G33)),IF(AND(E33="CLIENT S",F33="LAIT"),((S33*952.4)-((S33*952.4)*G33)),IF(AND(F33="HUILE",E33="CLIENT S"),(VLOOKUP(H33,'BASE '!$I$112:$J$142,2,0)+(VLOOKUP(S33,'BASE '!#REF!,2,0)))-(G33*((VLOOKUP(S33,'BASE '!#REF!,2,0)+(VLOOKUP(H33,'BASE '!$I$112:$J$142,2,0))))))))))))))))</f>
        <v>0</v>
      </c>
      <c r="P33" s="52" t="b">
        <f t="shared" si="1"/>
        <v>0</v>
      </c>
      <c r="Q33" s="53" t="b">
        <f t="shared" si="2"/>
        <v>0</v>
      </c>
      <c r="R33" s="152" t="s">
        <v>175</v>
      </c>
      <c r="S33" s="184">
        <f t="shared" si="6"/>
        <v>0</v>
      </c>
      <c r="T33" s="124"/>
      <c r="U33" s="41" t="s">
        <v>175</v>
      </c>
      <c r="V33" s="70" t="e">
        <f>VLOOKUP(U33,'BASE '!$A$4:$H$144,2,0)</f>
        <v>#N/A</v>
      </c>
      <c r="W33" s="159"/>
      <c r="X33" s="159"/>
      <c r="Y33" s="160"/>
      <c r="Z33" s="158" t="e">
        <f>VLOOKUP(U33,'BASE '!$A$4:$H$144,3,0)</f>
        <v>#N/A</v>
      </c>
      <c r="AA33" s="94" t="e">
        <f t="shared" si="3"/>
        <v>#N/A</v>
      </c>
      <c r="AB33" s="95" t="e">
        <f>VLOOKUP(U33,'BASE '!$A$4:$H$144,6,0)*Y33/100</f>
        <v>#N/A</v>
      </c>
      <c r="AC33" s="95" t="e">
        <f>VLOOKUP(U33,'BASE '!$A$4:$H$144,7,0)*Y33/100</f>
        <v>#N/A</v>
      </c>
      <c r="AD33" s="95" t="e">
        <f>VLOOKUP(U33,'BASE '!$A$4:$H$144,8,0)*Y33/100</f>
        <v>#N/A</v>
      </c>
      <c r="AE33" s="96" t="e">
        <f t="shared" si="7"/>
        <v>#N/A</v>
      </c>
      <c r="AF33" s="431"/>
      <c r="AG33" s="91" t="s">
        <v>157</v>
      </c>
      <c r="AH33" s="36" t="e">
        <f>SUMIFS($H$6:$H$165,$D$6:$D$165,AF33,CHOIX,AG33)</f>
        <v>#NAME?</v>
      </c>
      <c r="AI33" s="36" t="e">
        <f>SUMIFS($I$6:$I$165,$D$6:$D$165,AF33,CHOIX,AG33)</f>
        <v>#NAME?</v>
      </c>
      <c r="AJ33" s="36" t="e">
        <f>SUMIFS($J$6:$J$165,$D$6:$D$165,AF33,CHOIX,AG33)</f>
        <v>#NAME?</v>
      </c>
      <c r="AK33" s="36" t="e">
        <f>SUMIFS($K$6:$K$165,$D$6:$D$165,AF33,CHOIX,AG33)</f>
        <v>#NAME?</v>
      </c>
      <c r="AL33" s="36" t="e">
        <f>SUMIFS($L$6:$L$165,$D$6:$D$165,AF33,CHOIX,AG33)</f>
        <v>#NAME?</v>
      </c>
      <c r="AM33" s="36" t="e">
        <f>SUMIFS($M$6:$M$165,$D$6:$D$165,AF33,CHOIX,AG33)</f>
        <v>#NAME?</v>
      </c>
      <c r="AN33" s="91" t="s">
        <v>157</v>
      </c>
      <c r="AO33" s="83"/>
      <c r="AP33" s="63"/>
      <c r="AQ33" s="63"/>
      <c r="AR33" s="63"/>
      <c r="AS33" s="79"/>
      <c r="AT33" s="79"/>
      <c r="AU33" s="55" t="e">
        <f>SUMIFS($O$6:$O$165,$D$6:$D$165,AF33,CHOIX,AG33)</f>
        <v>#NAME?</v>
      </c>
      <c r="AV33" s="80" t="e">
        <f>SUMIFS($Q$6:$Q$165,$D$6:$D$165,AF33,CHOIX,AG33)</f>
        <v>#NAME?</v>
      </c>
      <c r="AZ33" s="8"/>
      <c r="BA33" s="148"/>
      <c r="BB33" s="148"/>
      <c r="BC33" s="148"/>
      <c r="BD33" s="10"/>
      <c r="BE33" s="10"/>
      <c r="BF33" s="10"/>
      <c r="BG33" s="10"/>
      <c r="BH33" s="10"/>
      <c r="BI33" s="10"/>
      <c r="BJ33" s="10"/>
      <c r="BK33" s="10"/>
      <c r="BL33" s="10"/>
      <c r="BM33" s="147">
        <f t="shared" si="8"/>
        <v>0</v>
      </c>
      <c r="BN33" s="147">
        <f t="shared" si="9"/>
        <v>0</v>
      </c>
      <c r="BO33" s="149"/>
      <c r="BP33" s="49"/>
      <c r="BQ33" s="12"/>
      <c r="BR33" s="12"/>
      <c r="CV33" s="597"/>
      <c r="CW33" s="597"/>
      <c r="CX33" s="597"/>
      <c r="CY33" s="597"/>
      <c r="CZ33" s="597"/>
      <c r="DA33" s="597"/>
      <c r="DB33" s="597"/>
      <c r="DC33" s="538"/>
      <c r="DD33" s="538"/>
      <c r="DE33" s="538"/>
      <c r="DF33" s="538"/>
      <c r="DG33" s="538"/>
      <c r="DH33" s="538"/>
      <c r="DI33" s="538"/>
      <c r="DJ33" s="601"/>
      <c r="DK33" s="602"/>
      <c r="DL33" s="602"/>
      <c r="DM33" s="603"/>
      <c r="DO33" s="124"/>
      <c r="DP33" s="42"/>
      <c r="DQ33" s="70"/>
      <c r="DR33" s="159"/>
      <c r="DS33" s="159"/>
      <c r="DT33" s="159"/>
      <c r="DU33" s="160"/>
      <c r="DV33" s="95"/>
      <c r="DW33" s="95"/>
      <c r="DX33" s="95"/>
      <c r="DY33" s="96"/>
    </row>
    <row r="34" spans="2:129" ht="15" thickBot="1" x14ac:dyDescent="0.35">
      <c r="B34" s="64"/>
      <c r="C34" s="148"/>
      <c r="D34" s="109"/>
      <c r="E34" s="63"/>
      <c r="F34" s="127"/>
      <c r="G34" s="50"/>
      <c r="H34" s="10"/>
      <c r="I34" s="10"/>
      <c r="J34" s="10"/>
      <c r="K34" s="10"/>
      <c r="L34" s="10"/>
      <c r="M34" s="39"/>
      <c r="N34" s="33">
        <f t="shared" si="0"/>
        <v>0</v>
      </c>
      <c r="O34" s="52" t="b">
        <f>IF(AND(E34="CLIENT S+L",F34="HUILE"),(S34*3333.33+(VLOOKUP(H34,'BASE '!$I$112:$J$142,2,0)))-((S34*3333.33)*G34),IF(AND(E34="CLIENT S+L",F34="LAIT"),((S34*952.4)-(S34*952.4)*G34),IF(E34="CLIENT O","OFFERT",IF(AND(F34="HUILE",E34="CLIENT L"),(((VLOOKUP(H34,'BASE '!$I$112:$J$142,2,0))+(VLOOKUP(S34,'BASE '!#REF!,2,0)))),IF(AND(F34="LAIT",E34="CLIENT L"),(S34*952.4),IF(AND(F34="HUILE",E34="CLIENT D"),(S34*3809.53+(VLOOKUP(H34,'BASE '!$I$112:$J$142,2,0))),IF(AND(F34="LAIT",E34="CLIENT D"),(S34*952.4),IF(AND(F34="HUILE",E34="CLIENT S+D"),((S34*3809.53+(VLOOKUP(H34,'BASE '!$I$112:$J$142,2,0)))-((S34*3809.53)*G34)),IF(AND(F34="LAIT",E34="CLIENT S+D"),((S34*952.4)-((S34*952.4)*G34)),IF(AND(E34="CLIENT S",F34="LAIT"),((S34*952.4)-((S34*952.4)*G34)),IF(AND(F34="HUILE",E34="CLIENT S"),(VLOOKUP(H34,'BASE '!$I$112:$J$142,2,0)+(VLOOKUP(S34,'BASE '!#REF!,2,0)))-(G34*((VLOOKUP(S34,'BASE '!#REF!,2,0)+(VLOOKUP(H34,'BASE '!$I$112:$J$142,2,0))))))))))))))))</f>
        <v>0</v>
      </c>
      <c r="P34" s="52" t="b">
        <f t="shared" si="1"/>
        <v>0</v>
      </c>
      <c r="Q34" s="53" t="b">
        <f t="shared" si="2"/>
        <v>0</v>
      </c>
      <c r="R34" s="152" t="s">
        <v>175</v>
      </c>
      <c r="S34" s="184">
        <f t="shared" si="6"/>
        <v>0</v>
      </c>
      <c r="T34" s="124"/>
      <c r="U34" s="41" t="s">
        <v>175</v>
      </c>
      <c r="V34" s="70" t="e">
        <f>VLOOKUP(U34,'BASE '!$A$4:$H$144,2,0)</f>
        <v>#N/A</v>
      </c>
      <c r="W34" s="159"/>
      <c r="X34" s="159"/>
      <c r="Y34" s="160"/>
      <c r="Z34" s="158" t="e">
        <f>VLOOKUP(U34,'BASE '!$A$4:$H$144,3,0)</f>
        <v>#N/A</v>
      </c>
      <c r="AA34" s="94" t="e">
        <f t="shared" si="3"/>
        <v>#N/A</v>
      </c>
      <c r="AB34" s="95" t="e">
        <f>VLOOKUP(U34,'BASE '!$A$4:$H$144,6,0)*Y34/100</f>
        <v>#N/A</v>
      </c>
      <c r="AC34" s="95" t="e">
        <f>VLOOKUP(U34,'BASE '!$A$4:$H$144,7,0)*Y34/100</f>
        <v>#N/A</v>
      </c>
      <c r="AD34" s="95" t="e">
        <f>VLOOKUP(U34,'BASE '!$A$4:$H$144,8,0)*Y34/100</f>
        <v>#N/A</v>
      </c>
      <c r="AE34" s="96" t="e">
        <f t="shared" si="7"/>
        <v>#N/A</v>
      </c>
      <c r="AF34" s="431"/>
      <c r="AG34" s="1" t="s">
        <v>155</v>
      </c>
      <c r="AH34" s="36" t="e">
        <f>SUMIFS($H$6:$H$165,$D$6:$D$165,AF33,CHOIX,AG34)</f>
        <v>#NAME?</v>
      </c>
      <c r="AI34" s="36" t="e">
        <f>SUMIFS($I$6:$I$165,$D$6:$D$165,AF33,CHOIX,AG34)</f>
        <v>#NAME?</v>
      </c>
      <c r="AJ34" s="36" t="e">
        <f>SUMIFS($J$6:$J$165,$D$6:$D$165,AF33,CHOIX,AG34)</f>
        <v>#NAME?</v>
      </c>
      <c r="AK34" s="36" t="e">
        <f>SUMIFS($K$6:$K$165,$D$6:$D$165,AF33,CHOIX,AG34)</f>
        <v>#NAME?</v>
      </c>
      <c r="AL34" s="36" t="e">
        <f>SUMIFS($L$6:$L$165,$D$6:$D$165,AF33,CHOIX,AG34)</f>
        <v>#NAME?</v>
      </c>
      <c r="AM34" s="36" t="e">
        <f>SUMIFS($M$6:$M$165,$D$6:$D$165,AF33,CHOIX,AG34)</f>
        <v>#NAME?</v>
      </c>
      <c r="AN34" s="1" t="s">
        <v>155</v>
      </c>
      <c r="AO34" s="83"/>
      <c r="AP34" s="63"/>
      <c r="AQ34" s="63"/>
      <c r="AR34" s="63"/>
      <c r="AS34" s="79"/>
      <c r="AT34" s="79"/>
      <c r="AU34" s="55" t="e">
        <f>SUMIFS($O$6:$O$165,$D$6:$D$165,AF33,CHOIX,AG34)</f>
        <v>#NAME?</v>
      </c>
      <c r="AV34" s="80" t="e">
        <f>SUMIFS($Q$6:$Q$165,$D$6:$D$165,AF33,CHOIX,AG34)</f>
        <v>#NAME?</v>
      </c>
      <c r="AZ34" s="8"/>
      <c r="BA34" s="148"/>
      <c r="BB34" s="148"/>
      <c r="BC34" s="148"/>
      <c r="BD34" s="10"/>
      <c r="BE34" s="10"/>
      <c r="BF34" s="10"/>
      <c r="BG34" s="10"/>
      <c r="BH34" s="10"/>
      <c r="BI34" s="10"/>
      <c r="BJ34" s="10"/>
      <c r="BK34" s="10"/>
      <c r="BL34" s="10"/>
      <c r="BM34" s="147">
        <f t="shared" si="8"/>
        <v>0</v>
      </c>
      <c r="BN34" s="147">
        <f t="shared" si="9"/>
        <v>0</v>
      </c>
      <c r="BO34" s="149"/>
      <c r="CV34" s="391" t="s">
        <v>28</v>
      </c>
      <c r="CW34" s="391"/>
      <c r="CX34" s="391"/>
      <c r="CY34" s="391"/>
      <c r="CZ34" s="391"/>
      <c r="DA34" s="391"/>
      <c r="DB34" s="391"/>
      <c r="DC34" s="391"/>
      <c r="DD34" s="391"/>
      <c r="DE34" s="391"/>
      <c r="DF34" s="391"/>
      <c r="DG34" s="391"/>
      <c r="DH34" s="391"/>
      <c r="DI34" s="390">
        <f>SUMIF(DJ6:DJ29,"&lt;&gt;#N/A")</f>
        <v>0</v>
      </c>
      <c r="DJ34" s="390"/>
      <c r="DK34" s="390"/>
      <c r="DL34" s="390"/>
      <c r="DM34" s="390"/>
      <c r="DO34" s="124"/>
      <c r="DP34" s="42"/>
      <c r="DQ34" s="70"/>
      <c r="DR34" s="159"/>
      <c r="DS34" s="159"/>
      <c r="DT34" s="159"/>
      <c r="DU34" s="160"/>
      <c r="DV34" s="95"/>
      <c r="DW34" s="95"/>
      <c r="DX34" s="95"/>
      <c r="DY34" s="96"/>
    </row>
    <row r="35" spans="2:129" ht="15" thickBot="1" x14ac:dyDescent="0.35">
      <c r="B35" s="64"/>
      <c r="C35" s="148"/>
      <c r="D35" s="109"/>
      <c r="E35" s="63"/>
      <c r="F35" s="127"/>
      <c r="G35" s="50"/>
      <c r="H35" s="10"/>
      <c r="I35" s="10"/>
      <c r="J35" s="10"/>
      <c r="K35" s="10"/>
      <c r="L35" s="10"/>
      <c r="M35" s="39"/>
      <c r="N35" s="33">
        <f t="shared" si="0"/>
        <v>0</v>
      </c>
      <c r="O35" s="52" t="b">
        <f>IF(AND(E35="CLIENT S+L",F35="HUILE"),(S35*3333.33+(VLOOKUP(H35,'BASE '!$I$112:$J$142,2,0)))-((S35*3333.33)*G35),IF(AND(E35="CLIENT S+L",F35="LAIT"),((S35*952.4)-(S35*952.4)*G35),IF(E35="CLIENT O","OFFERT",IF(AND(F35="HUILE",E35="CLIENT L"),(((VLOOKUP(H35,'BASE '!$I$112:$J$142,2,0))+(VLOOKUP(S35,'BASE '!#REF!,2,0)))),IF(AND(F35="LAIT",E35="CLIENT L"),(S35*952.4),IF(AND(F35="HUILE",E35="CLIENT D"),(S35*3809.53+(VLOOKUP(H35,'BASE '!$I$112:$J$142,2,0))),IF(AND(F35="LAIT",E35="CLIENT D"),(S35*952.4),IF(AND(F35="HUILE",E35="CLIENT S+D"),((S35*3809.53+(VLOOKUP(H35,'BASE '!$I$112:$J$142,2,0)))-((S35*3809.53)*G35)),IF(AND(F35="LAIT",E35="CLIENT S+D"),((S35*952.4)-((S35*952.4)*G35)),IF(AND(E35="CLIENT S",F35="LAIT"),((S35*952.4)-((S35*952.4)*G35)),IF(AND(F35="HUILE",E35="CLIENT S"),(VLOOKUP(H35,'BASE '!$I$112:$J$142,2,0)+(VLOOKUP(S35,'BASE '!#REF!,2,0)))-(G35*((VLOOKUP(S35,'BASE '!#REF!,2,0)+(VLOOKUP(H35,'BASE '!$I$112:$J$142,2,0))))))))))))))))</f>
        <v>0</v>
      </c>
      <c r="P35" s="52" t="b">
        <f t="shared" si="1"/>
        <v>0</v>
      </c>
      <c r="Q35" s="53" t="b">
        <f t="shared" si="2"/>
        <v>0</v>
      </c>
      <c r="R35" s="152" t="s">
        <v>175</v>
      </c>
      <c r="S35" s="184">
        <f t="shared" si="6"/>
        <v>0</v>
      </c>
      <c r="T35" s="124"/>
      <c r="U35" s="41" t="s">
        <v>175</v>
      </c>
      <c r="V35" s="70" t="e">
        <f>VLOOKUP(U35,'BASE '!$A$4:$H$144,2,0)</f>
        <v>#N/A</v>
      </c>
      <c r="W35" s="159"/>
      <c r="X35" s="159"/>
      <c r="Y35" s="160"/>
      <c r="Z35" s="158" t="e">
        <f>VLOOKUP(U35,'BASE '!$A$4:$H$144,3,0)</f>
        <v>#N/A</v>
      </c>
      <c r="AA35" s="94" t="e">
        <f t="shared" si="3"/>
        <v>#N/A</v>
      </c>
      <c r="AB35" s="95" t="e">
        <f>VLOOKUP(U35,'BASE '!$A$4:$H$144,6,0)*Y35/100</f>
        <v>#N/A</v>
      </c>
      <c r="AC35" s="95" t="e">
        <f>VLOOKUP(U35,'BASE '!$A$4:$H$144,7,0)*Y35/100</f>
        <v>#N/A</v>
      </c>
      <c r="AD35" s="95" t="e">
        <f>VLOOKUP(U35,'BASE '!$A$4:$H$144,8,0)*Y35/100</f>
        <v>#N/A</v>
      </c>
      <c r="AE35" s="96" t="e">
        <f t="shared" si="7"/>
        <v>#N/A</v>
      </c>
      <c r="AF35" s="431"/>
      <c r="AG35" s="91" t="s">
        <v>157</v>
      </c>
      <c r="AH35" s="36" t="e">
        <f>SUMIFS($H$6:$H$165,$D$6:$D$165,AF35,CHOIX,AG35)</f>
        <v>#NAME?</v>
      </c>
      <c r="AI35" s="36" t="e">
        <f>SUMIFS($I$6:$I$165,$D$6:$D$165,AF35,CHOIX,AG35)</f>
        <v>#NAME?</v>
      </c>
      <c r="AJ35" s="36" t="e">
        <f>SUMIFS($J$6:$J$165,$D$6:$D$165,AF35,CHOIX,AG35)</f>
        <v>#NAME?</v>
      </c>
      <c r="AK35" s="36" t="e">
        <f>SUMIFS($K$6:$K$165,$D$6:$D$165,AF35,CHOIX,AG35)</f>
        <v>#NAME?</v>
      </c>
      <c r="AL35" s="36" t="e">
        <f>SUMIFS($L$6:$L$165,$D$6:$D$165,AF35,CHOIX,AG35)</f>
        <v>#NAME?</v>
      </c>
      <c r="AM35" s="36" t="e">
        <f>SUMIFS($M$6:$M$165,$D$6:$D$165,AF35,CHOIX,AG35)</f>
        <v>#NAME?</v>
      </c>
      <c r="AN35" s="91" t="s">
        <v>157</v>
      </c>
      <c r="AO35" s="83"/>
      <c r="AP35" s="63"/>
      <c r="AQ35" s="63"/>
      <c r="AR35" s="63"/>
      <c r="AS35" s="79"/>
      <c r="AT35" s="79"/>
      <c r="AU35" s="55" t="e">
        <f>SUMIFS($O$6:$O$165,$D$6:$D$165,AF35,CHOIX,AG35)</f>
        <v>#NAME?</v>
      </c>
      <c r="AV35" s="80" t="e">
        <f>SUMIFS($Q$6:$Q$165,$D$6:$D$165,AF35,CHOIX,AG35)</f>
        <v>#NAME?</v>
      </c>
      <c r="AZ35" s="8"/>
      <c r="BA35" s="148"/>
      <c r="BB35" s="148"/>
      <c r="BC35" s="148"/>
      <c r="BD35" s="10"/>
      <c r="BE35" s="10"/>
      <c r="BF35" s="10"/>
      <c r="BG35" s="10"/>
      <c r="BH35" s="10"/>
      <c r="BI35" s="10"/>
      <c r="BJ35" s="10"/>
      <c r="BK35" s="10"/>
      <c r="BL35" s="10"/>
      <c r="BM35" s="147">
        <f t="shared" si="8"/>
        <v>0</v>
      </c>
      <c r="BN35" s="147">
        <f t="shared" si="9"/>
        <v>0</v>
      </c>
      <c r="BO35" s="149"/>
      <c r="CV35" s="391"/>
      <c r="CW35" s="391"/>
      <c r="CX35" s="391"/>
      <c r="CY35" s="391"/>
      <c r="CZ35" s="391"/>
      <c r="DA35" s="391"/>
      <c r="DB35" s="391"/>
      <c r="DC35" s="391"/>
      <c r="DD35" s="391"/>
      <c r="DE35" s="391"/>
      <c r="DF35" s="391"/>
      <c r="DG35" s="391"/>
      <c r="DH35" s="391"/>
      <c r="DI35" s="390"/>
      <c r="DJ35" s="390"/>
      <c r="DK35" s="390"/>
      <c r="DL35" s="390"/>
      <c r="DM35" s="390"/>
      <c r="DN35" s="116" t="e">
        <f>(($I$5*#REF!)/100)+((#REF!*$J$5)/100)+(($K$5*#REF!)/100)+($L$5*#REF!)+($M$5*#REF!)</f>
        <v>#REF!</v>
      </c>
      <c r="DO35" s="124"/>
      <c r="DP35" s="42"/>
      <c r="DQ35" s="70"/>
      <c r="DR35" s="159"/>
      <c r="DS35" s="159"/>
      <c r="DT35" s="159"/>
      <c r="DU35" s="160"/>
      <c r="DV35" s="95"/>
      <c r="DW35" s="95"/>
      <c r="DX35" s="95"/>
      <c r="DY35" s="96"/>
    </row>
    <row r="36" spans="2:129" ht="15" thickBot="1" x14ac:dyDescent="0.35">
      <c r="B36" s="64"/>
      <c r="C36" s="148"/>
      <c r="D36" s="109"/>
      <c r="E36" s="63"/>
      <c r="F36" s="127"/>
      <c r="G36" s="50"/>
      <c r="H36" s="10"/>
      <c r="I36" s="10"/>
      <c r="J36" s="10"/>
      <c r="K36" s="10"/>
      <c r="L36" s="10"/>
      <c r="M36" s="39"/>
      <c r="N36" s="33">
        <f t="shared" si="0"/>
        <v>0</v>
      </c>
      <c r="O36" s="52" t="b">
        <f>IF(AND(E36="CLIENT S+L",F36="HUILE"),(S36*3333.33+(VLOOKUP(H36,'BASE '!$I$112:$J$142,2,0)))-((S36*3333.33)*G36),IF(AND(E36="CLIENT S+L",F36="LAIT"),((S36*952.4)-(S36*952.4)*G36),IF(E36="CLIENT O","OFFERT",IF(AND(F36="HUILE",E36="CLIENT L"),(((VLOOKUP(H36,'BASE '!$I$112:$J$142,2,0))+(VLOOKUP(S36,'BASE '!#REF!,2,0)))),IF(AND(F36="LAIT",E36="CLIENT L"),(S36*952.4),IF(AND(F36="HUILE",E36="CLIENT D"),(S36*3809.53+(VLOOKUP(H36,'BASE '!$I$112:$J$142,2,0))),IF(AND(F36="LAIT",E36="CLIENT D"),(S36*952.4),IF(AND(F36="HUILE",E36="CLIENT S+D"),((S36*3809.53+(VLOOKUP(H36,'BASE '!$I$112:$J$142,2,0)))-((S36*3809.53)*G36)),IF(AND(F36="LAIT",E36="CLIENT S+D"),((S36*952.4)-((S36*952.4)*G36)),IF(AND(E36="CLIENT S",F36="LAIT"),((S36*952.4)-((S36*952.4)*G36)),IF(AND(F36="HUILE",E36="CLIENT S"),(VLOOKUP(H36,'BASE '!$I$112:$J$142,2,0)+(VLOOKUP(S36,'BASE '!#REF!,2,0)))-(G36*((VLOOKUP(S36,'BASE '!#REF!,2,0)+(VLOOKUP(H36,'BASE '!$I$112:$J$142,2,0))))))))))))))))</f>
        <v>0</v>
      </c>
      <c r="P36" s="52" t="b">
        <f t="shared" si="1"/>
        <v>0</v>
      </c>
      <c r="Q36" s="53" t="b">
        <f t="shared" si="2"/>
        <v>0</v>
      </c>
      <c r="R36" s="152" t="s">
        <v>175</v>
      </c>
      <c r="S36" s="184">
        <f t="shared" si="6"/>
        <v>0</v>
      </c>
      <c r="T36" s="124"/>
      <c r="U36" s="41" t="s">
        <v>175</v>
      </c>
      <c r="V36" s="70" t="e">
        <f>VLOOKUP(U36,'BASE '!$A$4:$H$144,2,0)</f>
        <v>#N/A</v>
      </c>
      <c r="W36" s="159"/>
      <c r="X36" s="159"/>
      <c r="Y36" s="160"/>
      <c r="Z36" s="158" t="e">
        <f>VLOOKUP(U36,'BASE '!$A$4:$H$144,3,0)</f>
        <v>#N/A</v>
      </c>
      <c r="AA36" s="94" t="e">
        <f t="shared" si="3"/>
        <v>#N/A</v>
      </c>
      <c r="AB36" s="95" t="e">
        <f>VLOOKUP(U36,'BASE '!$A$4:$H$144,6,0)*Y36/100</f>
        <v>#N/A</v>
      </c>
      <c r="AC36" s="95" t="e">
        <f>VLOOKUP(U36,'BASE '!$A$4:$H$144,7,0)*Y36/100</f>
        <v>#N/A</v>
      </c>
      <c r="AD36" s="95" t="e">
        <f>VLOOKUP(U36,'BASE '!$A$4:$H$144,8,0)*Y36/100</f>
        <v>#N/A</v>
      </c>
      <c r="AE36" s="96" t="e">
        <f t="shared" si="7"/>
        <v>#N/A</v>
      </c>
      <c r="AF36" s="431"/>
      <c r="AG36" s="1" t="s">
        <v>155</v>
      </c>
      <c r="AH36" s="36" t="e">
        <f>SUMIFS($H$6:$H$165,$D$6:$D$165,AF35,CHOIX,AG36)</f>
        <v>#NAME?</v>
      </c>
      <c r="AI36" s="36" t="e">
        <f>SUMIFS($I$6:$I$165,$D$6:$D$165,AF35,CHOIX,AG36)</f>
        <v>#NAME?</v>
      </c>
      <c r="AJ36" s="36" t="e">
        <f>SUMIFS($J$6:$J$165,$D$6:$D$165,AF35,CHOIX,AG36)</f>
        <v>#NAME?</v>
      </c>
      <c r="AK36" s="36" t="e">
        <f>SUMIFS($K$6:$K$165,$D$6:$D$165,AF35,CHOIX,AG36)</f>
        <v>#NAME?</v>
      </c>
      <c r="AL36" s="36" t="e">
        <f>SUMIFS($L$6:$L$165,$D$6:$D$165,AF35,CHOIX,AG36)</f>
        <v>#NAME?</v>
      </c>
      <c r="AM36" s="36" t="e">
        <f>SUMIFS($M$6:$M$165,$D$6:$D$165,AF35,CHOIX,AG36)</f>
        <v>#NAME?</v>
      </c>
      <c r="AN36" s="1" t="s">
        <v>155</v>
      </c>
      <c r="AO36" s="83"/>
      <c r="AP36" s="63"/>
      <c r="AQ36" s="63"/>
      <c r="AR36" s="63"/>
      <c r="AS36" s="79"/>
      <c r="AT36" s="79"/>
      <c r="AU36" s="55" t="e">
        <f>SUMIFS($O$6:$O$165,$D$6:$D$165,AF35,CHOIX,AG36)</f>
        <v>#NAME?</v>
      </c>
      <c r="AV36" s="80" t="e">
        <f>SUMIFS($Q$6:$Q$165,$D$6:$D$165,AF35,CHOIX,AG36)</f>
        <v>#NAME?</v>
      </c>
      <c r="AZ36" s="8"/>
      <c r="BA36" s="148"/>
      <c r="BB36" s="148"/>
      <c r="BC36" s="148"/>
      <c r="BD36" s="10"/>
      <c r="BE36" s="10"/>
      <c r="BF36" s="10"/>
      <c r="BG36" s="10"/>
      <c r="BH36" s="10"/>
      <c r="BI36" s="10"/>
      <c r="BJ36" s="10"/>
      <c r="BK36" s="10"/>
      <c r="BL36" s="10"/>
      <c r="BM36" s="147">
        <f t="shared" si="8"/>
        <v>0</v>
      </c>
      <c r="BN36" s="147">
        <f t="shared" si="9"/>
        <v>0</v>
      </c>
      <c r="BO36" s="149"/>
      <c r="CV36" s="391" t="s">
        <v>29</v>
      </c>
      <c r="CW36" s="391"/>
      <c r="CX36" s="391"/>
      <c r="CY36" s="391"/>
      <c r="CZ36" s="391"/>
      <c r="DA36" s="391"/>
      <c r="DB36" s="391"/>
      <c r="DC36" s="391"/>
      <c r="DD36" s="391"/>
      <c r="DE36" s="391"/>
      <c r="DF36" s="391"/>
      <c r="DG36" s="391"/>
      <c r="DH36" s="391"/>
      <c r="DI36" s="391"/>
      <c r="DJ36" s="390">
        <f>SUMIF(DK6:DK29,"&lt;&gt;#N/A")</f>
        <v>0</v>
      </c>
      <c r="DK36" s="390"/>
      <c r="DL36" s="390"/>
      <c r="DM36" s="390"/>
      <c r="DN36" s="116" t="e">
        <f>(($I$5*#REF!)/100)+((#REF!*$J$5)/100)+(($K$5*#REF!)/100)+($L$5*#REF!)+($M$5*#REF!)</f>
        <v>#REF!</v>
      </c>
      <c r="DO36" s="125"/>
      <c r="DP36" s="126"/>
      <c r="DQ36" s="97"/>
      <c r="DR36" s="163"/>
      <c r="DS36" s="163"/>
      <c r="DT36" s="163"/>
      <c r="DU36" s="164"/>
      <c r="DV36" s="100"/>
      <c r="DW36" s="100"/>
      <c r="DX36" s="100"/>
      <c r="DY36" s="101"/>
    </row>
    <row r="37" spans="2:129" ht="15.6" thickTop="1" thickBot="1" x14ac:dyDescent="0.35">
      <c r="B37" s="64"/>
      <c r="C37" s="148"/>
      <c r="D37" s="109"/>
      <c r="E37" s="63"/>
      <c r="F37" s="127"/>
      <c r="G37" s="50"/>
      <c r="H37" s="10"/>
      <c r="I37" s="10"/>
      <c r="J37" s="10"/>
      <c r="K37" s="10"/>
      <c r="L37" s="10"/>
      <c r="M37" s="39"/>
      <c r="N37" s="33">
        <f t="shared" si="0"/>
        <v>0</v>
      </c>
      <c r="O37" s="52" t="b">
        <f>IF(AND(E37="CLIENT S+L",F37="HUILE"),(S37*3333.33+(VLOOKUP(H37,'BASE '!$I$112:$J$142,2,0)))-((S37*3333.33)*G37),IF(AND(E37="CLIENT S+L",F37="LAIT"),((S37*952.4)-(S37*952.4)*G37),IF(E37="CLIENT O","OFFERT",IF(AND(F37="HUILE",E37="CLIENT L"),(((VLOOKUP(H37,'BASE '!$I$112:$J$142,2,0))+(VLOOKUP(S37,'BASE '!#REF!,2,0)))),IF(AND(F37="LAIT",E37="CLIENT L"),(S37*952.4),IF(AND(F37="HUILE",E37="CLIENT D"),(S37*3809.53+(VLOOKUP(H37,'BASE '!$I$112:$J$142,2,0))),IF(AND(F37="LAIT",E37="CLIENT D"),(S37*952.4),IF(AND(F37="HUILE",E37="CLIENT S+D"),((S37*3809.53+(VLOOKUP(H37,'BASE '!$I$112:$J$142,2,0)))-((S37*3809.53)*G37)),IF(AND(F37="LAIT",E37="CLIENT S+D"),((S37*952.4)-((S37*952.4)*G37)),IF(AND(E37="CLIENT S",F37="LAIT"),((S37*952.4)-((S37*952.4)*G37)),IF(AND(F37="HUILE",E37="CLIENT S"),(VLOOKUP(H37,'BASE '!$I$112:$J$142,2,0)+(VLOOKUP(S37,'BASE '!#REF!,2,0)))-(G37*((VLOOKUP(S37,'BASE '!#REF!,2,0)+(VLOOKUP(H37,'BASE '!$I$112:$J$142,2,0))))))))))))))))</f>
        <v>0</v>
      </c>
      <c r="P37" s="52" t="b">
        <f t="shared" si="1"/>
        <v>0</v>
      </c>
      <c r="Q37" s="53" t="b">
        <f t="shared" si="2"/>
        <v>0</v>
      </c>
      <c r="R37" s="152" t="s">
        <v>175</v>
      </c>
      <c r="S37" s="184">
        <f t="shared" si="6"/>
        <v>0</v>
      </c>
      <c r="T37" s="124"/>
      <c r="U37" s="41" t="s">
        <v>175</v>
      </c>
      <c r="V37" s="70" t="e">
        <f>VLOOKUP(U37,'BASE '!$A$4:$H$144,2,0)</f>
        <v>#N/A</v>
      </c>
      <c r="W37" s="159"/>
      <c r="X37" s="159"/>
      <c r="Y37" s="160"/>
      <c r="Z37" s="158" t="e">
        <f>VLOOKUP(U37,'BASE '!$A$4:$H$144,3,0)</f>
        <v>#N/A</v>
      </c>
      <c r="AA37" s="94" t="e">
        <f t="shared" si="3"/>
        <v>#N/A</v>
      </c>
      <c r="AB37" s="95" t="e">
        <f>VLOOKUP(U37,'BASE '!$A$4:$H$144,6,0)*Y37/100</f>
        <v>#N/A</v>
      </c>
      <c r="AC37" s="95" t="e">
        <f>VLOOKUP(U37,'BASE '!$A$4:$H$144,7,0)*Y37/100</f>
        <v>#N/A</v>
      </c>
      <c r="AD37" s="95" t="e">
        <f>VLOOKUP(U37,'BASE '!$A$4:$H$144,8,0)*Y37/100</f>
        <v>#N/A</v>
      </c>
      <c r="AE37" s="96" t="e">
        <f t="shared" si="7"/>
        <v>#N/A</v>
      </c>
      <c r="AF37" s="431"/>
      <c r="AG37" s="91" t="s">
        <v>157</v>
      </c>
      <c r="AH37" s="36" t="e">
        <f>SUMIFS($H$6:$H$165,$D$6:$D$165,AF37,CHOIX,AG37)</f>
        <v>#NAME?</v>
      </c>
      <c r="AI37" s="36" t="e">
        <f>SUMIFS($I$6:$I$165,$D$6:$D$165,AF37,CHOIX,AG37)</f>
        <v>#NAME?</v>
      </c>
      <c r="AJ37" s="36" t="e">
        <f>SUMIFS($J$6:$J$165,$D$6:$D$165,AF37,CHOIX,AG37)</f>
        <v>#NAME?</v>
      </c>
      <c r="AK37" s="36" t="e">
        <f>SUMIFS($K$6:$K$165,$D$6:$D$165,AF37,CHOIX,AG37)</f>
        <v>#NAME?</v>
      </c>
      <c r="AL37" s="36" t="e">
        <f>SUMIFS($L$6:$L$165,$D$6:$D$165,AF37,CHOIX,AG37)</f>
        <v>#NAME?</v>
      </c>
      <c r="AM37" s="36" t="e">
        <f>SUMIFS($M$6:$M$165,$D$6:$D$165,AF37,CHOIX,AG37)</f>
        <v>#NAME?</v>
      </c>
      <c r="AN37" s="91" t="s">
        <v>157</v>
      </c>
      <c r="AO37" s="83"/>
      <c r="AP37" s="63"/>
      <c r="AQ37" s="63"/>
      <c r="AR37" s="63"/>
      <c r="AS37" s="79"/>
      <c r="AT37" s="79"/>
      <c r="AU37" s="55" t="e">
        <f>SUMIFS($O$6:$O$165,$D$6:$D$165,AF37,CHOIX,AG37)</f>
        <v>#NAME?</v>
      </c>
      <c r="AV37" s="80" t="e">
        <f>SUMIFS($Q$6:$Q$165,$D$6:$D$165,AF37,CHOIX,AG37)</f>
        <v>#NAME?</v>
      </c>
      <c r="AZ37" s="8"/>
      <c r="BA37" s="148"/>
      <c r="BB37" s="148"/>
      <c r="BC37" s="148"/>
      <c r="BD37" s="10"/>
      <c r="BE37" s="10"/>
      <c r="BF37" s="10"/>
      <c r="BG37" s="10"/>
      <c r="BH37" s="10"/>
      <c r="BI37" s="10"/>
      <c r="BJ37" s="10"/>
      <c r="BK37" s="10"/>
      <c r="BL37" s="10"/>
      <c r="BM37" s="147">
        <f t="shared" si="8"/>
        <v>0</v>
      </c>
      <c r="BN37" s="147">
        <f t="shared" si="9"/>
        <v>0</v>
      </c>
      <c r="BO37" s="149"/>
      <c r="CV37" s="391"/>
      <c r="CW37" s="391"/>
      <c r="CX37" s="391"/>
      <c r="CY37" s="391"/>
      <c r="CZ37" s="391"/>
      <c r="DA37" s="391"/>
      <c r="DB37" s="391"/>
      <c r="DC37" s="391"/>
      <c r="DD37" s="391"/>
      <c r="DE37" s="391"/>
      <c r="DF37" s="391"/>
      <c r="DG37" s="391"/>
      <c r="DH37" s="391"/>
      <c r="DI37" s="391"/>
      <c r="DJ37" s="390"/>
      <c r="DK37" s="390"/>
      <c r="DL37" s="390"/>
      <c r="DM37" s="390"/>
      <c r="DN37" s="116" t="e">
        <f>(($I$5*#REF!)/100)+((#REF!*$J$5)/100)+(($K$5*#REF!)/100)+($L$5*#REF!)+($M$5*#REF!)</f>
        <v>#REF!</v>
      </c>
      <c r="DO37" s="413" t="s">
        <v>48</v>
      </c>
      <c r="DP37" s="413"/>
      <c r="DQ37" s="413"/>
      <c r="DR37" s="413"/>
      <c r="DS37" s="413"/>
      <c r="DT37" s="413"/>
      <c r="DU37" s="414">
        <f>SUMIF(DU6:DU36,"&lt;&gt;#N/A")</f>
        <v>0</v>
      </c>
      <c r="DV37" s="414"/>
      <c r="DW37" s="414"/>
      <c r="DX37" s="414"/>
      <c r="DY37" s="414"/>
    </row>
    <row r="38" spans="2:129" ht="15" thickBot="1" x14ac:dyDescent="0.35">
      <c r="B38" s="64"/>
      <c r="C38" s="148"/>
      <c r="D38" s="109"/>
      <c r="E38" s="63"/>
      <c r="F38" s="127"/>
      <c r="G38" s="50"/>
      <c r="H38" s="10"/>
      <c r="I38" s="10"/>
      <c r="J38" s="10"/>
      <c r="K38" s="10"/>
      <c r="L38" s="10"/>
      <c r="M38" s="39"/>
      <c r="N38" s="33">
        <f t="shared" si="0"/>
        <v>0</v>
      </c>
      <c r="O38" s="52" t="b">
        <f>IF(AND(E38="CLIENT S+L",F38="HUILE"),(S38*3333.33+(VLOOKUP(H38,'BASE '!$I$112:$J$142,2,0)))-((S38*3333.33)*G38),IF(AND(E38="CLIENT S+L",F38="LAIT"),((S38*952.4)-(S38*952.4)*G38),IF(E38="CLIENT O","OFFERT",IF(AND(F38="HUILE",E38="CLIENT L"),(((VLOOKUP(H38,'BASE '!$I$112:$J$142,2,0))+(VLOOKUP(S38,'BASE '!#REF!,2,0)))),IF(AND(F38="LAIT",E38="CLIENT L"),(S38*952.4),IF(AND(F38="HUILE",E38="CLIENT D"),(S38*3809.53+(VLOOKUP(H38,'BASE '!$I$112:$J$142,2,0))),IF(AND(F38="LAIT",E38="CLIENT D"),(S38*952.4),IF(AND(F38="HUILE",E38="CLIENT S+D"),((S38*3809.53+(VLOOKUP(H38,'BASE '!$I$112:$J$142,2,0)))-((S38*3809.53)*G38)),IF(AND(F38="LAIT",E38="CLIENT S+D"),((S38*952.4)-((S38*952.4)*G38)),IF(AND(E38="CLIENT S",F38="LAIT"),((S38*952.4)-((S38*952.4)*G38)),IF(AND(F38="HUILE",E38="CLIENT S"),(VLOOKUP(H38,'BASE '!$I$112:$J$142,2,0)+(VLOOKUP(S38,'BASE '!#REF!,2,0)))-(G38*((VLOOKUP(S38,'BASE '!#REF!,2,0)+(VLOOKUP(H38,'BASE '!$I$112:$J$142,2,0))))))))))))))))</f>
        <v>0</v>
      </c>
      <c r="P38" s="52" t="b">
        <f t="shared" si="1"/>
        <v>0</v>
      </c>
      <c r="Q38" s="53" t="b">
        <f t="shared" si="2"/>
        <v>0</v>
      </c>
      <c r="R38" s="152" t="s">
        <v>175</v>
      </c>
      <c r="S38" s="184">
        <f t="shared" si="6"/>
        <v>0</v>
      </c>
      <c r="T38" s="124"/>
      <c r="U38" s="41" t="s">
        <v>175</v>
      </c>
      <c r="V38" s="70" t="e">
        <f>VLOOKUP(U38,'BASE '!$A$4:$H$144,2,0)</f>
        <v>#N/A</v>
      </c>
      <c r="W38" s="159"/>
      <c r="X38" s="159"/>
      <c r="Y38" s="160"/>
      <c r="Z38" s="158" t="e">
        <f>VLOOKUP(U38,'BASE '!$A$4:$H$144,3,0)</f>
        <v>#N/A</v>
      </c>
      <c r="AA38" s="94" t="e">
        <f t="shared" si="3"/>
        <v>#N/A</v>
      </c>
      <c r="AB38" s="95" t="e">
        <f>VLOOKUP(U38,'BASE '!$A$4:$H$144,6,0)*Y38/100</f>
        <v>#N/A</v>
      </c>
      <c r="AC38" s="95" t="e">
        <f>VLOOKUP(U38,'BASE '!$A$4:$H$144,7,0)*Y38/100</f>
        <v>#N/A</v>
      </c>
      <c r="AD38" s="95" t="e">
        <f>VLOOKUP(U38,'BASE '!$A$4:$H$144,8,0)*Y38/100</f>
        <v>#N/A</v>
      </c>
      <c r="AE38" s="96" t="e">
        <f t="shared" si="7"/>
        <v>#N/A</v>
      </c>
      <c r="AF38" s="431"/>
      <c r="AG38" s="1" t="s">
        <v>155</v>
      </c>
      <c r="AH38" s="36" t="e">
        <f>SUMIFS($H$6:$H$165,$D$6:$D$165,AF37,CHOIX,AG38)</f>
        <v>#NAME?</v>
      </c>
      <c r="AI38" s="36" t="e">
        <f>SUMIFS($I$6:$I$165,$D$6:$D$165,AF37,CHOIX,AG38)</f>
        <v>#NAME?</v>
      </c>
      <c r="AJ38" s="36" t="e">
        <f>SUMIFS($J$6:$J$165,$D$6:$D$165,AF37,CHOIX,AG38)</f>
        <v>#NAME?</v>
      </c>
      <c r="AK38" s="36" t="e">
        <f>SUMIFS($K$6:$K$165,$D$6:$D$165,AF37,CHOIX,AG38)</f>
        <v>#NAME?</v>
      </c>
      <c r="AL38" s="36" t="e">
        <f>SUMIFS($L$6:$L$165,$D$6:$D$165,AF37,CHOIX,AG38)</f>
        <v>#NAME?</v>
      </c>
      <c r="AM38" s="36" t="e">
        <f>SUMIFS($M$6:$M$165,$D$6:$D$165,AF37,CHOIX,AG38)</f>
        <v>#NAME?</v>
      </c>
      <c r="AN38" s="1" t="s">
        <v>155</v>
      </c>
      <c r="AO38" s="83"/>
      <c r="AP38" s="63"/>
      <c r="AQ38" s="63"/>
      <c r="AR38" s="63"/>
      <c r="AS38" s="79"/>
      <c r="AT38" s="79"/>
      <c r="AU38" s="55" t="e">
        <f>SUMIFS($O$6:$O$165,$D$6:$D$165,AF37,CHOIX,AG38)</f>
        <v>#NAME?</v>
      </c>
      <c r="AV38" s="80" t="e">
        <f>SUMIFS($Q$6:$Q$165,$D$6:$D$165,AF37,CHOIX,AG38)</f>
        <v>#NAME?</v>
      </c>
      <c r="AZ38" s="8"/>
      <c r="BA38" s="148"/>
      <c r="BB38" s="148"/>
      <c r="BC38" s="148"/>
      <c r="BD38" s="10"/>
      <c r="BE38" s="10"/>
      <c r="BF38" s="10"/>
      <c r="BG38" s="10"/>
      <c r="BH38" s="10"/>
      <c r="BI38" s="10"/>
      <c r="BJ38" s="10"/>
      <c r="BK38" s="10"/>
      <c r="BL38" s="10"/>
      <c r="BM38" s="147">
        <f t="shared" si="8"/>
        <v>0</v>
      </c>
      <c r="BN38" s="147">
        <f t="shared" si="9"/>
        <v>0</v>
      </c>
      <c r="BO38" s="149"/>
      <c r="CV38" s="391" t="s">
        <v>44</v>
      </c>
      <c r="CW38" s="391"/>
      <c r="CX38" s="391"/>
      <c r="CY38" s="391"/>
      <c r="CZ38" s="391"/>
      <c r="DA38" s="391"/>
      <c r="DB38" s="391"/>
      <c r="DC38" s="391"/>
      <c r="DD38" s="391"/>
      <c r="DE38" s="391"/>
      <c r="DF38" s="391"/>
      <c r="DG38" s="391"/>
      <c r="DH38" s="391"/>
      <c r="DI38" s="391"/>
      <c r="DJ38" s="391"/>
      <c r="DK38" s="390">
        <f>SUMIF(DL6:DL29,"&lt;&gt;#N/A")</f>
        <v>0</v>
      </c>
      <c r="DL38" s="390"/>
      <c r="DM38" s="390"/>
      <c r="DN38" s="116" t="e">
        <f>(($I$5*#REF!)/100)+((#REF!*$J$5)/100)+(($K$5*#REF!)/100)+($L$5*#REF!)+($M$5*#REF!)</f>
        <v>#REF!</v>
      </c>
      <c r="DO38" s="407" t="s">
        <v>47</v>
      </c>
      <c r="DP38" s="407"/>
      <c r="DQ38" s="407"/>
      <c r="DR38" s="407"/>
      <c r="DS38" s="407"/>
      <c r="DT38" s="407"/>
      <c r="DU38" s="407"/>
      <c r="DV38" s="408">
        <f>SUMIF(DV6:DV36,"&lt;&gt;#N/A")</f>
        <v>0</v>
      </c>
      <c r="DW38" s="408"/>
      <c r="DX38" s="408"/>
      <c r="DY38" s="408"/>
    </row>
    <row r="39" spans="2:129" ht="15" thickBot="1" x14ac:dyDescent="0.35">
      <c r="B39" s="64"/>
      <c r="C39" s="148"/>
      <c r="D39" s="109"/>
      <c r="E39" s="63"/>
      <c r="F39" s="127"/>
      <c r="G39" s="50"/>
      <c r="H39" s="10"/>
      <c r="I39" s="10"/>
      <c r="J39" s="10"/>
      <c r="K39" s="10"/>
      <c r="L39" s="10"/>
      <c r="M39" s="39"/>
      <c r="N39" s="33">
        <f t="shared" si="0"/>
        <v>0</v>
      </c>
      <c r="O39" s="52" t="b">
        <f>IF(AND(E39="CLIENT S+L",F39="HUILE"),(S39*3333.33+(VLOOKUP(H39,'BASE '!$I$112:$J$142,2,0)))-((S39*3333.33)*G39),IF(AND(E39="CLIENT S+L",F39="LAIT"),((S39*952.4)-(S39*952.4)*G39),IF(E39="CLIENT O","OFFERT",IF(AND(F39="HUILE",E39="CLIENT L"),(((VLOOKUP(H39,'BASE '!$I$112:$J$142,2,0))+(VLOOKUP(S39,'BASE '!#REF!,2,0)))),IF(AND(F39="LAIT",E39="CLIENT L"),(S39*952.4),IF(AND(F39="HUILE",E39="CLIENT D"),(S39*3809.53+(VLOOKUP(H39,'BASE '!$I$112:$J$142,2,0))),IF(AND(F39="LAIT",E39="CLIENT D"),(S39*952.4),IF(AND(F39="HUILE",E39="CLIENT S+D"),((S39*3809.53+(VLOOKUP(H39,'BASE '!$I$112:$J$142,2,0)))-((S39*3809.53)*G39)),IF(AND(F39="LAIT",E39="CLIENT S+D"),((S39*952.4)-((S39*952.4)*G39)),IF(AND(E39="CLIENT S",F39="LAIT"),((S39*952.4)-((S39*952.4)*G39)),IF(AND(F39="HUILE",E39="CLIENT S"),(VLOOKUP(H39,'BASE '!$I$112:$J$142,2,0)+(VLOOKUP(S39,'BASE '!#REF!,2,0)))-(G39*((VLOOKUP(S39,'BASE '!#REF!,2,0)+(VLOOKUP(H39,'BASE '!$I$112:$J$142,2,0))))))))))))))))</f>
        <v>0</v>
      </c>
      <c r="P39" s="52" t="b">
        <f t="shared" si="1"/>
        <v>0</v>
      </c>
      <c r="Q39" s="53" t="b">
        <f t="shared" si="2"/>
        <v>0</v>
      </c>
      <c r="R39" s="152" t="s">
        <v>175</v>
      </c>
      <c r="S39" s="184">
        <f t="shared" si="6"/>
        <v>0</v>
      </c>
      <c r="T39" s="124"/>
      <c r="U39" s="41" t="s">
        <v>175</v>
      </c>
      <c r="V39" s="70" t="e">
        <f>VLOOKUP(U39,'BASE '!$A$4:$H$144,2,0)</f>
        <v>#N/A</v>
      </c>
      <c r="W39" s="159"/>
      <c r="X39" s="159"/>
      <c r="Y39" s="160"/>
      <c r="Z39" s="158" t="e">
        <f>VLOOKUP(U39,'BASE '!$A$4:$H$144,3,0)</f>
        <v>#N/A</v>
      </c>
      <c r="AA39" s="94" t="e">
        <f t="shared" si="3"/>
        <v>#N/A</v>
      </c>
      <c r="AB39" s="95" t="e">
        <f>VLOOKUP(U39,'BASE '!$A$4:$H$144,6,0)*Y39/100</f>
        <v>#N/A</v>
      </c>
      <c r="AC39" s="95" t="e">
        <f>VLOOKUP(U39,'BASE '!$A$4:$H$144,7,0)*Y39/100</f>
        <v>#N/A</v>
      </c>
      <c r="AD39" s="95" t="e">
        <f>VLOOKUP(U39,'BASE '!$A$4:$H$144,8,0)*Y39/100</f>
        <v>#N/A</v>
      </c>
      <c r="AE39" s="96" t="e">
        <f t="shared" si="7"/>
        <v>#N/A</v>
      </c>
      <c r="AF39" s="431"/>
      <c r="AG39" s="91" t="s">
        <v>157</v>
      </c>
      <c r="AH39" s="36" t="e">
        <f>SUMIFS($H$6:$H$165,$D$6:$D$165,AF39,CHOIX,AG39)</f>
        <v>#NAME?</v>
      </c>
      <c r="AI39" s="36" t="e">
        <f>SUMIFS($I$6:$I$165,$D$6:$D$165,AF39,CHOIX,AG39)</f>
        <v>#NAME?</v>
      </c>
      <c r="AJ39" s="36" t="e">
        <f>SUMIFS($J$6:$J$165,$D$6:$D$165,AF39,CHOIX,AG39)</f>
        <v>#NAME?</v>
      </c>
      <c r="AK39" s="36" t="e">
        <f>SUMIFS($K$6:$K$165,$D$6:$D$165,AF39,CHOIX,AG39)</f>
        <v>#NAME?</v>
      </c>
      <c r="AL39" s="36" t="e">
        <f>SUMIFS($L$6:$L$165,$D$6:$D$165,AF39,CHOIX,AG39)</f>
        <v>#NAME?</v>
      </c>
      <c r="AM39" s="36" t="e">
        <f>SUMIFS($M$6:$M$165,$D$6:$D$165,AF39,CHOIX,AG39)</f>
        <v>#NAME?</v>
      </c>
      <c r="AN39" s="91" t="s">
        <v>157</v>
      </c>
      <c r="AO39" s="83"/>
      <c r="AP39" s="63"/>
      <c r="AQ39" s="63"/>
      <c r="AR39" s="63"/>
      <c r="AS39" s="79"/>
      <c r="AT39" s="79"/>
      <c r="AU39" s="55" t="e">
        <f>SUMIFS($O$6:$O$165,$D$6:$D$165,AF39,CHOIX,AG39)</f>
        <v>#NAME?</v>
      </c>
      <c r="AV39" s="80" t="e">
        <f>SUMIFS($Q$6:$Q$165,$D$6:$D$165,AF39,CHOIX,AG39)</f>
        <v>#NAME?</v>
      </c>
      <c r="AZ39" s="8"/>
      <c r="BA39" s="148"/>
      <c r="BB39" s="148"/>
      <c r="BC39" s="148"/>
      <c r="BD39" s="10"/>
      <c r="BE39" s="10"/>
      <c r="BF39" s="10"/>
      <c r="BG39" s="10"/>
      <c r="BH39" s="10"/>
      <c r="BI39" s="10"/>
      <c r="BJ39" s="10"/>
      <c r="BK39" s="10"/>
      <c r="BL39" s="10"/>
      <c r="BM39" s="147">
        <f t="shared" si="8"/>
        <v>0</v>
      </c>
      <c r="BN39" s="147">
        <f t="shared" si="9"/>
        <v>0</v>
      </c>
      <c r="BO39" s="149"/>
      <c r="CV39" s="540"/>
      <c r="CW39" s="540"/>
      <c r="CX39" s="540"/>
      <c r="CY39" s="540"/>
      <c r="CZ39" s="540"/>
      <c r="DA39" s="540"/>
      <c r="DB39" s="540"/>
      <c r="DC39" s="540"/>
      <c r="DD39" s="540"/>
      <c r="DE39" s="540"/>
      <c r="DF39" s="540"/>
      <c r="DG39" s="540"/>
      <c r="DH39" s="540"/>
      <c r="DI39" s="540"/>
      <c r="DJ39" s="540"/>
      <c r="DK39" s="541"/>
      <c r="DL39" s="541"/>
      <c r="DM39" s="541"/>
      <c r="DN39" s="116" t="e">
        <f>(($I$5*#REF!)/100)+((#REF!*$J$5)/100)+(($K$5*#REF!)/100)+($L$5*#REF!)+($M$5*#REF!)</f>
        <v>#REF!</v>
      </c>
      <c r="DO39" s="407" t="s">
        <v>46</v>
      </c>
      <c r="DP39" s="407"/>
      <c r="DQ39" s="407"/>
      <c r="DR39" s="407"/>
      <c r="DS39" s="407"/>
      <c r="DT39" s="407"/>
      <c r="DU39" s="407"/>
      <c r="DV39" s="415">
        <f>SUMIF(DW6:DW36,"&lt;&gt;#N/A")</f>
        <v>0</v>
      </c>
      <c r="DW39" s="415"/>
      <c r="DX39" s="415"/>
      <c r="DY39" s="415"/>
    </row>
    <row r="40" spans="2:129" ht="15.6" thickTop="1" thickBot="1" x14ac:dyDescent="0.35">
      <c r="B40" s="64"/>
      <c r="C40" s="148"/>
      <c r="D40" s="109"/>
      <c r="E40" s="63"/>
      <c r="F40" s="127"/>
      <c r="G40" s="50"/>
      <c r="H40" s="10"/>
      <c r="I40" s="10"/>
      <c r="J40" s="10"/>
      <c r="K40" s="10"/>
      <c r="L40" s="10"/>
      <c r="M40" s="39"/>
      <c r="N40" s="33">
        <f t="shared" si="0"/>
        <v>0</v>
      </c>
      <c r="O40" s="52" t="b">
        <f>IF(AND(E40="CLIENT S+L",F40="HUILE"),(S40*3333.33+(VLOOKUP(H40,'BASE '!$I$112:$J$142,2,0)))-((S40*3333.33)*G40),IF(AND(E40="CLIENT S+L",F40="LAIT"),((S40*952.4)-(S40*952.4)*G40),IF(E40="CLIENT O","OFFERT",IF(AND(F40="HUILE",E40="CLIENT L"),(((VLOOKUP(H40,'BASE '!$I$112:$J$142,2,0))+(VLOOKUP(S40,'BASE '!#REF!,2,0)))),IF(AND(F40="LAIT",E40="CLIENT L"),(S40*952.4),IF(AND(F40="HUILE",E40="CLIENT D"),(S40*3809.53+(VLOOKUP(H40,'BASE '!$I$112:$J$142,2,0))),IF(AND(F40="LAIT",E40="CLIENT D"),(S40*952.4),IF(AND(F40="HUILE",E40="CLIENT S+D"),((S40*3809.53+(VLOOKUP(H40,'BASE '!$I$112:$J$142,2,0)))-((S40*3809.53)*G40)),IF(AND(F40="LAIT",E40="CLIENT S+D"),((S40*952.4)-((S40*952.4)*G40)),IF(AND(E40="CLIENT S",F40="LAIT"),((S40*952.4)-((S40*952.4)*G40)),IF(AND(F40="HUILE",E40="CLIENT S"),(VLOOKUP(H40,'BASE '!$I$112:$J$142,2,0)+(VLOOKUP(S40,'BASE '!#REF!,2,0)))-(G40*((VLOOKUP(S40,'BASE '!#REF!,2,0)+(VLOOKUP(H40,'BASE '!$I$112:$J$142,2,0))))))))))))))))</f>
        <v>0</v>
      </c>
      <c r="P40" s="52" t="b">
        <f t="shared" si="1"/>
        <v>0</v>
      </c>
      <c r="Q40" s="53" t="b">
        <f t="shared" si="2"/>
        <v>0</v>
      </c>
      <c r="R40" s="152" t="s">
        <v>175</v>
      </c>
      <c r="S40" s="184">
        <f t="shared" si="6"/>
        <v>0</v>
      </c>
      <c r="T40" s="124"/>
      <c r="U40" s="41" t="s">
        <v>175</v>
      </c>
      <c r="V40" s="70" t="e">
        <f>VLOOKUP(U40,'BASE '!$A$4:$H$144,2,0)</f>
        <v>#N/A</v>
      </c>
      <c r="W40" s="159"/>
      <c r="X40" s="159"/>
      <c r="Y40" s="160"/>
      <c r="Z40" s="158" t="e">
        <f>VLOOKUP(U40,'BASE '!$A$4:$H$144,3,0)</f>
        <v>#N/A</v>
      </c>
      <c r="AA40" s="94" t="e">
        <f t="shared" si="3"/>
        <v>#N/A</v>
      </c>
      <c r="AB40" s="95" t="e">
        <f>VLOOKUP(U40,'BASE '!$A$4:$H$144,6,0)*Y40/100</f>
        <v>#N/A</v>
      </c>
      <c r="AC40" s="95" t="e">
        <f>VLOOKUP(U40,'BASE '!$A$4:$H$144,7,0)*Y40/100</f>
        <v>#N/A</v>
      </c>
      <c r="AD40" s="95" t="e">
        <f>VLOOKUP(U40,'BASE '!$A$4:$H$144,8,0)*Y40/100</f>
        <v>#N/A</v>
      </c>
      <c r="AE40" s="96" t="e">
        <f t="shared" si="7"/>
        <v>#N/A</v>
      </c>
      <c r="AF40" s="431"/>
      <c r="AG40" s="1" t="s">
        <v>155</v>
      </c>
      <c r="AH40" s="36" t="e">
        <f>SUMIFS($H$6:$H$165,$D$6:$D$165,AF39,CHOIX,AG40)</f>
        <v>#NAME?</v>
      </c>
      <c r="AI40" s="36" t="e">
        <f>SUMIFS($I$6:$I$165,$D$6:$D$165,AF39,CHOIX,AG40)</f>
        <v>#NAME?</v>
      </c>
      <c r="AJ40" s="36" t="e">
        <f>SUMIFS($J$6:$J$165,$D$6:$D$165,AF39,CHOIX,AG40)</f>
        <v>#NAME?</v>
      </c>
      <c r="AK40" s="36" t="e">
        <f>SUMIFS($K$6:$K$165,$D$6:$D$165,AF39,CHOIX,AG40)</f>
        <v>#NAME?</v>
      </c>
      <c r="AL40" s="36" t="e">
        <f>SUMIFS($L$6:$L$165,$D$6:$D$165,AF39,CHOIX,AG40)</f>
        <v>#NAME?</v>
      </c>
      <c r="AM40" s="36" t="e">
        <f>SUMIFS($M$6:$M$165,$D$6:$D$165,AF39,CHOIX,AG40)</f>
        <v>#NAME?</v>
      </c>
      <c r="AN40" s="1" t="s">
        <v>155</v>
      </c>
      <c r="AO40" s="83"/>
      <c r="AP40" s="63"/>
      <c r="AQ40" s="63"/>
      <c r="AR40" s="63"/>
      <c r="AS40" s="79"/>
      <c r="AT40" s="79"/>
      <c r="AU40" s="55" t="e">
        <f>SUMIFS($O$6:$O$165,$D$6:$D$165,AF39,CHOIX,AG40)</f>
        <v>#NAME?</v>
      </c>
      <c r="AV40" s="80" t="e">
        <f>SUMIFS($Q$6:$Q$165,$D$6:$D$165,AF39,CHOIX,AG40)</f>
        <v>#NAME?</v>
      </c>
      <c r="AZ40" s="8"/>
      <c r="BA40" s="148"/>
      <c r="BB40" s="148"/>
      <c r="BC40" s="148"/>
      <c r="BD40" s="10"/>
      <c r="BE40" s="10"/>
      <c r="BF40" s="10"/>
      <c r="BG40" s="10"/>
      <c r="BH40" s="10"/>
      <c r="BI40" s="10"/>
      <c r="BJ40" s="10"/>
      <c r="BK40" s="10"/>
      <c r="BL40" s="10"/>
      <c r="BM40" s="147">
        <f t="shared" si="8"/>
        <v>0</v>
      </c>
      <c r="BN40" s="147">
        <f t="shared" si="9"/>
        <v>0</v>
      </c>
      <c r="BO40" s="149"/>
      <c r="DN40" s="116" t="e">
        <f>(($I$5*#REF!)/100)+((#REF!*$J$5)/100)+(($K$5*#REF!)/100)+($L$5*#REF!)+($M$5*#REF!)</f>
        <v>#REF!</v>
      </c>
      <c r="DO40" s="407" t="s">
        <v>45</v>
      </c>
      <c r="DP40" s="407"/>
      <c r="DQ40" s="407"/>
      <c r="DR40" s="407"/>
      <c r="DS40" s="407"/>
      <c r="DT40" s="407"/>
      <c r="DU40" s="407"/>
      <c r="DV40" s="407"/>
      <c r="DW40" s="415">
        <f>SUMIF(DX6:DX36,"&lt;&gt;#N/A")</f>
        <v>0</v>
      </c>
      <c r="DX40" s="415"/>
      <c r="DY40" s="415"/>
    </row>
    <row r="41" spans="2:129" ht="15" thickBot="1" x14ac:dyDescent="0.35">
      <c r="B41" s="64"/>
      <c r="C41" s="148"/>
      <c r="D41" s="109"/>
      <c r="E41" s="63"/>
      <c r="F41" s="127"/>
      <c r="G41" s="50"/>
      <c r="H41" s="10"/>
      <c r="I41" s="10"/>
      <c r="J41" s="10"/>
      <c r="K41" s="10"/>
      <c r="L41" s="10"/>
      <c r="M41" s="39"/>
      <c r="N41" s="33">
        <f t="shared" si="0"/>
        <v>0</v>
      </c>
      <c r="O41" s="52" t="b">
        <f>IF(AND(E41="CLIENT S+L",F41="HUILE"),(S41*3333.33+(VLOOKUP(H41,'BASE '!$I$112:$J$142,2,0)))-((S41*3333.33)*G41),IF(AND(E41="CLIENT S+L",F41="LAIT"),((S41*952.4)-(S41*952.4)*G41),IF(E41="CLIENT O","OFFERT",IF(AND(F41="HUILE",E41="CLIENT L"),(((VLOOKUP(H41,'BASE '!$I$112:$J$142,2,0))+(VLOOKUP(S41,'BASE '!#REF!,2,0)))),IF(AND(F41="LAIT",E41="CLIENT L"),(S41*952.4),IF(AND(F41="HUILE",E41="CLIENT D"),(S41*3809.53+(VLOOKUP(H41,'BASE '!$I$112:$J$142,2,0))),IF(AND(F41="LAIT",E41="CLIENT D"),(S41*952.4),IF(AND(F41="HUILE",E41="CLIENT S+D"),((S41*3809.53+(VLOOKUP(H41,'BASE '!$I$112:$J$142,2,0)))-((S41*3809.53)*G41)),IF(AND(F41="LAIT",E41="CLIENT S+D"),((S41*952.4)-((S41*952.4)*G41)),IF(AND(E41="CLIENT S",F41="LAIT"),((S41*952.4)-((S41*952.4)*G41)),IF(AND(F41="HUILE",E41="CLIENT S"),(VLOOKUP(H41,'BASE '!$I$112:$J$142,2,0)+(VLOOKUP(S41,'BASE '!#REF!,2,0)))-(G41*((VLOOKUP(S41,'BASE '!#REF!,2,0)+(VLOOKUP(H41,'BASE '!$I$112:$J$142,2,0))))))))))))))))</f>
        <v>0</v>
      </c>
      <c r="P41" s="52" t="b">
        <f t="shared" si="1"/>
        <v>0</v>
      </c>
      <c r="Q41" s="53" t="b">
        <f t="shared" si="2"/>
        <v>0</v>
      </c>
      <c r="R41" s="152" t="s">
        <v>175</v>
      </c>
      <c r="S41" s="184">
        <f t="shared" si="6"/>
        <v>0</v>
      </c>
      <c r="T41" s="124"/>
      <c r="U41" s="41" t="s">
        <v>175</v>
      </c>
      <c r="V41" s="70" t="e">
        <f>VLOOKUP(U41,'BASE '!$A$4:$H$144,2,0)</f>
        <v>#N/A</v>
      </c>
      <c r="W41" s="159"/>
      <c r="X41" s="159"/>
      <c r="Y41" s="160"/>
      <c r="Z41" s="158" t="e">
        <f>VLOOKUP(U41,'BASE '!$A$4:$H$144,3,0)</f>
        <v>#N/A</v>
      </c>
      <c r="AA41" s="94" t="e">
        <f t="shared" si="3"/>
        <v>#N/A</v>
      </c>
      <c r="AB41" s="95" t="e">
        <f>VLOOKUP(U41,'BASE '!$A$4:$H$144,6,0)*Y41/100</f>
        <v>#N/A</v>
      </c>
      <c r="AC41" s="95" t="e">
        <f>VLOOKUP(U41,'BASE '!$A$4:$H$144,7,0)*Y41/100</f>
        <v>#N/A</v>
      </c>
      <c r="AD41" s="95" t="e">
        <f>VLOOKUP(U41,'BASE '!$A$4:$H$144,8,0)*Y41/100</f>
        <v>#N/A</v>
      </c>
      <c r="AE41" s="96" t="e">
        <f t="shared" si="7"/>
        <v>#N/A</v>
      </c>
      <c r="AF41" s="431"/>
      <c r="AG41" s="91" t="s">
        <v>157</v>
      </c>
      <c r="AH41" s="36" t="e">
        <f>SUMIFS($H$6:$H$165,$D$6:$D$165,AF41,CHOIX,AG41)</f>
        <v>#NAME?</v>
      </c>
      <c r="AI41" s="36" t="e">
        <f>SUMIFS($I$6:$I$165,$D$6:$D$165,AF41,CHOIX,AG41)</f>
        <v>#NAME?</v>
      </c>
      <c r="AJ41" s="36" t="e">
        <f>SUMIFS($J$6:$J$165,$D$6:$D$165,AF41,CHOIX,AG41)</f>
        <v>#NAME?</v>
      </c>
      <c r="AK41" s="36" t="e">
        <f>SUMIFS($K$6:$K$165,$D$6:$D$165,AF41,CHOIX,AG41)</f>
        <v>#NAME?</v>
      </c>
      <c r="AL41" s="36" t="e">
        <f>SUMIFS($L$6:$L$165,$D$6:$D$165,AF41,CHOIX,AG41)</f>
        <v>#NAME?</v>
      </c>
      <c r="AM41" s="36" t="e">
        <f>SUMIFS($M$6:$M$165,$D$6:$D$165,AF41,CHOIX,AG41)</f>
        <v>#NAME?</v>
      </c>
      <c r="AN41" s="91" t="s">
        <v>157</v>
      </c>
      <c r="AO41" s="83"/>
      <c r="AP41" s="63"/>
      <c r="AQ41" s="63"/>
      <c r="AR41" s="63"/>
      <c r="AS41" s="79"/>
      <c r="AT41" s="79"/>
      <c r="AU41" s="55" t="e">
        <f>SUMIFS($O$6:$O$165,$D$6:$D$165,AF41,CHOIX,AG41)</f>
        <v>#NAME?</v>
      </c>
      <c r="AV41" s="80" t="e">
        <f>SUMIFS($Q$6:$Q$165,$D$6:$D$165,AF41,CHOIX,AG41)</f>
        <v>#NAME?</v>
      </c>
      <c r="AZ41" s="8"/>
      <c r="BA41" s="148"/>
      <c r="BB41" s="148"/>
      <c r="BC41" s="148"/>
      <c r="BD41" s="10"/>
      <c r="BE41" s="10"/>
      <c r="BF41" s="10"/>
      <c r="BG41" s="10"/>
      <c r="BH41" s="10"/>
      <c r="BI41" s="10"/>
      <c r="BJ41" s="10"/>
      <c r="BK41" s="10"/>
      <c r="BL41" s="10"/>
      <c r="BM41" s="147">
        <f t="shared" si="8"/>
        <v>0</v>
      </c>
      <c r="BN41" s="147">
        <f t="shared" si="9"/>
        <v>0</v>
      </c>
      <c r="BO41" s="149"/>
      <c r="DN41" s="116" t="e">
        <f>(($I$5*#REF!)/100)+((#REF!*$J$5)/100)+(($K$5*#REF!)/100)+($L$5*#REF!)+($M$5*#REF!)</f>
        <v>#REF!</v>
      </c>
      <c r="DO41" s="407" t="s">
        <v>44</v>
      </c>
      <c r="DP41" s="407"/>
      <c r="DQ41" s="407"/>
      <c r="DR41" s="407"/>
      <c r="DS41" s="407"/>
      <c r="DT41" s="407"/>
      <c r="DU41" s="407"/>
      <c r="DV41" s="407"/>
      <c r="DW41" s="407"/>
      <c r="DX41" s="408">
        <f>SUMIF(DY6:DY36,"&lt;&gt;#N/A")</f>
        <v>0</v>
      </c>
      <c r="DY41" s="408"/>
    </row>
    <row r="42" spans="2:129" x14ac:dyDescent="0.3">
      <c r="B42" s="64"/>
      <c r="C42" s="148"/>
      <c r="D42" s="109"/>
      <c r="E42" s="63"/>
      <c r="F42" s="127"/>
      <c r="G42" s="50"/>
      <c r="H42" s="10"/>
      <c r="I42" s="10"/>
      <c r="J42" s="10"/>
      <c r="K42" s="10"/>
      <c r="L42" s="10"/>
      <c r="M42" s="39"/>
      <c r="N42" s="33">
        <f t="shared" si="0"/>
        <v>0</v>
      </c>
      <c r="O42" s="52" t="b">
        <f>IF(AND(E42="CLIENT S+L",F42="HUILE"),(S42*3333.33+(VLOOKUP(H42,'BASE '!$I$112:$J$142,2,0)))-((S42*3333.33)*G42),IF(AND(E42="CLIENT S+L",F42="LAIT"),((S42*952.4)-(S42*952.4)*G42),IF(E42="CLIENT O","OFFERT",IF(AND(F42="HUILE",E42="CLIENT L"),(((VLOOKUP(H42,'BASE '!$I$112:$J$142,2,0))+(VLOOKUP(S42,'BASE '!#REF!,2,0)))),IF(AND(F42="LAIT",E42="CLIENT L"),(S42*952.4),IF(AND(F42="HUILE",E42="CLIENT D"),(S42*3809.53+(VLOOKUP(H42,'BASE '!$I$112:$J$142,2,0))),IF(AND(F42="LAIT",E42="CLIENT D"),(S42*952.4),IF(AND(F42="HUILE",E42="CLIENT S+D"),((S42*3809.53+(VLOOKUP(H42,'BASE '!$I$112:$J$142,2,0)))-((S42*3809.53)*G42)),IF(AND(F42="LAIT",E42="CLIENT S+D"),((S42*952.4)-((S42*952.4)*G42)),IF(AND(E42="CLIENT S",F42="LAIT"),((S42*952.4)-((S42*952.4)*G42)),IF(AND(F42="HUILE",E42="CLIENT S"),(VLOOKUP(H42,'BASE '!$I$112:$J$142,2,0)+(VLOOKUP(S42,'BASE '!#REF!,2,0)))-(G42*((VLOOKUP(S42,'BASE '!#REF!,2,0)+(VLOOKUP(H42,'BASE '!$I$112:$J$142,2,0))))))))))))))))</f>
        <v>0</v>
      </c>
      <c r="P42" s="52" t="b">
        <f t="shared" si="1"/>
        <v>0</v>
      </c>
      <c r="Q42" s="53" t="b">
        <f t="shared" si="2"/>
        <v>0</v>
      </c>
      <c r="R42" s="152" t="s">
        <v>175</v>
      </c>
      <c r="S42" s="184">
        <f t="shared" si="6"/>
        <v>0</v>
      </c>
      <c r="T42" s="124"/>
      <c r="U42" s="41" t="s">
        <v>175</v>
      </c>
      <c r="V42" s="70" t="e">
        <f>VLOOKUP(U42,'BASE '!$A$4:$H$144,2,0)</f>
        <v>#N/A</v>
      </c>
      <c r="W42" s="159"/>
      <c r="X42" s="159"/>
      <c r="Y42" s="160"/>
      <c r="Z42" s="158" t="e">
        <f>VLOOKUP(U42,'BASE '!$A$4:$H$144,3,0)</f>
        <v>#N/A</v>
      </c>
      <c r="AA42" s="94" t="e">
        <f t="shared" si="3"/>
        <v>#N/A</v>
      </c>
      <c r="AB42" s="95" t="e">
        <f>VLOOKUP(U42,'BASE '!$A$4:$H$144,6,0)*Y42/100</f>
        <v>#N/A</v>
      </c>
      <c r="AC42" s="95" t="e">
        <f>VLOOKUP(U42,'BASE '!$A$4:$H$144,7,0)*Y42/100</f>
        <v>#N/A</v>
      </c>
      <c r="AD42" s="95" t="e">
        <f>VLOOKUP(U42,'BASE '!$A$4:$H$144,8,0)*Y42/100</f>
        <v>#N/A</v>
      </c>
      <c r="AE42" s="96" t="e">
        <f t="shared" si="7"/>
        <v>#N/A</v>
      </c>
      <c r="AF42" s="431"/>
      <c r="AG42" s="1" t="s">
        <v>155</v>
      </c>
      <c r="AH42" s="36" t="e">
        <f>SUMIFS($H$6:$H$165,$D$6:$D$165,AF41,CHOIX,AG42)</f>
        <v>#NAME?</v>
      </c>
      <c r="AI42" s="36" t="e">
        <f>SUMIFS($I$6:$I$165,$D$6:$D$165,AF41,CHOIX,AG42)</f>
        <v>#NAME?</v>
      </c>
      <c r="AJ42" s="36" t="e">
        <f>SUMIFS($J$6:$J$165,$D$6:$D$165,AF41,CHOIX,AG42)</f>
        <v>#NAME?</v>
      </c>
      <c r="AK42" s="36" t="e">
        <f>SUMIFS($K$6:$K$165,$D$6:$D$165,AF41,CHOIX,AG42)</f>
        <v>#NAME?</v>
      </c>
      <c r="AL42" s="36" t="e">
        <f>SUMIFS($L$6:$L$165,$D$6:$D$165,AF41,CHOIX,AG42)</f>
        <v>#NAME?</v>
      </c>
      <c r="AM42" s="36" t="e">
        <f>SUMIFS($M$6:$M$165,$D$6:$D$165,AF41,CHOIX,AG42)</f>
        <v>#NAME?</v>
      </c>
      <c r="AN42" s="1" t="s">
        <v>155</v>
      </c>
      <c r="AO42" s="83"/>
      <c r="AP42" s="63"/>
      <c r="AQ42" s="63"/>
      <c r="AR42" s="63"/>
      <c r="AS42" s="79"/>
      <c r="AT42" s="79"/>
      <c r="AU42" s="55" t="e">
        <f>SUMIFS($O$6:$O$165,$D$6:$D$165,AF41,CHOIX,AG42)</f>
        <v>#NAME?</v>
      </c>
      <c r="AV42" s="80" t="e">
        <f>SUMIFS($Q$6:$Q$165,$D$6:$D$165,AF41,CHOIX,AG42)</f>
        <v>#NAME?</v>
      </c>
      <c r="AZ42" s="8"/>
      <c r="BA42" s="148"/>
      <c r="BB42" s="148"/>
      <c r="BC42" s="148"/>
      <c r="BD42" s="10"/>
      <c r="BE42" s="10"/>
      <c r="BF42" s="10"/>
      <c r="BG42" s="10"/>
      <c r="BH42" s="10"/>
      <c r="BI42" s="10"/>
      <c r="BJ42" s="10"/>
      <c r="BK42" s="10"/>
      <c r="BL42" s="10"/>
      <c r="BM42" s="147">
        <f t="shared" si="8"/>
        <v>0</v>
      </c>
      <c r="BN42" s="147">
        <f t="shared" si="9"/>
        <v>0</v>
      </c>
      <c r="BO42" s="149"/>
      <c r="DN42" s="116" t="e">
        <f>(($I$5*#REF!)/100)+((#REF!*$J$5)/100)+(($K$5*#REF!)/100)+($L$5*#REF!)+($M$5*#REF!)</f>
        <v>#REF!</v>
      </c>
    </row>
    <row r="43" spans="2:129" x14ac:dyDescent="0.3">
      <c r="B43" s="64"/>
      <c r="C43" s="148"/>
      <c r="D43" s="109"/>
      <c r="E43" s="63"/>
      <c r="F43" s="127"/>
      <c r="G43" s="50"/>
      <c r="H43" s="10"/>
      <c r="I43" s="10"/>
      <c r="J43" s="10"/>
      <c r="K43" s="10"/>
      <c r="L43" s="10"/>
      <c r="M43" s="39"/>
      <c r="N43" s="33">
        <f t="shared" si="0"/>
        <v>0</v>
      </c>
      <c r="O43" s="52" t="b">
        <f>IF(AND(E43="CLIENT S+L",F43="HUILE"),(S43*3333.33+(VLOOKUP(H43,'BASE '!$I$112:$J$142,2,0)))-((S43*3333.33)*G43),IF(AND(E43="CLIENT S+L",F43="LAIT"),((S43*952.4)-(S43*952.4)*G43),IF(E43="CLIENT O","OFFERT",IF(AND(F43="HUILE",E43="CLIENT L"),(((VLOOKUP(H43,'BASE '!$I$112:$J$142,2,0))+(VLOOKUP(S43,'BASE '!#REF!,2,0)))),IF(AND(F43="LAIT",E43="CLIENT L"),(S43*952.4),IF(AND(F43="HUILE",E43="CLIENT D"),(S43*3809.53+(VLOOKUP(H43,'BASE '!$I$112:$J$142,2,0))),IF(AND(F43="LAIT",E43="CLIENT D"),(S43*952.4),IF(AND(F43="HUILE",E43="CLIENT S+D"),((S43*3809.53+(VLOOKUP(H43,'BASE '!$I$112:$J$142,2,0)))-((S43*3809.53)*G43)),IF(AND(F43="LAIT",E43="CLIENT S+D"),((S43*952.4)-((S43*952.4)*G43)),IF(AND(E43="CLIENT S",F43="LAIT"),((S43*952.4)-((S43*952.4)*G43)),IF(AND(F43="HUILE",E43="CLIENT S"),(VLOOKUP(H43,'BASE '!$I$112:$J$142,2,0)+(VLOOKUP(S43,'BASE '!#REF!,2,0)))-(G43*((VLOOKUP(S43,'BASE '!#REF!,2,0)+(VLOOKUP(H43,'BASE '!$I$112:$J$142,2,0))))))))))))))))</f>
        <v>0</v>
      </c>
      <c r="P43" s="52" t="b">
        <f t="shared" si="1"/>
        <v>0</v>
      </c>
      <c r="Q43" s="53" t="b">
        <f t="shared" si="2"/>
        <v>0</v>
      </c>
      <c r="R43" s="152" t="s">
        <v>175</v>
      </c>
      <c r="S43" s="184">
        <f t="shared" si="6"/>
        <v>0</v>
      </c>
      <c r="T43" s="124"/>
      <c r="U43" s="41" t="s">
        <v>175</v>
      </c>
      <c r="V43" s="70" t="e">
        <f>VLOOKUP(U43,'BASE '!$A$4:$H$144,2,0)</f>
        <v>#N/A</v>
      </c>
      <c r="W43" s="159"/>
      <c r="X43" s="159"/>
      <c r="Y43" s="160"/>
      <c r="Z43" s="158" t="e">
        <f>VLOOKUP(U43,'BASE '!$A$4:$H$144,3,0)</f>
        <v>#N/A</v>
      </c>
      <c r="AA43" s="94" t="e">
        <f t="shared" si="3"/>
        <v>#N/A</v>
      </c>
      <c r="AB43" s="95" t="e">
        <f>VLOOKUP(U43,'BASE '!$A$4:$H$144,6,0)*Y43/100</f>
        <v>#N/A</v>
      </c>
      <c r="AC43" s="95" t="e">
        <f>VLOOKUP(U43,'BASE '!$A$4:$H$144,7,0)*Y43/100</f>
        <v>#N/A</v>
      </c>
      <c r="AD43" s="95" t="e">
        <f>VLOOKUP(U43,'BASE '!$A$4:$H$144,8,0)*Y43/100</f>
        <v>#N/A</v>
      </c>
      <c r="AE43" s="96" t="e">
        <f t="shared" si="7"/>
        <v>#N/A</v>
      </c>
      <c r="AF43" s="431"/>
      <c r="AG43" s="91" t="s">
        <v>157</v>
      </c>
      <c r="AH43" s="36" t="e">
        <f>SUMIFS($H$6:$H$165,$D$6:$D$165,AF43,CHOIX,AG43)</f>
        <v>#NAME?</v>
      </c>
      <c r="AI43" s="36" t="e">
        <f>SUMIFS($I$6:$I$165,$D$6:$D$165,AF43,CHOIX,AG43)</f>
        <v>#NAME?</v>
      </c>
      <c r="AJ43" s="36" t="e">
        <f>SUMIFS($J$6:$J$165,$D$6:$D$165,AF43,CHOIX,AG43)</f>
        <v>#NAME?</v>
      </c>
      <c r="AK43" s="36" t="e">
        <f>SUMIFS($K$6:$K$165,$D$6:$D$165,AF43,CHOIX,AG43)</f>
        <v>#NAME?</v>
      </c>
      <c r="AL43" s="36" t="e">
        <f>SUMIFS($L$6:$L$165,$D$6:$D$165,AF43,CHOIX,AG43)</f>
        <v>#NAME?</v>
      </c>
      <c r="AM43" s="36" t="e">
        <f>SUMIFS($M$6:$M$165,$D$6:$D$165,AF43,CHOIX,AG43)</f>
        <v>#NAME?</v>
      </c>
      <c r="AN43" s="91" t="s">
        <v>157</v>
      </c>
      <c r="AO43" s="83"/>
      <c r="AP43" s="63"/>
      <c r="AQ43" s="63"/>
      <c r="AR43" s="63"/>
      <c r="AS43" s="79"/>
      <c r="AT43" s="79"/>
      <c r="AU43" s="55" t="e">
        <f>SUMIFS($O$6:$O$165,$D$6:$D$165,AF43,CHOIX,AG43)</f>
        <v>#NAME?</v>
      </c>
      <c r="AV43" s="80" t="e">
        <f>SUMIFS($Q$6:$Q$165,$D$6:$D$165,AF43,CHOIX,AG43)</f>
        <v>#NAME?</v>
      </c>
      <c r="AZ43" s="8"/>
      <c r="BA43" s="148"/>
      <c r="BB43" s="148"/>
      <c r="BC43" s="148"/>
      <c r="BD43" s="10"/>
      <c r="BE43" s="10"/>
      <c r="BF43" s="10"/>
      <c r="BG43" s="10"/>
      <c r="BH43" s="10"/>
      <c r="BI43" s="10"/>
      <c r="BJ43" s="10"/>
      <c r="BK43" s="10"/>
      <c r="BL43" s="10"/>
      <c r="BM43" s="147">
        <f t="shared" si="8"/>
        <v>0</v>
      </c>
      <c r="BN43" s="147">
        <f t="shared" si="9"/>
        <v>0</v>
      </c>
      <c r="BO43" s="149"/>
      <c r="DN43" s="116" t="e">
        <f>(($I$5*#REF!)/100)+((#REF!*$J$5)/100)+(($K$5*#REF!)/100)+($L$5*#REF!)+($M$5*#REF!)</f>
        <v>#REF!</v>
      </c>
    </row>
    <row r="44" spans="2:129" x14ac:dyDescent="0.3">
      <c r="B44" s="64"/>
      <c r="C44" s="148"/>
      <c r="D44" s="109"/>
      <c r="E44" s="63"/>
      <c r="F44" s="127"/>
      <c r="G44" s="50"/>
      <c r="H44" s="10"/>
      <c r="I44" s="10"/>
      <c r="J44" s="10"/>
      <c r="K44" s="10"/>
      <c r="L44" s="10"/>
      <c r="M44" s="39"/>
      <c r="N44" s="33">
        <f t="shared" si="0"/>
        <v>0</v>
      </c>
      <c r="O44" s="52" t="b">
        <f>IF(AND(E44="CLIENT S+L",F44="HUILE"),(S44*3333.33+(VLOOKUP(H44,'BASE '!$I$112:$J$142,2,0)))-((S44*3333.33)*G44),IF(AND(E44="CLIENT S+L",F44="LAIT"),((S44*952.4)-(S44*952.4)*G44),IF(E44="CLIENT O","OFFERT",IF(AND(F44="HUILE",E44="CLIENT L"),(((VLOOKUP(H44,'BASE '!$I$112:$J$142,2,0))+(VLOOKUP(S44,'BASE '!#REF!,2,0)))),IF(AND(F44="LAIT",E44="CLIENT L"),(S44*952.4),IF(AND(F44="HUILE",E44="CLIENT D"),(S44*3809.53+(VLOOKUP(H44,'BASE '!$I$112:$J$142,2,0))),IF(AND(F44="LAIT",E44="CLIENT D"),(S44*952.4),IF(AND(F44="HUILE",E44="CLIENT S+D"),((S44*3809.53+(VLOOKUP(H44,'BASE '!$I$112:$J$142,2,0)))-((S44*3809.53)*G44)),IF(AND(F44="LAIT",E44="CLIENT S+D"),((S44*952.4)-((S44*952.4)*G44)),IF(AND(E44="CLIENT S",F44="LAIT"),((S44*952.4)-((S44*952.4)*G44)),IF(AND(F44="HUILE",E44="CLIENT S"),(VLOOKUP(H44,'BASE '!$I$112:$J$142,2,0)+(VLOOKUP(S44,'BASE '!#REF!,2,0)))-(G44*((VLOOKUP(S44,'BASE '!#REF!,2,0)+(VLOOKUP(H44,'BASE '!$I$112:$J$142,2,0))))))))))))))))</f>
        <v>0</v>
      </c>
      <c r="P44" s="52" t="b">
        <f t="shared" si="1"/>
        <v>0</v>
      </c>
      <c r="Q44" s="53" t="b">
        <f t="shared" si="2"/>
        <v>0</v>
      </c>
      <c r="R44" s="152" t="s">
        <v>175</v>
      </c>
      <c r="S44" s="184">
        <f t="shared" si="6"/>
        <v>0</v>
      </c>
      <c r="T44" s="124"/>
      <c r="U44" s="41" t="s">
        <v>175</v>
      </c>
      <c r="V44" s="70" t="e">
        <f>VLOOKUP(U44,'BASE '!$A$4:$H$144,2,0)</f>
        <v>#N/A</v>
      </c>
      <c r="W44" s="159"/>
      <c r="X44" s="159"/>
      <c r="Y44" s="160"/>
      <c r="Z44" s="158" t="e">
        <f>VLOOKUP(U44,'BASE '!$A$4:$H$144,3,0)</f>
        <v>#N/A</v>
      </c>
      <c r="AA44" s="94" t="e">
        <f t="shared" si="3"/>
        <v>#N/A</v>
      </c>
      <c r="AB44" s="95" t="e">
        <f>VLOOKUP(U44,'BASE '!$A$4:$H$144,6,0)*Y44/100</f>
        <v>#N/A</v>
      </c>
      <c r="AC44" s="95" t="e">
        <f>VLOOKUP(U44,'BASE '!$A$4:$H$144,7,0)*Y44/100</f>
        <v>#N/A</v>
      </c>
      <c r="AD44" s="95" t="e">
        <f>VLOOKUP(U44,'BASE '!$A$4:$H$144,8,0)*Y44/100</f>
        <v>#N/A</v>
      </c>
      <c r="AE44" s="96" t="e">
        <f t="shared" si="7"/>
        <v>#N/A</v>
      </c>
      <c r="AF44" s="431"/>
      <c r="AG44" s="1" t="s">
        <v>155</v>
      </c>
      <c r="AH44" s="36" t="e">
        <f>SUMIFS($H$6:$H$165,$D$6:$D$165,AF43,CHOIX,AG44)</f>
        <v>#NAME?</v>
      </c>
      <c r="AI44" s="36" t="e">
        <f>SUMIFS($I$6:$I$165,$D$6:$D$165,AF43,CHOIX,AG44)</f>
        <v>#NAME?</v>
      </c>
      <c r="AJ44" s="36" t="e">
        <f>SUMIFS($J$6:$J$165,$D$6:$D$165,AF43,CHOIX,AG44)</f>
        <v>#NAME?</v>
      </c>
      <c r="AK44" s="36" t="e">
        <f>SUMIFS($K$6:$K$165,$D$6:$D$165,AF43,CHOIX,AG44)</f>
        <v>#NAME?</v>
      </c>
      <c r="AL44" s="36" t="e">
        <f>SUMIFS($L$6:$L$165,$D$6:$D$165,AF43,CHOIX,AG44)</f>
        <v>#NAME?</v>
      </c>
      <c r="AM44" s="36" t="e">
        <f>SUMIFS($M$6:$M$165,$D$6:$D$165,AF43,CHOIX,AG44)</f>
        <v>#NAME?</v>
      </c>
      <c r="AN44" s="1" t="s">
        <v>155</v>
      </c>
      <c r="AO44" s="83"/>
      <c r="AP44" s="63"/>
      <c r="AQ44" s="63"/>
      <c r="AR44" s="63"/>
      <c r="AS44" s="79"/>
      <c r="AT44" s="79"/>
      <c r="AU44" s="55" t="e">
        <f>SUMIFS($O$6:$O$165,$D$6:$D$165,AF43,CHOIX,AG44)</f>
        <v>#NAME?</v>
      </c>
      <c r="AV44" s="80" t="e">
        <f>SUMIFS($Q$6:$Q$165,$D$6:$D$165,AF43,CHOIX,AG44)</f>
        <v>#NAME?</v>
      </c>
      <c r="AZ44" s="8"/>
      <c r="BA44" s="148"/>
      <c r="BB44" s="148"/>
      <c r="BC44" s="148"/>
      <c r="BD44" s="10"/>
      <c r="BE44" s="10"/>
      <c r="BF44" s="10"/>
      <c r="BG44" s="10"/>
      <c r="BH44" s="10"/>
      <c r="BI44" s="10"/>
      <c r="BJ44" s="10"/>
      <c r="BK44" s="10"/>
      <c r="BL44" s="10"/>
      <c r="BM44" s="147">
        <f t="shared" si="8"/>
        <v>0</v>
      </c>
      <c r="BN44" s="147">
        <f t="shared" si="9"/>
        <v>0</v>
      </c>
      <c r="BO44" s="149"/>
      <c r="DN44" s="116" t="e">
        <f>(($I$5*#REF!)/100)+((#REF!*$J$5)/100)+(($K$5*#REF!)/100)+($L$5*#REF!)+($M$5*#REF!)</f>
        <v>#REF!</v>
      </c>
    </row>
    <row r="45" spans="2:129" x14ac:dyDescent="0.3">
      <c r="B45" s="64"/>
      <c r="C45" s="148"/>
      <c r="D45" s="109"/>
      <c r="E45" s="63"/>
      <c r="F45" s="127"/>
      <c r="G45" s="50"/>
      <c r="H45" s="10"/>
      <c r="I45" s="10"/>
      <c r="J45" s="10"/>
      <c r="K45" s="10"/>
      <c r="L45" s="10"/>
      <c r="M45" s="39"/>
      <c r="N45" s="33">
        <f t="shared" si="0"/>
        <v>0</v>
      </c>
      <c r="O45" s="52" t="b">
        <f>IF(AND(E45="CLIENT S+L",F45="HUILE"),(S45*3333.33+(VLOOKUP(H45,'BASE '!$I$112:$J$142,2,0)))-((S45*3333.33)*G45),IF(AND(E45="CLIENT S+L",F45="LAIT"),((S45*952.4)-(S45*952.4)*G45),IF(E45="CLIENT O","OFFERT",IF(AND(F45="HUILE",E45="CLIENT L"),(((VLOOKUP(H45,'BASE '!$I$112:$J$142,2,0))+(VLOOKUP(S45,'BASE '!#REF!,2,0)))),IF(AND(F45="LAIT",E45="CLIENT L"),(S45*952.4),IF(AND(F45="HUILE",E45="CLIENT D"),(S45*3809.53+(VLOOKUP(H45,'BASE '!$I$112:$J$142,2,0))),IF(AND(F45="LAIT",E45="CLIENT D"),(S45*952.4),IF(AND(F45="HUILE",E45="CLIENT S+D"),((S45*3809.53+(VLOOKUP(H45,'BASE '!$I$112:$J$142,2,0)))-((S45*3809.53)*G45)),IF(AND(F45="LAIT",E45="CLIENT S+D"),((S45*952.4)-((S45*952.4)*G45)),IF(AND(E45="CLIENT S",F45="LAIT"),((S45*952.4)-((S45*952.4)*G45)),IF(AND(F45="HUILE",E45="CLIENT S"),(VLOOKUP(H45,'BASE '!$I$112:$J$142,2,0)+(VLOOKUP(S45,'BASE '!#REF!,2,0)))-(G45*((VLOOKUP(S45,'BASE '!#REF!,2,0)+(VLOOKUP(H45,'BASE '!$I$112:$J$142,2,0))))))))))))))))</f>
        <v>0</v>
      </c>
      <c r="P45" s="52" t="b">
        <f t="shared" si="1"/>
        <v>0</v>
      </c>
      <c r="Q45" s="53" t="b">
        <f t="shared" si="2"/>
        <v>0</v>
      </c>
      <c r="R45" s="152" t="s">
        <v>175</v>
      </c>
      <c r="S45" s="184">
        <f t="shared" si="6"/>
        <v>0</v>
      </c>
      <c r="T45" s="124"/>
      <c r="U45" s="41" t="s">
        <v>175</v>
      </c>
      <c r="V45" s="70" t="e">
        <f>VLOOKUP(U45,'BASE '!$A$4:$H$144,2,0)</f>
        <v>#N/A</v>
      </c>
      <c r="W45" s="159"/>
      <c r="X45" s="159"/>
      <c r="Y45" s="160"/>
      <c r="Z45" s="158" t="e">
        <f>VLOOKUP(U45,'BASE '!$A$4:$H$144,3,0)</f>
        <v>#N/A</v>
      </c>
      <c r="AA45" s="94" t="e">
        <f t="shared" si="3"/>
        <v>#N/A</v>
      </c>
      <c r="AB45" s="95" t="e">
        <f>VLOOKUP(U45,'BASE '!$A$4:$H$144,6,0)*Y45/100</f>
        <v>#N/A</v>
      </c>
      <c r="AC45" s="95" t="e">
        <f>VLOOKUP(U45,'BASE '!$A$4:$H$144,7,0)*Y45/100</f>
        <v>#N/A</v>
      </c>
      <c r="AD45" s="95" t="e">
        <f>VLOOKUP(U45,'BASE '!$A$4:$H$144,8,0)*Y45/100</f>
        <v>#N/A</v>
      </c>
      <c r="AE45" s="96" t="e">
        <f t="shared" si="7"/>
        <v>#N/A</v>
      </c>
      <c r="AF45" s="431"/>
      <c r="AG45" s="91" t="s">
        <v>157</v>
      </c>
      <c r="AH45" s="36" t="e">
        <f>SUMIFS($H$6:$H$165,$D$6:$D$165,AF45,CHOIX,AG45)</f>
        <v>#NAME?</v>
      </c>
      <c r="AI45" s="36" t="e">
        <f>SUMIFS($I$6:$I$165,$D$6:$D$165,AF45,CHOIX,AG45)</f>
        <v>#NAME?</v>
      </c>
      <c r="AJ45" s="36" t="e">
        <f>SUMIFS($J$6:$J$165,$D$6:$D$165,AF45,CHOIX,AG45)</f>
        <v>#NAME?</v>
      </c>
      <c r="AK45" s="36" t="e">
        <f>SUMIFS($K$6:$K$165,$D$6:$D$165,AF45,CHOIX,AG45)</f>
        <v>#NAME?</v>
      </c>
      <c r="AL45" s="36" t="e">
        <f>SUMIFS($L$6:$L$165,$D$6:$D$165,AF45,CHOIX,AG45)</f>
        <v>#NAME?</v>
      </c>
      <c r="AM45" s="36" t="e">
        <f>SUMIFS($M$6:$M$165,$D$6:$D$165,AF45,CHOIX,AG45)</f>
        <v>#NAME?</v>
      </c>
      <c r="AN45" s="91" t="s">
        <v>157</v>
      </c>
      <c r="AO45" s="83"/>
      <c r="AP45" s="63"/>
      <c r="AQ45" s="63"/>
      <c r="AR45" s="63"/>
      <c r="AS45" s="79"/>
      <c r="AT45" s="79"/>
      <c r="AU45" s="55" t="e">
        <f>SUMIFS($O$6:$O$165,$D$6:$D$165,AF45,CHOIX,AG45)</f>
        <v>#NAME?</v>
      </c>
      <c r="AV45" s="80" t="e">
        <f>SUMIFS($Q$6:$Q$165,$D$6:$D$165,AF45,CHOIX,AG45)</f>
        <v>#NAME?</v>
      </c>
      <c r="AZ45" s="8"/>
      <c r="BA45" s="148"/>
      <c r="BB45" s="148"/>
      <c r="BC45" s="148"/>
      <c r="BD45" s="10"/>
      <c r="BE45" s="10"/>
      <c r="BF45" s="10"/>
      <c r="BG45" s="10"/>
      <c r="BH45" s="10"/>
      <c r="BI45" s="10"/>
      <c r="BJ45" s="10"/>
      <c r="BK45" s="10"/>
      <c r="BL45" s="10"/>
      <c r="BM45" s="147">
        <f t="shared" si="8"/>
        <v>0</v>
      </c>
      <c r="BN45" s="147">
        <f t="shared" si="9"/>
        <v>0</v>
      </c>
      <c r="BO45" s="149"/>
      <c r="DN45" s="116" t="e">
        <f>(($I$5*#REF!)/100)+((#REF!*$J$5)/100)+(($K$5*#REF!)/100)+($L$5*#REF!)+($M$5*#REF!)</f>
        <v>#REF!</v>
      </c>
    </row>
    <row r="46" spans="2:129" x14ac:dyDescent="0.3">
      <c r="B46" s="64"/>
      <c r="C46" s="148"/>
      <c r="D46" s="109"/>
      <c r="E46" s="63"/>
      <c r="F46" s="127"/>
      <c r="G46" s="50"/>
      <c r="H46" s="10"/>
      <c r="I46" s="10"/>
      <c r="J46" s="10"/>
      <c r="K46" s="10"/>
      <c r="L46" s="10"/>
      <c r="M46" s="39"/>
      <c r="N46" s="33">
        <f t="shared" si="0"/>
        <v>0</v>
      </c>
      <c r="O46" s="52" t="b">
        <f>IF(AND(E46="CLIENT S+L",F46="HUILE"),(S46*3333.33+(VLOOKUP(H46,'BASE '!$I$112:$J$142,2,0)))-((S46*3333.33)*G46),IF(AND(E46="CLIENT S+L",F46="LAIT"),((S46*952.4)-(S46*952.4)*G46),IF(E46="CLIENT O","OFFERT",IF(AND(F46="HUILE",E46="CLIENT L"),(((VLOOKUP(H46,'BASE '!$I$112:$J$142,2,0))+(VLOOKUP(S46,'BASE '!#REF!,2,0)))),IF(AND(F46="LAIT",E46="CLIENT L"),(S46*952.4),IF(AND(F46="HUILE",E46="CLIENT D"),(S46*3809.53+(VLOOKUP(H46,'BASE '!$I$112:$J$142,2,0))),IF(AND(F46="LAIT",E46="CLIENT D"),(S46*952.4),IF(AND(F46="HUILE",E46="CLIENT S+D"),((S46*3809.53+(VLOOKUP(H46,'BASE '!$I$112:$J$142,2,0)))-((S46*3809.53)*G46)),IF(AND(F46="LAIT",E46="CLIENT S+D"),((S46*952.4)-((S46*952.4)*G46)),IF(AND(E46="CLIENT S",F46="LAIT"),((S46*952.4)-((S46*952.4)*G46)),IF(AND(F46="HUILE",E46="CLIENT S"),(VLOOKUP(H46,'BASE '!$I$112:$J$142,2,0)+(VLOOKUP(S46,'BASE '!#REF!,2,0)))-(G46*((VLOOKUP(S46,'BASE '!#REF!,2,0)+(VLOOKUP(H46,'BASE '!$I$112:$J$142,2,0))))))))))))))))</f>
        <v>0</v>
      </c>
      <c r="P46" s="52" t="b">
        <f t="shared" si="1"/>
        <v>0</v>
      </c>
      <c r="Q46" s="53" t="b">
        <f t="shared" si="2"/>
        <v>0</v>
      </c>
      <c r="R46" s="152" t="s">
        <v>175</v>
      </c>
      <c r="S46" s="184">
        <f t="shared" si="6"/>
        <v>0</v>
      </c>
      <c r="T46" s="124"/>
      <c r="U46" s="41" t="s">
        <v>175</v>
      </c>
      <c r="V46" s="70" t="e">
        <f>VLOOKUP(U46,'BASE '!$A$4:$H$144,2,0)</f>
        <v>#N/A</v>
      </c>
      <c r="W46" s="159"/>
      <c r="X46" s="159"/>
      <c r="Y46" s="160"/>
      <c r="Z46" s="158" t="e">
        <f>VLOOKUP(U46,'BASE '!$A$4:$H$144,3,0)</f>
        <v>#N/A</v>
      </c>
      <c r="AA46" s="94" t="e">
        <f t="shared" si="3"/>
        <v>#N/A</v>
      </c>
      <c r="AB46" s="95" t="e">
        <f>VLOOKUP(U46,'BASE '!$A$4:$H$144,6,0)*Y46/100</f>
        <v>#N/A</v>
      </c>
      <c r="AC46" s="95" t="e">
        <f>VLOOKUP(U46,'BASE '!$A$4:$H$144,7,0)*Y46/100</f>
        <v>#N/A</v>
      </c>
      <c r="AD46" s="95" t="e">
        <f>VLOOKUP(U46,'BASE '!$A$4:$H$144,8,0)*Y46/100</f>
        <v>#N/A</v>
      </c>
      <c r="AE46" s="96" t="e">
        <f t="shared" si="7"/>
        <v>#N/A</v>
      </c>
      <c r="AF46" s="431"/>
      <c r="AG46" s="1" t="s">
        <v>155</v>
      </c>
      <c r="AH46" s="36" t="e">
        <f>SUMIFS($H$6:$H$165,$D$6:$D$165,AF45,CHOIX,AG46)</f>
        <v>#NAME?</v>
      </c>
      <c r="AI46" s="36" t="e">
        <f>SUMIFS($I$6:$I$165,$D$6:$D$165,AF45,CHOIX,AG46)</f>
        <v>#NAME?</v>
      </c>
      <c r="AJ46" s="36" t="e">
        <f>SUMIFS($J$6:$J$165,$D$6:$D$165,AF45,CHOIX,AG46)</f>
        <v>#NAME?</v>
      </c>
      <c r="AK46" s="36" t="e">
        <f>SUMIFS($K$6:$K$165,$D$6:$D$165,AF45,CHOIX,AG46)</f>
        <v>#NAME?</v>
      </c>
      <c r="AL46" s="36" t="e">
        <f>SUMIFS($L$6:$L$165,$D$6:$D$165,AF45,CHOIX,AG46)</f>
        <v>#NAME?</v>
      </c>
      <c r="AM46" s="36" t="e">
        <f>SUMIFS($M$6:$M$165,$D$6:$D$165,AF45,CHOIX,AG46)</f>
        <v>#NAME?</v>
      </c>
      <c r="AN46" s="1" t="s">
        <v>155</v>
      </c>
      <c r="AO46" s="83"/>
      <c r="AP46" s="63"/>
      <c r="AQ46" s="63"/>
      <c r="AR46" s="63"/>
      <c r="AS46" s="79"/>
      <c r="AT46" s="79"/>
      <c r="AU46" s="55" t="e">
        <f>SUMIFS($O$6:$O$165,$D$6:$D$165,AF45,CHOIX,AG46)</f>
        <v>#NAME?</v>
      </c>
      <c r="AV46" s="80" t="e">
        <f>SUMIFS($Q$6:$Q$165,$D$6:$D$165,AF45,CHOIX,AG46)</f>
        <v>#NAME?</v>
      </c>
      <c r="AZ46" s="8"/>
      <c r="BA46" s="148"/>
      <c r="BB46" s="148"/>
      <c r="BC46" s="148"/>
      <c r="BD46" s="10"/>
      <c r="BE46" s="10"/>
      <c r="BF46" s="10"/>
      <c r="BG46" s="10"/>
      <c r="BH46" s="10"/>
      <c r="BI46" s="10"/>
      <c r="BJ46" s="10"/>
      <c r="BK46" s="10"/>
      <c r="BL46" s="10"/>
      <c r="BM46" s="147">
        <f t="shared" si="8"/>
        <v>0</v>
      </c>
      <c r="BN46" s="147">
        <f t="shared" si="9"/>
        <v>0</v>
      </c>
      <c r="BO46" s="149"/>
      <c r="DN46" s="116" t="e">
        <f>(($I$5*#REF!)/100)+((#REF!*$J$5)/100)+(($K$5*#REF!)/100)+($L$5*#REF!)+($M$5*#REF!)</f>
        <v>#REF!</v>
      </c>
    </row>
    <row r="47" spans="2:129" x14ac:dyDescent="0.3">
      <c r="B47" s="64"/>
      <c r="C47" s="148"/>
      <c r="D47" s="109"/>
      <c r="E47" s="63"/>
      <c r="F47" s="127"/>
      <c r="G47" s="50"/>
      <c r="H47" s="10"/>
      <c r="I47" s="10"/>
      <c r="J47" s="10"/>
      <c r="K47" s="10"/>
      <c r="L47" s="10"/>
      <c r="M47" s="39"/>
      <c r="N47" s="33">
        <f t="shared" si="0"/>
        <v>0</v>
      </c>
      <c r="O47" s="52" t="b">
        <f>IF(AND(E47="CLIENT S+L",F47="HUILE"),(S47*3333.33+(VLOOKUP(H47,'BASE '!$I$112:$J$142,2,0)))-((S47*3333.33)*G47),IF(AND(E47="CLIENT S+L",F47="LAIT"),((S47*952.4)-(S47*952.4)*G47),IF(E47="CLIENT O","OFFERT",IF(AND(F47="HUILE",E47="CLIENT L"),(((VLOOKUP(H47,'BASE '!$I$112:$J$142,2,0))+(VLOOKUP(S47,'BASE '!#REF!,2,0)))),IF(AND(F47="LAIT",E47="CLIENT L"),(S47*952.4),IF(AND(F47="HUILE",E47="CLIENT D"),(S47*3809.53+(VLOOKUP(H47,'BASE '!$I$112:$J$142,2,0))),IF(AND(F47="LAIT",E47="CLIENT D"),(S47*952.4),IF(AND(F47="HUILE",E47="CLIENT S+D"),((S47*3809.53+(VLOOKUP(H47,'BASE '!$I$112:$J$142,2,0)))-((S47*3809.53)*G47)),IF(AND(F47="LAIT",E47="CLIENT S+D"),((S47*952.4)-((S47*952.4)*G47)),IF(AND(E47="CLIENT S",F47="LAIT"),((S47*952.4)-((S47*952.4)*G47)),IF(AND(F47="HUILE",E47="CLIENT S"),(VLOOKUP(H47,'BASE '!$I$112:$J$142,2,0)+(VLOOKUP(S47,'BASE '!#REF!,2,0)))-(G47*((VLOOKUP(S47,'BASE '!#REF!,2,0)+(VLOOKUP(H47,'BASE '!$I$112:$J$142,2,0))))))))))))))))</f>
        <v>0</v>
      </c>
      <c r="P47" s="52" t="b">
        <f t="shared" si="1"/>
        <v>0</v>
      </c>
      <c r="Q47" s="53" t="b">
        <f t="shared" si="2"/>
        <v>0</v>
      </c>
      <c r="R47" s="152" t="s">
        <v>175</v>
      </c>
      <c r="S47" s="184">
        <f t="shared" si="6"/>
        <v>0</v>
      </c>
      <c r="T47" s="124"/>
      <c r="U47" s="41" t="s">
        <v>175</v>
      </c>
      <c r="V47" s="70" t="e">
        <f>VLOOKUP(U47,'BASE '!$A$4:$H$144,2,0)</f>
        <v>#N/A</v>
      </c>
      <c r="W47" s="159"/>
      <c r="X47" s="159"/>
      <c r="Y47" s="160"/>
      <c r="Z47" s="158" t="e">
        <f>VLOOKUP(U47,'BASE '!$A$4:$H$144,3,0)</f>
        <v>#N/A</v>
      </c>
      <c r="AA47" s="94" t="e">
        <f t="shared" si="3"/>
        <v>#N/A</v>
      </c>
      <c r="AB47" s="95" t="e">
        <f>VLOOKUP(U47,'BASE '!$A$4:$H$144,6,0)*Y47/100</f>
        <v>#N/A</v>
      </c>
      <c r="AC47" s="95" t="e">
        <f>VLOOKUP(U47,'BASE '!$A$4:$H$144,7,0)*Y47/100</f>
        <v>#N/A</v>
      </c>
      <c r="AD47" s="95" t="e">
        <f>VLOOKUP(U47,'BASE '!$A$4:$H$144,8,0)*Y47/100</f>
        <v>#N/A</v>
      </c>
      <c r="AE47" s="96" t="e">
        <f t="shared" si="7"/>
        <v>#N/A</v>
      </c>
      <c r="AF47" s="431"/>
      <c r="AG47" s="91" t="s">
        <v>157</v>
      </c>
      <c r="AH47" s="36" t="e">
        <f>SUMIFS($H$6:$H$165,$D$6:$D$165,AF47,CHOIX,AG47)</f>
        <v>#NAME?</v>
      </c>
      <c r="AI47" s="36" t="e">
        <f>SUMIFS($I$6:$I$165,$D$6:$D$165,AF47,CHOIX,AG47)</f>
        <v>#NAME?</v>
      </c>
      <c r="AJ47" s="36" t="e">
        <f>SUMIFS($J$6:$J$165,$D$6:$D$165,AF47,CHOIX,AG47)</f>
        <v>#NAME?</v>
      </c>
      <c r="AK47" s="36" t="e">
        <f>SUMIFS($K$6:$K$165,$D$6:$D$165,AF47,CHOIX,AG47)</f>
        <v>#NAME?</v>
      </c>
      <c r="AL47" s="36" t="e">
        <f>SUMIFS($L$6:$L$165,$D$6:$D$165,AF47,CHOIX,AG47)</f>
        <v>#NAME?</v>
      </c>
      <c r="AM47" s="36" t="e">
        <f>SUMIFS($M$6:$M$165,$D$6:$D$165,AF47,CHOIX,AG47)</f>
        <v>#NAME?</v>
      </c>
      <c r="AN47" s="91" t="s">
        <v>157</v>
      </c>
      <c r="AO47" s="83"/>
      <c r="AP47" s="63"/>
      <c r="AQ47" s="63"/>
      <c r="AR47" s="63"/>
      <c r="AS47" s="79"/>
      <c r="AT47" s="79"/>
      <c r="AU47" s="55" t="e">
        <f>SUMIFS($O$6:$O$165,$D$6:$D$165,AF47,CHOIX,AG47)</f>
        <v>#NAME?</v>
      </c>
      <c r="AV47" s="80" t="e">
        <f>SUMIFS($Q$6:$Q$165,$D$6:$D$165,AF47,CHOIX,AG47)</f>
        <v>#NAME?</v>
      </c>
      <c r="AZ47" s="8"/>
      <c r="BA47" s="148"/>
      <c r="BB47" s="148"/>
      <c r="BC47" s="148"/>
      <c r="BD47" s="10"/>
      <c r="BE47" s="10"/>
      <c r="BF47" s="10"/>
      <c r="BG47" s="10"/>
      <c r="BH47" s="10"/>
      <c r="BI47" s="10"/>
      <c r="BJ47" s="10"/>
      <c r="BK47" s="10"/>
      <c r="BL47" s="10"/>
      <c r="BM47" s="147">
        <f t="shared" si="8"/>
        <v>0</v>
      </c>
      <c r="BN47" s="147">
        <f t="shared" si="9"/>
        <v>0</v>
      </c>
      <c r="BO47" s="149"/>
      <c r="DN47" s="116" t="e">
        <f>(($I$5*#REF!)/100)+((#REF!*$J$5)/100)+(($K$5*#REF!)/100)+($L$5*#REF!)+($M$5*#REF!)</f>
        <v>#REF!</v>
      </c>
    </row>
    <row r="48" spans="2:129" x14ac:dyDescent="0.3">
      <c r="B48" s="64"/>
      <c r="C48" s="148"/>
      <c r="D48" s="109"/>
      <c r="E48" s="63"/>
      <c r="F48" s="127"/>
      <c r="G48" s="50"/>
      <c r="H48" s="10"/>
      <c r="I48" s="10"/>
      <c r="J48" s="10"/>
      <c r="K48" s="10"/>
      <c r="L48" s="10"/>
      <c r="M48" s="39"/>
      <c r="N48" s="33">
        <f t="shared" si="0"/>
        <v>0</v>
      </c>
      <c r="O48" s="52" t="b">
        <f>IF(AND(E48="CLIENT S+L",F48="HUILE"),(S48*3333.33+(VLOOKUP(H48,'BASE '!$I$112:$J$142,2,0)))-((S48*3333.33)*G48),IF(AND(E48="CLIENT S+L",F48="LAIT"),((S48*952.4)-(S48*952.4)*G48),IF(E48="CLIENT O","OFFERT",IF(AND(F48="HUILE",E48="CLIENT L"),(((VLOOKUP(H48,'BASE '!$I$112:$J$142,2,0))+(VLOOKUP(S48,'BASE '!#REF!,2,0)))),IF(AND(F48="LAIT",E48="CLIENT L"),(S48*952.4),IF(AND(F48="HUILE",E48="CLIENT D"),(S48*3809.53+(VLOOKUP(H48,'BASE '!$I$112:$J$142,2,0))),IF(AND(F48="LAIT",E48="CLIENT D"),(S48*952.4),IF(AND(F48="HUILE",E48="CLIENT S+D"),((S48*3809.53+(VLOOKUP(H48,'BASE '!$I$112:$J$142,2,0)))-((S48*3809.53)*G48)),IF(AND(F48="LAIT",E48="CLIENT S+D"),((S48*952.4)-((S48*952.4)*G48)),IF(AND(E48="CLIENT S",F48="LAIT"),((S48*952.4)-((S48*952.4)*G48)),IF(AND(F48="HUILE",E48="CLIENT S"),(VLOOKUP(H48,'BASE '!$I$112:$J$142,2,0)+(VLOOKUP(S48,'BASE '!#REF!,2,0)))-(G48*((VLOOKUP(S48,'BASE '!#REF!,2,0)+(VLOOKUP(H48,'BASE '!$I$112:$J$142,2,0))))))))))))))))</f>
        <v>0</v>
      </c>
      <c r="P48" s="52" t="b">
        <f t="shared" si="1"/>
        <v>0</v>
      </c>
      <c r="Q48" s="53" t="b">
        <f t="shared" si="2"/>
        <v>0</v>
      </c>
      <c r="R48" s="152" t="s">
        <v>175</v>
      </c>
      <c r="S48" s="184">
        <f t="shared" si="6"/>
        <v>0</v>
      </c>
      <c r="T48" s="124"/>
      <c r="U48" s="41" t="s">
        <v>175</v>
      </c>
      <c r="V48" s="70" t="e">
        <f>VLOOKUP(U48,'BASE '!$A$4:$H$144,2,0)</f>
        <v>#N/A</v>
      </c>
      <c r="W48" s="159"/>
      <c r="X48" s="159"/>
      <c r="Y48" s="160"/>
      <c r="Z48" s="158" t="e">
        <f>VLOOKUP(U48,'BASE '!$A$4:$H$144,3,0)</f>
        <v>#N/A</v>
      </c>
      <c r="AA48" s="94" t="e">
        <f t="shared" si="3"/>
        <v>#N/A</v>
      </c>
      <c r="AB48" s="95" t="e">
        <f>VLOOKUP(U48,'BASE '!$A$4:$H$144,6,0)*Y48/100</f>
        <v>#N/A</v>
      </c>
      <c r="AC48" s="95" t="e">
        <f>VLOOKUP(U48,'BASE '!$A$4:$H$144,7,0)*Y48/100</f>
        <v>#N/A</v>
      </c>
      <c r="AD48" s="95" t="e">
        <f>VLOOKUP(U48,'BASE '!$A$4:$H$144,8,0)*Y48/100</f>
        <v>#N/A</v>
      </c>
      <c r="AE48" s="96" t="e">
        <f t="shared" si="7"/>
        <v>#N/A</v>
      </c>
      <c r="AF48" s="431"/>
      <c r="AG48" s="1" t="s">
        <v>155</v>
      </c>
      <c r="AH48" s="36" t="e">
        <f>SUMIFS($H$6:$H$165,$D$6:$D$165,AF47,CHOIX,AG48)</f>
        <v>#NAME?</v>
      </c>
      <c r="AI48" s="36" t="e">
        <f>SUMIFS($I$6:$I$165,$D$6:$D$165,AF47,CHOIX,AG48)</f>
        <v>#NAME?</v>
      </c>
      <c r="AJ48" s="36" t="e">
        <f>SUMIFS($J$6:$J$165,$D$6:$D$165,AF47,CHOIX,AG48)</f>
        <v>#NAME?</v>
      </c>
      <c r="AK48" s="36" t="e">
        <f>SUMIFS($K$6:$K$165,$D$6:$D$165,AF47,CHOIX,AG48)</f>
        <v>#NAME?</v>
      </c>
      <c r="AL48" s="36" t="e">
        <f>SUMIFS($L$6:$L$165,$D$6:$D$165,AF47,CHOIX,AG48)</f>
        <v>#NAME?</v>
      </c>
      <c r="AM48" s="36" t="e">
        <f>SUMIFS($M$6:$M$165,$D$6:$D$165,AF47,CHOIX,AG48)</f>
        <v>#NAME?</v>
      </c>
      <c r="AN48" s="1" t="s">
        <v>155</v>
      </c>
      <c r="AO48" s="83"/>
      <c r="AP48" s="63"/>
      <c r="AQ48" s="63"/>
      <c r="AR48" s="63"/>
      <c r="AS48" s="79"/>
      <c r="AT48" s="79"/>
      <c r="AU48" s="55" t="e">
        <f>SUMIFS($O$6:$O$165,$D$6:$D$165,AF47,CHOIX,AG48)</f>
        <v>#NAME?</v>
      </c>
      <c r="AV48" s="80" t="e">
        <f>SUMIFS($Q$6:$Q$165,$D$6:$D$165,AF47,CHOIX,AG48)</f>
        <v>#NAME?</v>
      </c>
      <c r="AZ48" s="8"/>
      <c r="BA48" s="148"/>
      <c r="BB48" s="148"/>
      <c r="BC48" s="148"/>
      <c r="BD48" s="10"/>
      <c r="BE48" s="10"/>
      <c r="BF48" s="10"/>
      <c r="BG48" s="10"/>
      <c r="BH48" s="10"/>
      <c r="BI48" s="10"/>
      <c r="BJ48" s="10"/>
      <c r="BK48" s="10"/>
      <c r="BL48" s="10"/>
      <c r="BM48" s="147">
        <f t="shared" si="8"/>
        <v>0</v>
      </c>
      <c r="BN48" s="147">
        <f t="shared" si="9"/>
        <v>0</v>
      </c>
      <c r="BO48" s="149"/>
      <c r="DN48" s="116" t="e">
        <f>(($I$5*#REF!)/100)+((#REF!*$J$5)/100)+(($K$5*#REF!)/100)+($L$5*#REF!)+($M$5*#REF!)</f>
        <v>#REF!</v>
      </c>
    </row>
    <row r="49" spans="2:118" x14ac:dyDescent="0.3">
      <c r="B49" s="64"/>
      <c r="C49" s="148"/>
      <c r="D49" s="109"/>
      <c r="E49" s="63"/>
      <c r="F49" s="127"/>
      <c r="G49" s="50"/>
      <c r="H49" s="10"/>
      <c r="I49" s="10"/>
      <c r="J49" s="10"/>
      <c r="K49" s="10"/>
      <c r="L49" s="10"/>
      <c r="M49" s="39"/>
      <c r="N49" s="33">
        <f t="shared" si="0"/>
        <v>0</v>
      </c>
      <c r="O49" s="52" t="b">
        <f>IF(AND(E49="CLIENT S+L",F49="HUILE"),(S49*3333.33+(VLOOKUP(H49,'BASE '!$I$112:$J$142,2,0)))-((S49*3333.33)*G49),IF(AND(E49="CLIENT S+L",F49="LAIT"),((S49*952.4)-(S49*952.4)*G49),IF(E49="CLIENT O","OFFERT",IF(AND(F49="HUILE",E49="CLIENT L"),(((VLOOKUP(H49,'BASE '!$I$112:$J$142,2,0))+(VLOOKUP(S49,'BASE '!#REF!,2,0)))),IF(AND(F49="LAIT",E49="CLIENT L"),(S49*952.4),IF(AND(F49="HUILE",E49="CLIENT D"),(S49*3809.53+(VLOOKUP(H49,'BASE '!$I$112:$J$142,2,0))),IF(AND(F49="LAIT",E49="CLIENT D"),(S49*952.4),IF(AND(F49="HUILE",E49="CLIENT S+D"),((S49*3809.53+(VLOOKUP(H49,'BASE '!$I$112:$J$142,2,0)))-((S49*3809.53)*G49)),IF(AND(F49="LAIT",E49="CLIENT S+D"),((S49*952.4)-((S49*952.4)*G49)),IF(AND(E49="CLIENT S",F49="LAIT"),((S49*952.4)-((S49*952.4)*G49)),IF(AND(F49="HUILE",E49="CLIENT S"),(VLOOKUP(H49,'BASE '!$I$112:$J$142,2,0)+(VLOOKUP(S49,'BASE '!#REF!,2,0)))-(G49*((VLOOKUP(S49,'BASE '!#REF!,2,0)+(VLOOKUP(H49,'BASE '!$I$112:$J$142,2,0))))))))))))))))</f>
        <v>0</v>
      </c>
      <c r="P49" s="52" t="b">
        <f t="shared" si="1"/>
        <v>0</v>
      </c>
      <c r="Q49" s="53" t="b">
        <f t="shared" si="2"/>
        <v>0</v>
      </c>
      <c r="R49" s="152" t="s">
        <v>175</v>
      </c>
      <c r="S49" s="184">
        <f t="shared" si="6"/>
        <v>0</v>
      </c>
      <c r="T49" s="124"/>
      <c r="U49" s="41" t="s">
        <v>175</v>
      </c>
      <c r="V49" s="70" t="e">
        <f>VLOOKUP(U49,'BASE '!$A$4:$H$144,2,0)</f>
        <v>#N/A</v>
      </c>
      <c r="W49" s="159"/>
      <c r="X49" s="159"/>
      <c r="Y49" s="160"/>
      <c r="Z49" s="158" t="e">
        <f>VLOOKUP(U49,'BASE '!$A$4:$H$144,3,0)</f>
        <v>#N/A</v>
      </c>
      <c r="AA49" s="94" t="e">
        <f t="shared" si="3"/>
        <v>#N/A</v>
      </c>
      <c r="AB49" s="95" t="e">
        <f>VLOOKUP(U49,'BASE '!$A$4:$H$144,6,0)*Y49/100</f>
        <v>#N/A</v>
      </c>
      <c r="AC49" s="95" t="e">
        <f>VLOOKUP(U49,'BASE '!$A$4:$H$144,7,0)*Y49/100</f>
        <v>#N/A</v>
      </c>
      <c r="AD49" s="95" t="e">
        <f>VLOOKUP(U49,'BASE '!$A$4:$H$144,8,0)*Y49/100</f>
        <v>#N/A</v>
      </c>
      <c r="AE49" s="96" t="e">
        <f t="shared" si="7"/>
        <v>#N/A</v>
      </c>
      <c r="AF49" s="431"/>
      <c r="AG49" s="91" t="s">
        <v>157</v>
      </c>
      <c r="AH49" s="36" t="e">
        <f>SUMIFS($H$6:$H$165,$D$6:$D$165,AF49,CHOIX,AG49)</f>
        <v>#NAME?</v>
      </c>
      <c r="AI49" s="36" t="e">
        <f>SUMIFS($I$6:$I$165,$D$6:$D$165,AF49,CHOIX,AG49)</f>
        <v>#NAME?</v>
      </c>
      <c r="AJ49" s="36" t="e">
        <f>SUMIFS($J$6:$J$165,$D$6:$D$165,AF49,CHOIX,AG49)</f>
        <v>#NAME?</v>
      </c>
      <c r="AK49" s="36" t="e">
        <f>SUMIFS($K$6:$K$165,$D$6:$D$165,AF49,CHOIX,AG49)</f>
        <v>#NAME?</v>
      </c>
      <c r="AL49" s="36" t="e">
        <f>SUMIFS($L$6:$L$165,$D$6:$D$165,AF49,CHOIX,AG49)</f>
        <v>#NAME?</v>
      </c>
      <c r="AM49" s="36" t="e">
        <f>SUMIFS($M$6:$M$165,$D$6:$D$165,AF49,CHOIX,AG49)</f>
        <v>#NAME?</v>
      </c>
      <c r="AN49" s="91" t="s">
        <v>157</v>
      </c>
      <c r="AO49" s="83"/>
      <c r="AP49" s="63"/>
      <c r="AQ49" s="63"/>
      <c r="AR49" s="63"/>
      <c r="AS49" s="79"/>
      <c r="AT49" s="79"/>
      <c r="AU49" s="55" t="e">
        <f>SUMIFS($O$6:$O$165,$D$6:$D$165,AF49,CHOIX,AG49)</f>
        <v>#NAME?</v>
      </c>
      <c r="AV49" s="80" t="e">
        <f>SUMIFS($Q$6:$Q$165,$D$6:$D$165,AF49,CHOIX,AG49)</f>
        <v>#NAME?</v>
      </c>
      <c r="AZ49" s="8"/>
      <c r="BA49" s="148"/>
      <c r="BB49" s="148"/>
      <c r="BC49" s="148"/>
      <c r="BD49" s="10"/>
      <c r="BE49" s="10"/>
      <c r="BF49" s="10"/>
      <c r="BG49" s="10"/>
      <c r="BH49" s="10"/>
      <c r="BI49" s="10"/>
      <c r="BJ49" s="10"/>
      <c r="BK49" s="10"/>
      <c r="BL49" s="10"/>
      <c r="BM49" s="147">
        <f t="shared" si="8"/>
        <v>0</v>
      </c>
      <c r="BN49" s="147">
        <f t="shared" si="9"/>
        <v>0</v>
      </c>
      <c r="BO49" s="149"/>
      <c r="DN49" s="116" t="e">
        <f>(($I$5*#REF!)/100)+((#REF!*$J$5)/100)+(($K$5*#REF!)/100)+($L$5*#REF!)+($M$5*#REF!)</f>
        <v>#REF!</v>
      </c>
    </row>
    <row r="50" spans="2:118" x14ac:dyDescent="0.3">
      <c r="B50" s="64"/>
      <c r="C50" s="148"/>
      <c r="D50" s="109"/>
      <c r="E50" s="63"/>
      <c r="F50" s="127"/>
      <c r="G50" s="50"/>
      <c r="H50" s="10"/>
      <c r="I50" s="10"/>
      <c r="J50" s="10"/>
      <c r="K50" s="10"/>
      <c r="L50" s="10"/>
      <c r="M50" s="39"/>
      <c r="N50" s="33">
        <f t="shared" si="0"/>
        <v>0</v>
      </c>
      <c r="O50" s="52" t="b">
        <f>IF(AND(E50="CLIENT S+L",F50="HUILE"),(S50*3333.33+(VLOOKUP(H50,'BASE '!$I$112:$J$142,2,0)))-((S50*3333.33)*G50),IF(AND(E50="CLIENT S+L",F50="LAIT"),((S50*952.4)-(S50*952.4)*G50),IF(E50="CLIENT O","OFFERT",IF(AND(F50="HUILE",E50="CLIENT L"),(((VLOOKUP(H50,'BASE '!$I$112:$J$142,2,0))+(VLOOKUP(S50,'BASE '!#REF!,2,0)))),IF(AND(F50="LAIT",E50="CLIENT L"),(S50*952.4),IF(AND(F50="HUILE",E50="CLIENT D"),(S50*3809.53+(VLOOKUP(H50,'BASE '!$I$112:$J$142,2,0))),IF(AND(F50="LAIT",E50="CLIENT D"),(S50*952.4),IF(AND(F50="HUILE",E50="CLIENT S+D"),((S50*3809.53+(VLOOKUP(H50,'BASE '!$I$112:$J$142,2,0)))-((S50*3809.53)*G50)),IF(AND(F50="LAIT",E50="CLIENT S+D"),((S50*952.4)-((S50*952.4)*G50)),IF(AND(E50="CLIENT S",F50="LAIT"),((S50*952.4)-((S50*952.4)*G50)),IF(AND(F50="HUILE",E50="CLIENT S"),(VLOOKUP(H50,'BASE '!$I$112:$J$142,2,0)+(VLOOKUP(S50,'BASE '!#REF!,2,0)))-(G50*((VLOOKUP(S50,'BASE '!#REF!,2,0)+(VLOOKUP(H50,'BASE '!$I$112:$J$142,2,0))))))))))))))))</f>
        <v>0</v>
      </c>
      <c r="P50" s="52" t="b">
        <f t="shared" si="1"/>
        <v>0</v>
      </c>
      <c r="Q50" s="53" t="b">
        <f t="shared" si="2"/>
        <v>0</v>
      </c>
      <c r="R50" s="152" t="s">
        <v>175</v>
      </c>
      <c r="S50" s="184">
        <f t="shared" si="6"/>
        <v>0</v>
      </c>
      <c r="T50" s="124"/>
      <c r="U50" s="41" t="s">
        <v>175</v>
      </c>
      <c r="V50" s="70" t="e">
        <f>VLOOKUP(U50,'BASE '!$A$4:$H$144,2,0)</f>
        <v>#N/A</v>
      </c>
      <c r="W50" s="159"/>
      <c r="X50" s="159"/>
      <c r="Y50" s="160"/>
      <c r="Z50" s="158" t="e">
        <f>VLOOKUP(U50,'BASE '!$A$4:$H$144,3,0)</f>
        <v>#N/A</v>
      </c>
      <c r="AA50" s="94" t="e">
        <f t="shared" si="3"/>
        <v>#N/A</v>
      </c>
      <c r="AB50" s="95" t="e">
        <f>VLOOKUP(U50,'BASE '!$A$4:$H$144,6,0)*Y50/100</f>
        <v>#N/A</v>
      </c>
      <c r="AC50" s="95" t="e">
        <f>VLOOKUP(U50,'BASE '!$A$4:$H$144,7,0)*Y50/100</f>
        <v>#N/A</v>
      </c>
      <c r="AD50" s="95" t="e">
        <f>VLOOKUP(U50,'BASE '!$A$4:$H$144,8,0)*Y50/100</f>
        <v>#N/A</v>
      </c>
      <c r="AE50" s="96" t="e">
        <f t="shared" si="7"/>
        <v>#N/A</v>
      </c>
      <c r="AF50" s="431"/>
      <c r="AG50" s="1" t="s">
        <v>155</v>
      </c>
      <c r="AH50" s="36" t="e">
        <f>SUMIFS($H$6:$H$165,$D$6:$D$165,AF49,CHOIX,AG50)</f>
        <v>#NAME?</v>
      </c>
      <c r="AI50" s="36" t="e">
        <f>SUMIFS($I$6:$I$165,$D$6:$D$165,AF49,CHOIX,AG50)</f>
        <v>#NAME?</v>
      </c>
      <c r="AJ50" s="36" t="e">
        <f>SUMIFS($J$6:$J$165,$D$6:$D$165,AF49,CHOIX,AG50)</f>
        <v>#NAME?</v>
      </c>
      <c r="AK50" s="36" t="e">
        <f>SUMIFS($K$6:$K$165,$D$6:$D$165,AF49,CHOIX,AG50)</f>
        <v>#NAME?</v>
      </c>
      <c r="AL50" s="36" t="e">
        <f>SUMIFS($L$6:$L$165,$D$6:$D$165,AF49,CHOIX,AG50)</f>
        <v>#NAME?</v>
      </c>
      <c r="AM50" s="36" t="e">
        <f>SUMIFS($M$6:$M$165,$D$6:$D$165,AF49,CHOIX,AG50)</f>
        <v>#NAME?</v>
      </c>
      <c r="AN50" s="1" t="s">
        <v>155</v>
      </c>
      <c r="AO50" s="83"/>
      <c r="AP50" s="63"/>
      <c r="AQ50" s="63"/>
      <c r="AR50" s="63"/>
      <c r="AS50" s="79"/>
      <c r="AT50" s="79"/>
      <c r="AU50" s="55" t="e">
        <f>SUMIFS($O$6:$O$165,$D$6:$D$165,AF49,CHOIX,AG50)</f>
        <v>#NAME?</v>
      </c>
      <c r="AV50" s="80" t="e">
        <f>SUMIFS($Q$6:$Q$165,$D$6:$D$165,AF49,CHOIX,AG50)</f>
        <v>#NAME?</v>
      </c>
      <c r="AZ50" s="8"/>
      <c r="BA50" s="148"/>
      <c r="BB50" s="148"/>
      <c r="BC50" s="148"/>
      <c r="BD50" s="10"/>
      <c r="BE50" s="10"/>
      <c r="BF50" s="10"/>
      <c r="BG50" s="10"/>
      <c r="BH50" s="10"/>
      <c r="BI50" s="10"/>
      <c r="BJ50" s="10"/>
      <c r="BK50" s="10"/>
      <c r="BL50" s="10"/>
      <c r="BM50" s="147">
        <f t="shared" si="8"/>
        <v>0</v>
      </c>
      <c r="BN50" s="147">
        <f t="shared" si="9"/>
        <v>0</v>
      </c>
      <c r="BO50" s="149"/>
      <c r="DN50" s="116" t="e">
        <f>(($I$5*#REF!)/100)+((#REF!*$J$5)/100)+(($K$5*#REF!)/100)+($L$5*#REF!)+($M$5*#REF!)</f>
        <v>#REF!</v>
      </c>
    </row>
    <row r="51" spans="2:118" x14ac:dyDescent="0.3">
      <c r="B51" s="64"/>
      <c r="C51" s="148"/>
      <c r="D51" s="109"/>
      <c r="E51" s="63"/>
      <c r="F51" s="127"/>
      <c r="G51" s="50"/>
      <c r="H51" s="10"/>
      <c r="I51" s="10"/>
      <c r="J51" s="10"/>
      <c r="K51" s="10"/>
      <c r="L51" s="10"/>
      <c r="M51" s="39"/>
      <c r="N51" s="33">
        <f t="shared" si="0"/>
        <v>0</v>
      </c>
      <c r="O51" s="52" t="b">
        <f>IF(AND(E51="CLIENT S+L",F51="HUILE"),(S51*3333.33+(VLOOKUP(H51,'BASE '!$I$112:$J$142,2,0)))-((S51*3333.33)*G51),IF(AND(E51="CLIENT S+L",F51="LAIT"),((S51*952.4)-(S51*952.4)*G51),IF(E51="CLIENT O","OFFERT",IF(AND(F51="HUILE",E51="CLIENT L"),(((VLOOKUP(H51,'BASE '!$I$112:$J$142,2,0))+(VLOOKUP(S51,'BASE '!#REF!,2,0)))),IF(AND(F51="LAIT",E51="CLIENT L"),(S51*952.4),IF(AND(F51="HUILE",E51="CLIENT D"),(S51*3809.53+(VLOOKUP(H51,'BASE '!$I$112:$J$142,2,0))),IF(AND(F51="LAIT",E51="CLIENT D"),(S51*952.4),IF(AND(F51="HUILE",E51="CLIENT S+D"),((S51*3809.53+(VLOOKUP(H51,'BASE '!$I$112:$J$142,2,0)))-((S51*3809.53)*G51)),IF(AND(F51="LAIT",E51="CLIENT S+D"),((S51*952.4)-((S51*952.4)*G51)),IF(AND(E51="CLIENT S",F51="LAIT"),((S51*952.4)-((S51*952.4)*G51)),IF(AND(F51="HUILE",E51="CLIENT S"),(VLOOKUP(H51,'BASE '!$I$112:$J$142,2,0)+(VLOOKUP(S51,'BASE '!#REF!,2,0)))-(G51*((VLOOKUP(S51,'BASE '!#REF!,2,0)+(VLOOKUP(H51,'BASE '!$I$112:$J$142,2,0))))))))))))))))</f>
        <v>0</v>
      </c>
      <c r="P51" s="52" t="b">
        <f t="shared" si="1"/>
        <v>0</v>
      </c>
      <c r="Q51" s="53" t="b">
        <f t="shared" si="2"/>
        <v>0</v>
      </c>
      <c r="R51" s="152" t="s">
        <v>175</v>
      </c>
      <c r="S51" s="184">
        <f t="shared" si="6"/>
        <v>0</v>
      </c>
      <c r="T51" s="124"/>
      <c r="U51" s="41" t="s">
        <v>175</v>
      </c>
      <c r="V51" s="70" t="e">
        <f>VLOOKUP(U51,'BASE '!$A$4:$H$144,2,0)</f>
        <v>#N/A</v>
      </c>
      <c r="W51" s="159"/>
      <c r="X51" s="159"/>
      <c r="Y51" s="160"/>
      <c r="Z51" s="158" t="e">
        <f>VLOOKUP(U51,'BASE '!$A$4:$H$144,3,0)</f>
        <v>#N/A</v>
      </c>
      <c r="AA51" s="94" t="e">
        <f t="shared" si="3"/>
        <v>#N/A</v>
      </c>
      <c r="AB51" s="95" t="e">
        <f>VLOOKUP(U51,'BASE '!$A$4:$H$144,6,0)*Y51/100</f>
        <v>#N/A</v>
      </c>
      <c r="AC51" s="95" t="e">
        <f>VLOOKUP(U51,'BASE '!$A$4:$H$144,7,0)*Y51/100</f>
        <v>#N/A</v>
      </c>
      <c r="AD51" s="95" t="e">
        <f>VLOOKUP(U51,'BASE '!$A$4:$H$144,8,0)*Y51/100</f>
        <v>#N/A</v>
      </c>
      <c r="AE51" s="96" t="e">
        <f t="shared" si="7"/>
        <v>#N/A</v>
      </c>
      <c r="AF51" s="431"/>
      <c r="AG51" s="91" t="s">
        <v>157</v>
      </c>
      <c r="AH51" s="36" t="e">
        <f>SUMIFS($H$6:$H$165,$D$6:$D$165,AF51,CHOIX,AG51)</f>
        <v>#NAME?</v>
      </c>
      <c r="AI51" s="36" t="e">
        <f>SUMIFS($I$6:$I$165,$D$6:$D$165,AF51,CHOIX,AG51)</f>
        <v>#NAME?</v>
      </c>
      <c r="AJ51" s="36" t="e">
        <f>SUMIFS($J$6:$J$165,$D$6:$D$165,AF51,CHOIX,AG51)</f>
        <v>#NAME?</v>
      </c>
      <c r="AK51" s="36" t="e">
        <f>SUMIFS($K$6:$K$165,$D$6:$D$165,AF51,CHOIX,AG51)</f>
        <v>#NAME?</v>
      </c>
      <c r="AL51" s="36" t="e">
        <f>SUMIFS($L$6:$L$165,$D$6:$D$165,AF51,CHOIX,AG51)</f>
        <v>#NAME?</v>
      </c>
      <c r="AM51" s="36" t="e">
        <f>SUMIFS($M$6:$M$165,$D$6:$D$165,AF51,CHOIX,AG51)</f>
        <v>#NAME?</v>
      </c>
      <c r="AN51" s="91" t="s">
        <v>157</v>
      </c>
      <c r="AO51" s="83"/>
      <c r="AP51" s="63"/>
      <c r="AQ51" s="63"/>
      <c r="AR51" s="63"/>
      <c r="AS51" s="79"/>
      <c r="AT51" s="79"/>
      <c r="AU51" s="55" t="e">
        <f>SUMIFS($O$6:$O$165,$D$6:$D$165,AF51,CHOIX,AG51)</f>
        <v>#NAME?</v>
      </c>
      <c r="AV51" s="80" t="e">
        <f>SUMIFS($Q$6:$Q$165,$D$6:$D$165,AF51,CHOIX,AG51)</f>
        <v>#NAME?</v>
      </c>
      <c r="AZ51" s="8"/>
      <c r="BA51" s="148"/>
      <c r="BB51" s="148"/>
      <c r="BC51" s="148"/>
      <c r="BD51" s="10"/>
      <c r="BE51" s="10"/>
      <c r="BF51" s="10"/>
      <c r="BG51" s="10"/>
      <c r="BH51" s="10"/>
      <c r="BI51" s="10"/>
      <c r="BJ51" s="10"/>
      <c r="BK51" s="10"/>
      <c r="BL51" s="10"/>
      <c r="BM51" s="147">
        <f t="shared" si="8"/>
        <v>0</v>
      </c>
      <c r="BN51" s="147">
        <f t="shared" si="9"/>
        <v>0</v>
      </c>
      <c r="BO51" s="149"/>
      <c r="DN51" s="116" t="e">
        <f>(($I$5*#REF!)/100)+((#REF!*$J$5)/100)+(($K$5*#REF!)/100)+($L$5*#REF!)+($M$5*#REF!)</f>
        <v>#REF!</v>
      </c>
    </row>
    <row r="52" spans="2:118" x14ac:dyDescent="0.3">
      <c r="B52" s="64"/>
      <c r="C52" s="148"/>
      <c r="D52" s="109"/>
      <c r="E52" s="63"/>
      <c r="F52" s="127"/>
      <c r="G52" s="50"/>
      <c r="H52" s="10"/>
      <c r="I52" s="10"/>
      <c r="J52" s="10"/>
      <c r="K52" s="10"/>
      <c r="L52" s="10"/>
      <c r="M52" s="39"/>
      <c r="N52" s="33">
        <f t="shared" si="0"/>
        <v>0</v>
      </c>
      <c r="O52" s="52" t="b">
        <f>IF(AND(E52="CLIENT S+L",F52="HUILE"),(S52*3333.33+(VLOOKUP(H52,'BASE '!$I$112:$J$142,2,0)))-((S52*3333.33)*G52),IF(AND(E52="CLIENT S+L",F52="LAIT"),((S52*952.4)-(S52*952.4)*G52),IF(E52="CLIENT O","OFFERT",IF(AND(F52="HUILE",E52="CLIENT L"),(((VLOOKUP(H52,'BASE '!$I$112:$J$142,2,0))+(VLOOKUP(S52,'BASE '!#REF!,2,0)))),IF(AND(F52="LAIT",E52="CLIENT L"),(S52*952.4),IF(AND(F52="HUILE",E52="CLIENT D"),(S52*3809.53+(VLOOKUP(H52,'BASE '!$I$112:$J$142,2,0))),IF(AND(F52="LAIT",E52="CLIENT D"),(S52*952.4),IF(AND(F52="HUILE",E52="CLIENT S+D"),((S52*3809.53+(VLOOKUP(H52,'BASE '!$I$112:$J$142,2,0)))-((S52*3809.53)*G52)),IF(AND(F52="LAIT",E52="CLIENT S+D"),((S52*952.4)-((S52*952.4)*G52)),IF(AND(E52="CLIENT S",F52="LAIT"),((S52*952.4)-((S52*952.4)*G52)),IF(AND(F52="HUILE",E52="CLIENT S"),(VLOOKUP(H52,'BASE '!$I$112:$J$142,2,0)+(VLOOKUP(S52,'BASE '!#REF!,2,0)))-(G52*((VLOOKUP(S52,'BASE '!#REF!,2,0)+(VLOOKUP(H52,'BASE '!$I$112:$J$142,2,0))))))))))))))))</f>
        <v>0</v>
      </c>
      <c r="P52" s="52" t="b">
        <f t="shared" si="1"/>
        <v>0</v>
      </c>
      <c r="Q52" s="53" t="b">
        <f t="shared" si="2"/>
        <v>0</v>
      </c>
      <c r="R52" s="152" t="s">
        <v>175</v>
      </c>
      <c r="S52" s="184">
        <f t="shared" si="6"/>
        <v>0</v>
      </c>
      <c r="T52" s="124"/>
      <c r="U52" s="41" t="s">
        <v>175</v>
      </c>
      <c r="V52" s="70" t="e">
        <f>VLOOKUP(U52,'BASE '!$A$4:$H$144,2,0)</f>
        <v>#N/A</v>
      </c>
      <c r="W52" s="159"/>
      <c r="X52" s="159"/>
      <c r="Y52" s="160"/>
      <c r="Z52" s="158" t="e">
        <f>VLOOKUP(U52,'BASE '!$A$4:$H$144,3,0)</f>
        <v>#N/A</v>
      </c>
      <c r="AA52" s="94" t="e">
        <f t="shared" si="3"/>
        <v>#N/A</v>
      </c>
      <c r="AB52" s="95" t="e">
        <f>VLOOKUP(U52,'BASE '!$A$4:$H$144,6,0)*Y52/100</f>
        <v>#N/A</v>
      </c>
      <c r="AC52" s="95" t="e">
        <f>VLOOKUP(U52,'BASE '!$A$4:$H$144,7,0)*Y52/100</f>
        <v>#N/A</v>
      </c>
      <c r="AD52" s="95" t="e">
        <f>VLOOKUP(U52,'BASE '!$A$4:$H$144,8,0)*Y52/100</f>
        <v>#N/A</v>
      </c>
      <c r="AE52" s="96" t="e">
        <f t="shared" si="7"/>
        <v>#N/A</v>
      </c>
      <c r="AF52" s="431"/>
      <c r="AG52" s="1" t="s">
        <v>155</v>
      </c>
      <c r="AH52" s="36" t="e">
        <f>SUMIFS($H$6:$H$165,$D$6:$D$165,AF51,CHOIX,AG52)</f>
        <v>#NAME?</v>
      </c>
      <c r="AI52" s="36" t="e">
        <f>SUMIFS($I$6:$I$165,$D$6:$D$165,AF51,CHOIX,AG52)</f>
        <v>#NAME?</v>
      </c>
      <c r="AJ52" s="36" t="e">
        <f>SUMIFS($J$6:$J$165,$D$6:$D$165,AF51,CHOIX,AG52)</f>
        <v>#NAME?</v>
      </c>
      <c r="AK52" s="36" t="e">
        <f>SUMIFS($K$6:$K$165,$D$6:$D$165,AF51,CHOIX,AG52)</f>
        <v>#NAME?</v>
      </c>
      <c r="AL52" s="36" t="e">
        <f>SUMIFS($L$6:$L$165,$D$6:$D$165,AF51,CHOIX,AG52)</f>
        <v>#NAME?</v>
      </c>
      <c r="AM52" s="36" t="e">
        <f>SUMIFS($M$6:$M$165,$D$6:$D$165,AF51,CHOIX,AG52)</f>
        <v>#NAME?</v>
      </c>
      <c r="AN52" s="1" t="s">
        <v>155</v>
      </c>
      <c r="AO52" s="83"/>
      <c r="AP52" s="63"/>
      <c r="AQ52" s="63"/>
      <c r="AR52" s="63"/>
      <c r="AS52" s="79"/>
      <c r="AT52" s="79"/>
      <c r="AU52" s="55" t="e">
        <f>SUMIFS($O$6:$O$165,$D$6:$D$165,AF51,CHOIX,AG52)</f>
        <v>#NAME?</v>
      </c>
      <c r="AV52" s="80" t="e">
        <f>SUMIFS($Q$6:$Q$165,$D$6:$D$165,AF51,CHOIX,AG52)</f>
        <v>#NAME?</v>
      </c>
      <c r="AZ52" s="8"/>
      <c r="BA52" s="148"/>
      <c r="BB52" s="148"/>
      <c r="BC52" s="148"/>
      <c r="BD52" s="10"/>
      <c r="BE52" s="10"/>
      <c r="BF52" s="10"/>
      <c r="BG52" s="10"/>
      <c r="BH52" s="10"/>
      <c r="BI52" s="10"/>
      <c r="BJ52" s="10"/>
      <c r="BK52" s="10"/>
      <c r="BL52" s="10"/>
      <c r="BM52" s="147">
        <f t="shared" si="8"/>
        <v>0</v>
      </c>
      <c r="BN52" s="147">
        <f t="shared" si="9"/>
        <v>0</v>
      </c>
      <c r="BO52" s="149"/>
      <c r="DN52" s="116" t="e">
        <f>(($I$5*#REF!)/100)+((#REF!*$J$5)/100)+(($K$5*#REF!)/100)+($L$5*#REF!)+($M$5*#REF!)</f>
        <v>#REF!</v>
      </c>
    </row>
    <row r="53" spans="2:118" x14ac:dyDescent="0.3">
      <c r="B53" s="64"/>
      <c r="C53" s="148"/>
      <c r="D53" s="109"/>
      <c r="E53" s="63"/>
      <c r="F53" s="127"/>
      <c r="G53" s="50"/>
      <c r="H53" s="10"/>
      <c r="I53" s="10"/>
      <c r="J53" s="10"/>
      <c r="K53" s="10"/>
      <c r="L53" s="10"/>
      <c r="M53" s="39"/>
      <c r="N53" s="33">
        <f t="shared" si="0"/>
        <v>0</v>
      </c>
      <c r="O53" s="52" t="b">
        <f>IF(AND(E53="CLIENT S+L",F53="HUILE"),(S53*3333.33+(VLOOKUP(H53,'BASE '!$I$112:$J$142,2,0)))-((S53*3333.33)*G53),IF(AND(E53="CLIENT S+L",F53="LAIT"),((S53*952.4)-(S53*952.4)*G53),IF(E53="CLIENT O","OFFERT",IF(AND(F53="HUILE",E53="CLIENT L"),(((VLOOKUP(H53,'BASE '!$I$112:$J$142,2,0))+(VLOOKUP(S53,'BASE '!#REF!,2,0)))),IF(AND(F53="LAIT",E53="CLIENT L"),(S53*952.4),IF(AND(F53="HUILE",E53="CLIENT D"),(S53*3809.53+(VLOOKUP(H53,'BASE '!$I$112:$J$142,2,0))),IF(AND(F53="LAIT",E53="CLIENT D"),(S53*952.4),IF(AND(F53="HUILE",E53="CLIENT S+D"),((S53*3809.53+(VLOOKUP(H53,'BASE '!$I$112:$J$142,2,0)))-((S53*3809.53)*G53)),IF(AND(F53="LAIT",E53="CLIENT S+D"),((S53*952.4)-((S53*952.4)*G53)),IF(AND(E53="CLIENT S",F53="LAIT"),((S53*952.4)-((S53*952.4)*G53)),IF(AND(F53="HUILE",E53="CLIENT S"),(VLOOKUP(H53,'BASE '!$I$112:$J$142,2,0)+(VLOOKUP(S53,'BASE '!#REF!,2,0)))-(G53*((VLOOKUP(S53,'BASE '!#REF!,2,0)+(VLOOKUP(H53,'BASE '!$I$112:$J$142,2,0))))))))))))))))</f>
        <v>0</v>
      </c>
      <c r="P53" s="52" t="b">
        <f t="shared" si="1"/>
        <v>0</v>
      </c>
      <c r="Q53" s="53" t="b">
        <f t="shared" si="2"/>
        <v>0</v>
      </c>
      <c r="R53" s="152" t="s">
        <v>175</v>
      </c>
      <c r="S53" s="184">
        <f t="shared" si="6"/>
        <v>0</v>
      </c>
      <c r="T53" s="124"/>
      <c r="U53" s="41" t="s">
        <v>175</v>
      </c>
      <c r="V53" s="70" t="e">
        <f>VLOOKUP(U53,'BASE '!$A$4:$H$144,2,0)</f>
        <v>#N/A</v>
      </c>
      <c r="W53" s="159"/>
      <c r="X53" s="159"/>
      <c r="Y53" s="160"/>
      <c r="Z53" s="158" t="e">
        <f>VLOOKUP(U53,'BASE '!$A$4:$H$144,3,0)</f>
        <v>#N/A</v>
      </c>
      <c r="AA53" s="94" t="e">
        <f t="shared" si="3"/>
        <v>#N/A</v>
      </c>
      <c r="AB53" s="95" t="e">
        <f>VLOOKUP(U53,'BASE '!$A$4:$H$144,6,0)*Y53/100</f>
        <v>#N/A</v>
      </c>
      <c r="AC53" s="95" t="e">
        <f>VLOOKUP(U53,'BASE '!$A$4:$H$144,7,0)*Y53/100</f>
        <v>#N/A</v>
      </c>
      <c r="AD53" s="95" t="e">
        <f>VLOOKUP(U53,'BASE '!$A$4:$H$144,8,0)*Y53/100</f>
        <v>#N/A</v>
      </c>
      <c r="AE53" s="96" t="e">
        <f t="shared" si="7"/>
        <v>#N/A</v>
      </c>
      <c r="AF53" s="431"/>
      <c r="AG53" s="91" t="s">
        <v>157</v>
      </c>
      <c r="AH53" s="36" t="e">
        <f>SUMIFS($H$6:$H$165,$D$6:$D$165,AF53,CHOIX,AG53)</f>
        <v>#NAME?</v>
      </c>
      <c r="AI53" s="36" t="e">
        <f>SUMIFS($I$6:$I$165,$D$6:$D$165,AF53,CHOIX,AG53)</f>
        <v>#NAME?</v>
      </c>
      <c r="AJ53" s="36" t="e">
        <f>SUMIFS($J$6:$J$165,$D$6:$D$165,AF53,CHOIX,AG53)</f>
        <v>#NAME?</v>
      </c>
      <c r="AK53" s="36" t="e">
        <f>SUMIFS($K$6:$K$165,$D$6:$D$165,AF53,CHOIX,AG53)</f>
        <v>#NAME?</v>
      </c>
      <c r="AL53" s="36" t="e">
        <f>SUMIFS($L$6:$L$165,$D$6:$D$165,AF53,CHOIX,AG53)</f>
        <v>#NAME?</v>
      </c>
      <c r="AM53" s="36" t="e">
        <f>SUMIFS($M$6:$M$165,$D$6:$D$165,AF53,CHOIX,AG53)</f>
        <v>#NAME?</v>
      </c>
      <c r="AN53" s="91" t="s">
        <v>157</v>
      </c>
      <c r="AO53" s="83"/>
      <c r="AP53" s="63"/>
      <c r="AQ53" s="63"/>
      <c r="AR53" s="63"/>
      <c r="AS53" s="79"/>
      <c r="AT53" s="79"/>
      <c r="AU53" s="55" t="e">
        <f>SUMIFS($O$6:$O$165,$D$6:$D$165,AF53,CHOIX,AG53)</f>
        <v>#NAME?</v>
      </c>
      <c r="AV53" s="80" t="e">
        <f>SUMIFS($Q$6:$Q$165,$D$6:$D$165,AF53,CHOIX,AG53)</f>
        <v>#NAME?</v>
      </c>
      <c r="AZ53" s="8"/>
      <c r="BA53" s="148"/>
      <c r="BB53" s="148"/>
      <c r="BC53" s="148"/>
      <c r="BD53" s="10"/>
      <c r="BE53" s="10"/>
      <c r="BF53" s="10"/>
      <c r="BG53" s="10"/>
      <c r="BH53" s="10"/>
      <c r="BI53" s="10"/>
      <c r="BJ53" s="10"/>
      <c r="BK53" s="10"/>
      <c r="BL53" s="10"/>
      <c r="BM53" s="147">
        <f t="shared" si="8"/>
        <v>0</v>
      </c>
      <c r="BN53" s="147">
        <f t="shared" si="9"/>
        <v>0</v>
      </c>
      <c r="BO53" s="149"/>
      <c r="DN53" s="116" t="e">
        <f>(($I$5*#REF!)/100)+((#REF!*$J$5)/100)+(($K$5*#REF!)/100)+($L$5*#REF!)+($M$5*#REF!)</f>
        <v>#REF!</v>
      </c>
    </row>
    <row r="54" spans="2:118" x14ac:dyDescent="0.3">
      <c r="B54" s="64"/>
      <c r="C54" s="148"/>
      <c r="D54" s="109"/>
      <c r="E54" s="63"/>
      <c r="F54" s="127"/>
      <c r="G54" s="50"/>
      <c r="H54" s="10"/>
      <c r="I54" s="10"/>
      <c r="J54" s="10"/>
      <c r="K54" s="10"/>
      <c r="L54" s="10"/>
      <c r="M54" s="39"/>
      <c r="N54" s="33">
        <f t="shared" si="0"/>
        <v>0</v>
      </c>
      <c r="O54" s="52" t="b">
        <f>IF(AND(E54="CLIENT S+L",F54="HUILE"),(S54*3333.33+(VLOOKUP(H54,'BASE '!$I$112:$J$142,2,0)))-((S54*3333.33)*G54),IF(AND(E54="CLIENT S+L",F54="LAIT"),((S54*952.4)-(S54*952.4)*G54),IF(E54="CLIENT O","OFFERT",IF(AND(F54="HUILE",E54="CLIENT L"),(((VLOOKUP(H54,'BASE '!$I$112:$J$142,2,0))+(VLOOKUP(S54,'BASE '!#REF!,2,0)))),IF(AND(F54="LAIT",E54="CLIENT L"),(S54*952.4),IF(AND(F54="HUILE",E54="CLIENT D"),(S54*3809.53+(VLOOKUP(H54,'BASE '!$I$112:$J$142,2,0))),IF(AND(F54="LAIT",E54="CLIENT D"),(S54*952.4),IF(AND(F54="HUILE",E54="CLIENT S+D"),((S54*3809.53+(VLOOKUP(H54,'BASE '!$I$112:$J$142,2,0)))-((S54*3809.53)*G54)),IF(AND(F54="LAIT",E54="CLIENT S+D"),((S54*952.4)-((S54*952.4)*G54)),IF(AND(E54="CLIENT S",F54="LAIT"),((S54*952.4)-((S54*952.4)*G54)),IF(AND(F54="HUILE",E54="CLIENT S"),(VLOOKUP(H54,'BASE '!$I$112:$J$142,2,0)+(VLOOKUP(S54,'BASE '!#REF!,2,0)))-(G54*((VLOOKUP(S54,'BASE '!#REF!,2,0)+(VLOOKUP(H54,'BASE '!$I$112:$J$142,2,0))))))))))))))))</f>
        <v>0</v>
      </c>
      <c r="P54" s="52" t="b">
        <f t="shared" si="1"/>
        <v>0</v>
      </c>
      <c r="Q54" s="53" t="b">
        <f t="shared" si="2"/>
        <v>0</v>
      </c>
      <c r="R54" s="152" t="s">
        <v>175</v>
      </c>
      <c r="S54" s="184">
        <f t="shared" si="6"/>
        <v>0</v>
      </c>
      <c r="T54" s="124"/>
      <c r="U54" s="41" t="s">
        <v>175</v>
      </c>
      <c r="V54" s="70" t="e">
        <f>VLOOKUP(U54,'BASE '!$A$4:$H$144,2,0)</f>
        <v>#N/A</v>
      </c>
      <c r="W54" s="159"/>
      <c r="X54" s="159"/>
      <c r="Y54" s="160"/>
      <c r="Z54" s="158" t="e">
        <f>VLOOKUP(U54,'BASE '!$A$4:$H$144,3,0)</f>
        <v>#N/A</v>
      </c>
      <c r="AA54" s="94" t="e">
        <f t="shared" si="3"/>
        <v>#N/A</v>
      </c>
      <c r="AB54" s="95" t="e">
        <f>VLOOKUP(U54,'BASE '!$A$4:$H$144,6,0)*Y54/100</f>
        <v>#N/A</v>
      </c>
      <c r="AC54" s="95" t="e">
        <f>VLOOKUP(U54,'BASE '!$A$4:$H$144,7,0)*Y54/100</f>
        <v>#N/A</v>
      </c>
      <c r="AD54" s="95" t="e">
        <f>VLOOKUP(U54,'BASE '!$A$4:$H$144,8,0)*Y54/100</f>
        <v>#N/A</v>
      </c>
      <c r="AE54" s="96" t="e">
        <f t="shared" si="7"/>
        <v>#N/A</v>
      </c>
      <c r="AF54" s="431"/>
      <c r="AG54" s="1" t="s">
        <v>155</v>
      </c>
      <c r="AH54" s="36" t="e">
        <f>SUMIFS($H$6:$H$165,$D$6:$D$165,AF53,CHOIX,AG54)</f>
        <v>#NAME?</v>
      </c>
      <c r="AI54" s="36" t="e">
        <f>SUMIFS($I$6:$I$165,$D$6:$D$165,AF53,CHOIX,AG54)</f>
        <v>#NAME?</v>
      </c>
      <c r="AJ54" s="36" t="e">
        <f>SUMIFS($J$6:$J$165,$D$6:$D$165,AF53,CHOIX,AG54)</f>
        <v>#NAME?</v>
      </c>
      <c r="AK54" s="36" t="e">
        <f>SUMIFS($K$6:$K$165,$D$6:$D$165,AF53,CHOIX,AG54)</f>
        <v>#NAME?</v>
      </c>
      <c r="AL54" s="36" t="e">
        <f>SUMIFS($L$6:$L$165,$D$6:$D$165,AF53,CHOIX,AG54)</f>
        <v>#NAME?</v>
      </c>
      <c r="AM54" s="36" t="e">
        <f>SUMIFS($M$6:$M$165,$D$6:$D$165,AF53,CHOIX,AG54)</f>
        <v>#NAME?</v>
      </c>
      <c r="AN54" s="1" t="s">
        <v>155</v>
      </c>
      <c r="AO54" s="83"/>
      <c r="AP54" s="63"/>
      <c r="AQ54" s="63"/>
      <c r="AR54" s="63"/>
      <c r="AS54" s="79"/>
      <c r="AT54" s="79"/>
      <c r="AU54" s="55" t="e">
        <f>SUMIFS($O$6:$O$165,$D$6:$D$165,AF53,CHOIX,AG54)</f>
        <v>#NAME?</v>
      </c>
      <c r="AV54" s="80" t="e">
        <f>SUMIFS($Q$6:$Q$165,$D$6:$D$165,AF53,CHOIX,AG54)</f>
        <v>#NAME?</v>
      </c>
      <c r="AZ54" s="8"/>
      <c r="BA54" s="148"/>
      <c r="BB54" s="148"/>
      <c r="BC54" s="148"/>
      <c r="BD54" s="10"/>
      <c r="BE54" s="10"/>
      <c r="BF54" s="10"/>
      <c r="BG54" s="10"/>
      <c r="BH54" s="10"/>
      <c r="BI54" s="10"/>
      <c r="BJ54" s="10"/>
      <c r="BK54" s="10"/>
      <c r="BL54" s="10"/>
      <c r="BM54" s="147">
        <f t="shared" si="8"/>
        <v>0</v>
      </c>
      <c r="BN54" s="147">
        <f t="shared" si="9"/>
        <v>0</v>
      </c>
      <c r="BO54" s="149"/>
      <c r="DN54" s="116" t="e">
        <f>(($I$5*#REF!)/100)+((#REF!*$J$5)/100)+(($K$5*#REF!)/100)+($L$5*#REF!)+($M$5*#REF!)</f>
        <v>#REF!</v>
      </c>
    </row>
    <row r="55" spans="2:118" x14ac:dyDescent="0.3">
      <c r="B55" s="64"/>
      <c r="C55" s="148"/>
      <c r="D55" s="109"/>
      <c r="E55" s="63"/>
      <c r="F55" s="127"/>
      <c r="G55" s="50"/>
      <c r="H55" s="10"/>
      <c r="I55" s="10"/>
      <c r="J55" s="10"/>
      <c r="K55" s="10"/>
      <c r="L55" s="10"/>
      <c r="M55" s="39"/>
      <c r="N55" s="33">
        <f t="shared" si="0"/>
        <v>0</v>
      </c>
      <c r="O55" s="52" t="b">
        <f>IF(AND(E55="CLIENT S+L",F55="HUILE"),(S55*3333.33+(VLOOKUP(H55,'BASE '!$I$112:$J$142,2,0)))-((S55*3333.33)*G55),IF(AND(E55="CLIENT S+L",F55="LAIT"),((S55*952.4)-(S55*952.4)*G55),IF(E55="CLIENT O","OFFERT",IF(AND(F55="HUILE",E55="CLIENT L"),(((VLOOKUP(H55,'BASE '!$I$112:$J$142,2,0))+(VLOOKUP(S55,'BASE '!#REF!,2,0)))),IF(AND(F55="LAIT",E55="CLIENT L"),(S55*952.4),IF(AND(F55="HUILE",E55="CLIENT D"),(S55*3809.53+(VLOOKUP(H55,'BASE '!$I$112:$J$142,2,0))),IF(AND(F55="LAIT",E55="CLIENT D"),(S55*952.4),IF(AND(F55="HUILE",E55="CLIENT S+D"),((S55*3809.53+(VLOOKUP(H55,'BASE '!$I$112:$J$142,2,0)))-((S55*3809.53)*G55)),IF(AND(F55="LAIT",E55="CLIENT S+D"),((S55*952.4)-((S55*952.4)*G55)),IF(AND(E55="CLIENT S",F55="LAIT"),((S55*952.4)-((S55*952.4)*G55)),IF(AND(F55="HUILE",E55="CLIENT S"),(VLOOKUP(H55,'BASE '!$I$112:$J$142,2,0)+(VLOOKUP(S55,'BASE '!#REF!,2,0)))-(G55*((VLOOKUP(S55,'BASE '!#REF!,2,0)+(VLOOKUP(H55,'BASE '!$I$112:$J$142,2,0))))))))))))))))</f>
        <v>0</v>
      </c>
      <c r="P55" s="52" t="b">
        <f t="shared" si="1"/>
        <v>0</v>
      </c>
      <c r="Q55" s="53" t="b">
        <f t="shared" si="2"/>
        <v>0</v>
      </c>
      <c r="R55" s="152" t="s">
        <v>175</v>
      </c>
      <c r="S55" s="184">
        <f t="shared" si="6"/>
        <v>0</v>
      </c>
      <c r="T55" s="124"/>
      <c r="U55" s="41" t="s">
        <v>175</v>
      </c>
      <c r="V55" s="70" t="e">
        <f>VLOOKUP(U55,'BASE '!$A$4:$H$144,2,0)</f>
        <v>#N/A</v>
      </c>
      <c r="W55" s="159"/>
      <c r="X55" s="159"/>
      <c r="Y55" s="160"/>
      <c r="Z55" s="158" t="e">
        <f>VLOOKUP(U55,'BASE '!$A$4:$H$144,3,0)</f>
        <v>#N/A</v>
      </c>
      <c r="AA55" s="94" t="e">
        <f t="shared" si="3"/>
        <v>#N/A</v>
      </c>
      <c r="AB55" s="95" t="e">
        <f>VLOOKUP(U55,'BASE '!$A$4:$H$144,6,0)*Y55/100</f>
        <v>#N/A</v>
      </c>
      <c r="AC55" s="95" t="e">
        <f>VLOOKUP(U55,'BASE '!$A$4:$H$144,7,0)*Y55/100</f>
        <v>#N/A</v>
      </c>
      <c r="AD55" s="95" t="e">
        <f>VLOOKUP(U55,'BASE '!$A$4:$H$144,8,0)*Y55/100</f>
        <v>#N/A</v>
      </c>
      <c r="AE55" s="96" t="e">
        <f t="shared" si="7"/>
        <v>#N/A</v>
      </c>
      <c r="AF55" s="431"/>
      <c r="AG55" s="91" t="s">
        <v>157</v>
      </c>
      <c r="AH55" s="36" t="e">
        <f>SUMIFS($H$6:$H$165,$D$6:$D$165,AF55,CHOIX,AG55)</f>
        <v>#NAME?</v>
      </c>
      <c r="AI55" s="36" t="e">
        <f>SUMIFS($I$6:$I$165,$D$6:$D$165,AF55,CHOIX,AG55)</f>
        <v>#NAME?</v>
      </c>
      <c r="AJ55" s="36" t="e">
        <f>SUMIFS($J$6:$J$165,$D$6:$D$165,AF55,CHOIX,AG55)</f>
        <v>#NAME?</v>
      </c>
      <c r="AK55" s="36" t="e">
        <f>SUMIFS($K$6:$K$165,$D$6:$D$165,AF55,CHOIX,AG55)</f>
        <v>#NAME?</v>
      </c>
      <c r="AL55" s="36" t="e">
        <f>SUMIFS($L$6:$L$165,$D$6:$D$165,AF55,CHOIX,AG55)</f>
        <v>#NAME?</v>
      </c>
      <c r="AM55" s="36" t="e">
        <f>SUMIFS($M$6:$M$165,$D$6:$D$165,AF55,CHOIX,AG55)</f>
        <v>#NAME?</v>
      </c>
      <c r="AN55" s="91" t="s">
        <v>157</v>
      </c>
      <c r="AO55" s="83"/>
      <c r="AP55" s="63"/>
      <c r="AQ55" s="63"/>
      <c r="AR55" s="63"/>
      <c r="AS55" s="79"/>
      <c r="AT55" s="79"/>
      <c r="AU55" s="55" t="e">
        <f>SUMIFS($O$6:$O$165,$D$6:$D$165,AF55,CHOIX,AG55)</f>
        <v>#NAME?</v>
      </c>
      <c r="AV55" s="80" t="e">
        <f>SUMIFS($Q$6:$Q$165,$D$6:$D$165,AF55,CHOIX,AG55)</f>
        <v>#NAME?</v>
      </c>
      <c r="AZ55" s="8"/>
      <c r="BA55" s="148"/>
      <c r="BB55" s="148"/>
      <c r="BC55" s="148"/>
      <c r="BD55" s="10"/>
      <c r="BE55" s="10"/>
      <c r="BF55" s="10"/>
      <c r="BG55" s="10"/>
      <c r="BH55" s="10"/>
      <c r="BI55" s="10"/>
      <c r="BJ55" s="10"/>
      <c r="BK55" s="10"/>
      <c r="BL55" s="10"/>
      <c r="BM55" s="147">
        <f t="shared" si="8"/>
        <v>0</v>
      </c>
      <c r="BN55" s="147">
        <f t="shared" si="9"/>
        <v>0</v>
      </c>
      <c r="BO55" s="149"/>
      <c r="DN55" s="116" t="e">
        <f>(($I$5*#REF!)/100)+((#REF!*$J$5)/100)+(($K$5*#REF!)/100)+($L$5*#REF!)+($M$5*#REF!)</f>
        <v>#REF!</v>
      </c>
    </row>
    <row r="56" spans="2:118" x14ac:dyDescent="0.3">
      <c r="B56" s="64"/>
      <c r="C56" s="148"/>
      <c r="D56" s="109"/>
      <c r="E56" s="63"/>
      <c r="F56" s="127"/>
      <c r="G56" s="50"/>
      <c r="H56" s="10"/>
      <c r="I56" s="10"/>
      <c r="J56" s="10"/>
      <c r="K56" s="10"/>
      <c r="L56" s="10"/>
      <c r="M56" s="39"/>
      <c r="N56" s="33">
        <f t="shared" si="0"/>
        <v>0</v>
      </c>
      <c r="O56" s="52" t="b">
        <f>IF(AND(E56="CLIENT S+L",F56="HUILE"),(S56*3333.33+(VLOOKUP(H56,'BASE '!$I$112:$J$142,2,0)))-((S56*3333.33)*G56),IF(AND(E56="CLIENT S+L",F56="LAIT"),((S56*952.4)-(S56*952.4)*G56),IF(E56="CLIENT O","OFFERT",IF(AND(F56="HUILE",E56="CLIENT L"),(((VLOOKUP(H56,'BASE '!$I$112:$J$142,2,0))+(VLOOKUP(S56,'BASE '!#REF!,2,0)))),IF(AND(F56="LAIT",E56="CLIENT L"),(S56*952.4),IF(AND(F56="HUILE",E56="CLIENT D"),(S56*3809.53+(VLOOKUP(H56,'BASE '!$I$112:$J$142,2,0))),IF(AND(F56="LAIT",E56="CLIENT D"),(S56*952.4),IF(AND(F56="HUILE",E56="CLIENT S+D"),((S56*3809.53+(VLOOKUP(H56,'BASE '!$I$112:$J$142,2,0)))-((S56*3809.53)*G56)),IF(AND(F56="LAIT",E56="CLIENT S+D"),((S56*952.4)-((S56*952.4)*G56)),IF(AND(E56="CLIENT S",F56="LAIT"),((S56*952.4)-((S56*952.4)*G56)),IF(AND(F56="HUILE",E56="CLIENT S"),(VLOOKUP(H56,'BASE '!$I$112:$J$142,2,0)+(VLOOKUP(S56,'BASE '!#REF!,2,0)))-(G56*((VLOOKUP(S56,'BASE '!#REF!,2,0)+(VLOOKUP(H56,'BASE '!$I$112:$J$142,2,0))))))))))))))))</f>
        <v>0</v>
      </c>
      <c r="P56" s="52" t="b">
        <f t="shared" si="1"/>
        <v>0</v>
      </c>
      <c r="Q56" s="53" t="b">
        <f t="shared" si="2"/>
        <v>0</v>
      </c>
      <c r="R56" s="152" t="s">
        <v>175</v>
      </c>
      <c r="S56" s="184">
        <f t="shared" si="6"/>
        <v>0</v>
      </c>
      <c r="T56" s="124"/>
      <c r="U56" s="41" t="s">
        <v>175</v>
      </c>
      <c r="V56" s="70" t="e">
        <f>VLOOKUP(U56,'BASE '!$A$4:$H$144,2,0)</f>
        <v>#N/A</v>
      </c>
      <c r="W56" s="159"/>
      <c r="X56" s="159"/>
      <c r="Y56" s="160"/>
      <c r="Z56" s="158" t="e">
        <f>VLOOKUP(U56,'BASE '!$A$4:$H$144,3,0)</f>
        <v>#N/A</v>
      </c>
      <c r="AA56" s="94" t="e">
        <f t="shared" si="3"/>
        <v>#N/A</v>
      </c>
      <c r="AB56" s="95" t="e">
        <f>VLOOKUP(U56,'BASE '!$A$4:$H$144,6,0)*Y56/100</f>
        <v>#N/A</v>
      </c>
      <c r="AC56" s="95" t="e">
        <f>VLOOKUP(U56,'BASE '!$A$4:$H$144,7,0)*Y56/100</f>
        <v>#N/A</v>
      </c>
      <c r="AD56" s="95" t="e">
        <f>VLOOKUP(U56,'BASE '!$A$4:$H$144,8,0)*Y56/100</f>
        <v>#N/A</v>
      </c>
      <c r="AE56" s="96" t="e">
        <f t="shared" si="7"/>
        <v>#N/A</v>
      </c>
      <c r="AF56" s="431"/>
      <c r="AG56" s="1" t="s">
        <v>155</v>
      </c>
      <c r="AH56" s="36" t="e">
        <f>SUMIFS($H$6:$H$165,$D$6:$D$165,AF55,CHOIX,AG56)</f>
        <v>#NAME?</v>
      </c>
      <c r="AI56" s="36" t="e">
        <f>SUMIFS($I$6:$I$165,$D$6:$D$165,AF55,CHOIX,AG56)</f>
        <v>#NAME?</v>
      </c>
      <c r="AJ56" s="36" t="e">
        <f>SUMIFS($J$6:$J$165,$D$6:$D$165,AF55,CHOIX,AG56)</f>
        <v>#NAME?</v>
      </c>
      <c r="AK56" s="36" t="e">
        <f>SUMIFS($K$6:$K$165,$D$6:$D$165,AF55,CHOIX,AG56)</f>
        <v>#NAME?</v>
      </c>
      <c r="AL56" s="36" t="e">
        <f>SUMIFS($L$6:$L$165,$D$6:$D$165,AF55,CHOIX,AG56)</f>
        <v>#NAME?</v>
      </c>
      <c r="AM56" s="36" t="e">
        <f>SUMIFS($M$6:$M$165,$D$6:$D$165,AF55,CHOIX,AG56)</f>
        <v>#NAME?</v>
      </c>
      <c r="AN56" s="1" t="s">
        <v>155</v>
      </c>
      <c r="AO56" s="83"/>
      <c r="AP56" s="63"/>
      <c r="AQ56" s="63"/>
      <c r="AR56" s="63"/>
      <c r="AS56" s="79"/>
      <c r="AT56" s="79"/>
      <c r="AU56" s="55" t="e">
        <f>SUMIFS($O$6:$O$165,$D$6:$D$165,AF55,CHOIX,AG56)</f>
        <v>#NAME?</v>
      </c>
      <c r="AV56" s="80" t="e">
        <f>SUMIFS($Q$6:$Q$165,$D$6:$D$165,AF55,CHOIX,AG56)</f>
        <v>#NAME?</v>
      </c>
      <c r="AZ56" s="8"/>
      <c r="BA56" s="148"/>
      <c r="BB56" s="148"/>
      <c r="BC56" s="148"/>
      <c r="BD56" s="10"/>
      <c r="BE56" s="10"/>
      <c r="BF56" s="10"/>
      <c r="BG56" s="10"/>
      <c r="BH56" s="10"/>
      <c r="BI56" s="10"/>
      <c r="BJ56" s="10"/>
      <c r="BK56" s="10"/>
      <c r="BL56" s="10"/>
      <c r="BM56" s="147">
        <f t="shared" si="8"/>
        <v>0</v>
      </c>
      <c r="BN56" s="147">
        <f t="shared" si="9"/>
        <v>0</v>
      </c>
      <c r="BO56" s="149"/>
      <c r="DN56" s="116" t="e">
        <f>(($I$5*#REF!)/100)+((#REF!*$J$5)/100)+(($K$5*#REF!)/100)+($L$5*#REF!)+($M$5*#REF!)</f>
        <v>#REF!</v>
      </c>
    </row>
    <row r="57" spans="2:118" x14ac:dyDescent="0.3">
      <c r="B57" s="64"/>
      <c r="C57" s="148"/>
      <c r="D57" s="109"/>
      <c r="E57" s="63"/>
      <c r="F57" s="127"/>
      <c r="G57" s="50"/>
      <c r="H57" s="10"/>
      <c r="I57" s="10"/>
      <c r="J57" s="10"/>
      <c r="K57" s="10"/>
      <c r="L57" s="10"/>
      <c r="M57" s="39"/>
      <c r="N57" s="33">
        <f t="shared" si="0"/>
        <v>0</v>
      </c>
      <c r="O57" s="52" t="b">
        <f>IF(AND(E57="CLIENT S+L",F57="HUILE"),(S57*3333.33+(VLOOKUP(H57,'BASE '!$I$112:$J$142,2,0)))-((S57*3333.33)*G57),IF(AND(E57="CLIENT S+L",F57="LAIT"),((S57*952.4)-(S57*952.4)*G57),IF(E57="CLIENT O","OFFERT",IF(AND(F57="HUILE",E57="CLIENT L"),(((VLOOKUP(H57,'BASE '!$I$112:$J$142,2,0))+(VLOOKUP(S57,'BASE '!#REF!,2,0)))),IF(AND(F57="LAIT",E57="CLIENT L"),(S57*952.4),IF(AND(F57="HUILE",E57="CLIENT D"),(S57*3809.53+(VLOOKUP(H57,'BASE '!$I$112:$J$142,2,0))),IF(AND(F57="LAIT",E57="CLIENT D"),(S57*952.4),IF(AND(F57="HUILE",E57="CLIENT S+D"),((S57*3809.53+(VLOOKUP(H57,'BASE '!$I$112:$J$142,2,0)))-((S57*3809.53)*G57)),IF(AND(F57="LAIT",E57="CLIENT S+D"),((S57*952.4)-((S57*952.4)*G57)),IF(AND(E57="CLIENT S",F57="LAIT"),((S57*952.4)-((S57*952.4)*G57)),IF(AND(F57="HUILE",E57="CLIENT S"),(VLOOKUP(H57,'BASE '!$I$112:$J$142,2,0)+(VLOOKUP(S57,'BASE '!#REF!,2,0)))-(G57*((VLOOKUP(S57,'BASE '!#REF!,2,0)+(VLOOKUP(H57,'BASE '!$I$112:$J$142,2,0))))))))))))))))</f>
        <v>0</v>
      </c>
      <c r="P57" s="52" t="b">
        <f t="shared" si="1"/>
        <v>0</v>
      </c>
      <c r="Q57" s="53" t="b">
        <f t="shared" si="2"/>
        <v>0</v>
      </c>
      <c r="R57" s="152" t="s">
        <v>175</v>
      </c>
      <c r="S57" s="184">
        <f t="shared" si="6"/>
        <v>0</v>
      </c>
      <c r="T57" s="124"/>
      <c r="U57" s="41" t="s">
        <v>175</v>
      </c>
      <c r="V57" s="70" t="e">
        <f>VLOOKUP(U57,'BASE '!$A$4:$H$144,2,0)</f>
        <v>#N/A</v>
      </c>
      <c r="W57" s="159"/>
      <c r="X57" s="159"/>
      <c r="Y57" s="160"/>
      <c r="Z57" s="158" t="e">
        <f>VLOOKUP(U57,'BASE '!$A$4:$H$144,3,0)</f>
        <v>#N/A</v>
      </c>
      <c r="AA57" s="94" t="e">
        <f t="shared" si="3"/>
        <v>#N/A</v>
      </c>
      <c r="AB57" s="95" t="e">
        <f>VLOOKUP(U57,'BASE '!$A$4:$H$144,6,0)*Y57/100</f>
        <v>#N/A</v>
      </c>
      <c r="AC57" s="95" t="e">
        <f>VLOOKUP(U57,'BASE '!$A$4:$H$144,7,0)*Y57/100</f>
        <v>#N/A</v>
      </c>
      <c r="AD57" s="95" t="e">
        <f>VLOOKUP(U57,'BASE '!$A$4:$H$144,8,0)*Y57/100</f>
        <v>#N/A</v>
      </c>
      <c r="AE57" s="96" t="e">
        <f t="shared" si="7"/>
        <v>#N/A</v>
      </c>
      <c r="AF57" s="431"/>
      <c r="AG57" s="91" t="s">
        <v>157</v>
      </c>
      <c r="AH57" s="36" t="e">
        <f>SUMIFS($H$6:$H$165,$D$6:$D$165,AF57,CHOIX,AG57)</f>
        <v>#NAME?</v>
      </c>
      <c r="AI57" s="36" t="e">
        <f>SUMIFS($I$6:$I$165,$D$6:$D$165,AF57,CHOIX,AG57)</f>
        <v>#NAME?</v>
      </c>
      <c r="AJ57" s="36" t="e">
        <f>SUMIFS($J$6:$J$165,$D$6:$D$165,AF57,CHOIX,AG57)</f>
        <v>#NAME?</v>
      </c>
      <c r="AK57" s="36" t="e">
        <f>SUMIFS($K$6:$K$165,$D$6:$D$165,AF57,CHOIX,AG57)</f>
        <v>#NAME?</v>
      </c>
      <c r="AL57" s="36" t="e">
        <f>SUMIFS($L$6:$L$165,$D$6:$D$165,AF57,CHOIX,AG57)</f>
        <v>#NAME?</v>
      </c>
      <c r="AM57" s="36" t="e">
        <f>SUMIFS($M$6:$M$165,$D$6:$D$165,AF57,CHOIX,AG57)</f>
        <v>#NAME?</v>
      </c>
      <c r="AN57" s="91" t="s">
        <v>157</v>
      </c>
      <c r="AO57" s="83"/>
      <c r="AP57" s="63"/>
      <c r="AQ57" s="63"/>
      <c r="AR57" s="63"/>
      <c r="AS57" s="79"/>
      <c r="AT57" s="79"/>
      <c r="AU57" s="55" t="e">
        <f>SUMIFS($O$6:$O$165,$D$6:$D$165,AF57,CHOIX,AG57)</f>
        <v>#NAME?</v>
      </c>
      <c r="AV57" s="80" t="e">
        <f>SUMIFS($Q$6:$Q$165,$D$6:$D$165,AF57,CHOIX,AG57)</f>
        <v>#NAME?</v>
      </c>
      <c r="AZ57" s="8"/>
      <c r="BA57" s="148"/>
      <c r="BB57" s="148"/>
      <c r="BC57" s="148"/>
      <c r="BD57" s="10"/>
      <c r="BE57" s="10"/>
      <c r="BF57" s="10"/>
      <c r="BG57" s="10"/>
      <c r="BH57" s="10"/>
      <c r="BI57" s="10"/>
      <c r="BJ57" s="10"/>
      <c r="BK57" s="10"/>
      <c r="BL57" s="10"/>
      <c r="BM57" s="147">
        <f t="shared" si="8"/>
        <v>0</v>
      </c>
      <c r="BN57" s="147">
        <f t="shared" si="9"/>
        <v>0</v>
      </c>
      <c r="BO57" s="149"/>
      <c r="DN57" s="116" t="e">
        <f>(($I$5*#REF!)/100)+((#REF!*$J$5)/100)+(($K$5*#REF!)/100)+($L$5*#REF!)+($M$5*#REF!)</f>
        <v>#REF!</v>
      </c>
    </row>
    <row r="58" spans="2:118" x14ac:dyDescent="0.3">
      <c r="B58" s="64"/>
      <c r="C58" s="148"/>
      <c r="D58" s="109"/>
      <c r="E58" s="63"/>
      <c r="F58" s="127"/>
      <c r="G58" s="50"/>
      <c r="H58" s="10"/>
      <c r="I58" s="10"/>
      <c r="J58" s="10"/>
      <c r="K58" s="10"/>
      <c r="L58" s="10"/>
      <c r="M58" s="39"/>
      <c r="N58" s="33">
        <f t="shared" si="0"/>
        <v>0</v>
      </c>
      <c r="O58" s="52" t="b">
        <f>IF(AND(E58="CLIENT S+L",F58="HUILE"),(S58*3333.33+(VLOOKUP(H58,'BASE '!$I$112:$J$142,2,0)))-((S58*3333.33)*G58),IF(AND(E58="CLIENT S+L",F58="LAIT"),((S58*952.4)-(S58*952.4)*G58),IF(E58="CLIENT O","OFFERT",IF(AND(F58="HUILE",E58="CLIENT L"),(((VLOOKUP(H58,'BASE '!$I$112:$J$142,2,0))+(VLOOKUP(S58,'BASE '!#REF!,2,0)))),IF(AND(F58="LAIT",E58="CLIENT L"),(S58*952.4),IF(AND(F58="HUILE",E58="CLIENT D"),(S58*3809.53+(VLOOKUP(H58,'BASE '!$I$112:$J$142,2,0))),IF(AND(F58="LAIT",E58="CLIENT D"),(S58*952.4),IF(AND(F58="HUILE",E58="CLIENT S+D"),((S58*3809.53+(VLOOKUP(H58,'BASE '!$I$112:$J$142,2,0)))-((S58*3809.53)*G58)),IF(AND(F58="LAIT",E58="CLIENT S+D"),((S58*952.4)-((S58*952.4)*G58)),IF(AND(E58="CLIENT S",F58="LAIT"),((S58*952.4)-((S58*952.4)*G58)),IF(AND(F58="HUILE",E58="CLIENT S"),(VLOOKUP(H58,'BASE '!$I$112:$J$142,2,0)+(VLOOKUP(S58,'BASE '!#REF!,2,0)))-(G58*((VLOOKUP(S58,'BASE '!#REF!,2,0)+(VLOOKUP(H58,'BASE '!$I$112:$J$142,2,0))))))))))))))))</f>
        <v>0</v>
      </c>
      <c r="P58" s="52" t="b">
        <f t="shared" si="1"/>
        <v>0</v>
      </c>
      <c r="Q58" s="53" t="b">
        <f t="shared" si="2"/>
        <v>0</v>
      </c>
      <c r="R58" s="152" t="s">
        <v>175</v>
      </c>
      <c r="S58" s="184">
        <f t="shared" si="6"/>
        <v>0</v>
      </c>
      <c r="T58" s="124"/>
      <c r="U58" s="41" t="s">
        <v>175</v>
      </c>
      <c r="V58" s="70" t="e">
        <f>VLOOKUP(U58,'BASE '!$A$4:$H$144,2,0)</f>
        <v>#N/A</v>
      </c>
      <c r="W58" s="159"/>
      <c r="X58" s="159"/>
      <c r="Y58" s="160"/>
      <c r="Z58" s="158" t="e">
        <f>VLOOKUP(U58,'BASE '!$A$4:$H$144,3,0)</f>
        <v>#N/A</v>
      </c>
      <c r="AA58" s="94" t="e">
        <f t="shared" si="3"/>
        <v>#N/A</v>
      </c>
      <c r="AB58" s="95" t="e">
        <f>VLOOKUP(U58,'BASE '!$A$4:$H$144,6,0)*Y58/100</f>
        <v>#N/A</v>
      </c>
      <c r="AC58" s="95" t="e">
        <f>VLOOKUP(U58,'BASE '!$A$4:$H$144,7,0)*Y58/100</f>
        <v>#N/A</v>
      </c>
      <c r="AD58" s="95" t="e">
        <f>VLOOKUP(U58,'BASE '!$A$4:$H$144,8,0)*Y58/100</f>
        <v>#N/A</v>
      </c>
      <c r="AE58" s="96" t="e">
        <f t="shared" si="7"/>
        <v>#N/A</v>
      </c>
      <c r="AF58" s="431"/>
      <c r="AG58" s="1" t="s">
        <v>155</v>
      </c>
      <c r="AH58" s="36" t="e">
        <f>SUMIFS($H$6:$H$165,$D$6:$D$165,AF57,CHOIX,AG58)</f>
        <v>#NAME?</v>
      </c>
      <c r="AI58" s="36" t="e">
        <f>SUMIFS($I$6:$I$165,$D$6:$D$165,AF57,CHOIX,AG58)</f>
        <v>#NAME?</v>
      </c>
      <c r="AJ58" s="36" t="e">
        <f>SUMIFS($J$6:$J$165,$D$6:$D$165,AF57,CHOIX,AG58)</f>
        <v>#NAME?</v>
      </c>
      <c r="AK58" s="36" t="e">
        <f>SUMIFS($K$6:$K$165,$D$6:$D$165,AF57,CHOIX,AG58)</f>
        <v>#NAME?</v>
      </c>
      <c r="AL58" s="36" t="e">
        <f>SUMIFS($L$6:$L$165,$D$6:$D$165,AF57,CHOIX,AG58)</f>
        <v>#NAME?</v>
      </c>
      <c r="AM58" s="36" t="e">
        <f>SUMIFS($M$6:$M$165,$D$6:$D$165,AF57,CHOIX,AG58)</f>
        <v>#NAME?</v>
      </c>
      <c r="AN58" s="1" t="s">
        <v>155</v>
      </c>
      <c r="AO58" s="83"/>
      <c r="AP58" s="63"/>
      <c r="AQ58" s="63"/>
      <c r="AR58" s="63"/>
      <c r="AS58" s="79"/>
      <c r="AT58" s="79"/>
      <c r="AU58" s="55" t="e">
        <f>SUMIFS($O$6:$O$165,$D$6:$D$165,AF57,CHOIX,AG58)</f>
        <v>#NAME?</v>
      </c>
      <c r="AV58" s="80" t="e">
        <f>SUMIFS($Q$6:$Q$165,$D$6:$D$165,AF57,CHOIX,AG58)</f>
        <v>#NAME?</v>
      </c>
      <c r="AZ58" s="8"/>
      <c r="BA58" s="148"/>
      <c r="BB58" s="148"/>
      <c r="BC58" s="148"/>
      <c r="BD58" s="10"/>
      <c r="BE58" s="10"/>
      <c r="BF58" s="10"/>
      <c r="BG58" s="10"/>
      <c r="BH58" s="10"/>
      <c r="BI58" s="10"/>
      <c r="BJ58" s="10"/>
      <c r="BK58" s="10"/>
      <c r="BL58" s="10"/>
      <c r="BM58" s="147">
        <f t="shared" si="8"/>
        <v>0</v>
      </c>
      <c r="BN58" s="147">
        <f t="shared" si="9"/>
        <v>0</v>
      </c>
      <c r="BO58" s="149"/>
      <c r="DN58" s="116" t="e">
        <f>(($I$5*#REF!)/100)+((#REF!*$J$5)/100)+(($K$5*#REF!)/100)+($L$5*#REF!)+($M$5*#REF!)</f>
        <v>#REF!</v>
      </c>
    </row>
    <row r="59" spans="2:118" x14ac:dyDescent="0.3">
      <c r="B59" s="64"/>
      <c r="C59" s="148"/>
      <c r="D59" s="109"/>
      <c r="E59" s="63"/>
      <c r="F59" s="127"/>
      <c r="G59" s="50"/>
      <c r="H59" s="10"/>
      <c r="I59" s="10"/>
      <c r="J59" s="10"/>
      <c r="K59" s="10"/>
      <c r="L59" s="10"/>
      <c r="M59" s="39"/>
      <c r="N59" s="33">
        <f t="shared" si="0"/>
        <v>0</v>
      </c>
      <c r="O59" s="52" t="b">
        <f>IF(AND(E59="CLIENT S+L",F59="HUILE"),(S59*3333.33+(VLOOKUP(H59,'BASE '!$I$112:$J$142,2,0)))-((S59*3333.33)*G59),IF(AND(E59="CLIENT S+L",F59="LAIT"),((S59*952.4)-(S59*952.4)*G59),IF(E59="CLIENT O","OFFERT",IF(AND(F59="HUILE",E59="CLIENT L"),(((VLOOKUP(H59,'BASE '!$I$112:$J$142,2,0))+(VLOOKUP(S59,'BASE '!#REF!,2,0)))),IF(AND(F59="LAIT",E59="CLIENT L"),(S59*952.4),IF(AND(F59="HUILE",E59="CLIENT D"),(S59*3809.53+(VLOOKUP(H59,'BASE '!$I$112:$J$142,2,0))),IF(AND(F59="LAIT",E59="CLIENT D"),(S59*952.4),IF(AND(F59="HUILE",E59="CLIENT S+D"),((S59*3809.53+(VLOOKUP(H59,'BASE '!$I$112:$J$142,2,0)))-((S59*3809.53)*G59)),IF(AND(F59="LAIT",E59="CLIENT S+D"),((S59*952.4)-((S59*952.4)*G59)),IF(AND(E59="CLIENT S",F59="LAIT"),((S59*952.4)-((S59*952.4)*G59)),IF(AND(F59="HUILE",E59="CLIENT S"),(VLOOKUP(H59,'BASE '!$I$112:$J$142,2,0)+(VLOOKUP(S59,'BASE '!#REF!,2,0)))-(G59*((VLOOKUP(S59,'BASE '!#REF!,2,0)+(VLOOKUP(H59,'BASE '!$I$112:$J$142,2,0))))))))))))))))</f>
        <v>0</v>
      </c>
      <c r="P59" s="52" t="b">
        <f t="shared" si="1"/>
        <v>0</v>
      </c>
      <c r="Q59" s="53" t="b">
        <f t="shared" si="2"/>
        <v>0</v>
      </c>
      <c r="R59" s="152" t="s">
        <v>175</v>
      </c>
      <c r="S59" s="184">
        <f t="shared" si="6"/>
        <v>0</v>
      </c>
      <c r="T59" s="124"/>
      <c r="U59" s="41" t="s">
        <v>175</v>
      </c>
      <c r="V59" s="70" t="e">
        <f>VLOOKUP(U59,'BASE '!$A$4:$H$144,2,0)</f>
        <v>#N/A</v>
      </c>
      <c r="W59" s="159"/>
      <c r="X59" s="159"/>
      <c r="Y59" s="160"/>
      <c r="Z59" s="158" t="e">
        <f>VLOOKUP(U59,'BASE '!$A$4:$H$144,3,0)</f>
        <v>#N/A</v>
      </c>
      <c r="AA59" s="94" t="e">
        <f t="shared" si="3"/>
        <v>#N/A</v>
      </c>
      <c r="AB59" s="95" t="e">
        <f>VLOOKUP(U59,'BASE '!$A$4:$H$144,6,0)*Y59/100</f>
        <v>#N/A</v>
      </c>
      <c r="AC59" s="95" t="e">
        <f>VLOOKUP(U59,'BASE '!$A$4:$H$144,7,0)*Y59/100</f>
        <v>#N/A</v>
      </c>
      <c r="AD59" s="95" t="e">
        <f>VLOOKUP(U59,'BASE '!$A$4:$H$144,8,0)*Y59/100</f>
        <v>#N/A</v>
      </c>
      <c r="AE59" s="96" t="e">
        <f t="shared" si="7"/>
        <v>#N/A</v>
      </c>
      <c r="AF59" s="431"/>
      <c r="AG59" s="91" t="s">
        <v>157</v>
      </c>
      <c r="AH59" s="36" t="e">
        <f>SUMIFS($H$6:$H$165,$D$6:$D$165,AF59,CHOIX,AG59)</f>
        <v>#NAME?</v>
      </c>
      <c r="AI59" s="36" t="e">
        <f>SUMIFS($I$6:$I$165,$D$6:$D$165,AF59,CHOIX,AG59)</f>
        <v>#NAME?</v>
      </c>
      <c r="AJ59" s="36" t="e">
        <f>SUMIFS($J$6:$J$165,$D$6:$D$165,AF59,CHOIX,AG59)</f>
        <v>#NAME?</v>
      </c>
      <c r="AK59" s="36" t="e">
        <f>SUMIFS($K$6:$K$165,$D$6:$D$165,AF59,CHOIX,AG59)</f>
        <v>#NAME?</v>
      </c>
      <c r="AL59" s="36" t="e">
        <f>SUMIFS($L$6:$L$165,$D$6:$D$165,AF59,CHOIX,AG59)</f>
        <v>#NAME?</v>
      </c>
      <c r="AM59" s="36" t="e">
        <f>SUMIFS($M$6:$M$165,$D$6:$D$165,AF59,CHOIX,AG59)</f>
        <v>#NAME?</v>
      </c>
      <c r="AN59" s="91" t="s">
        <v>157</v>
      </c>
      <c r="AO59" s="83"/>
      <c r="AP59" s="63"/>
      <c r="AQ59" s="63"/>
      <c r="AR59" s="63"/>
      <c r="AS59" s="79"/>
      <c r="AT59" s="79"/>
      <c r="AU59" s="55" t="e">
        <f>SUMIFS($O$6:$O$165,$D$6:$D$165,AF59,CHOIX,AG59)</f>
        <v>#NAME?</v>
      </c>
      <c r="AV59" s="80" t="e">
        <f>SUMIFS($Q$6:$Q$165,$D$6:$D$165,AF59,CHOIX,AG59)</f>
        <v>#NAME?</v>
      </c>
      <c r="AZ59" s="8"/>
      <c r="BA59" s="148"/>
      <c r="BB59" s="148"/>
      <c r="BC59" s="148"/>
      <c r="BD59" s="10"/>
      <c r="BE59" s="10"/>
      <c r="BF59" s="10"/>
      <c r="BG59" s="10"/>
      <c r="BH59" s="10"/>
      <c r="BI59" s="10"/>
      <c r="BJ59" s="10"/>
      <c r="BK59" s="10"/>
      <c r="BL59" s="10"/>
      <c r="BM59" s="147">
        <f t="shared" si="8"/>
        <v>0</v>
      </c>
      <c r="BN59" s="147">
        <f t="shared" si="9"/>
        <v>0</v>
      </c>
      <c r="BO59" s="149"/>
      <c r="DN59" s="116" t="e">
        <f>(($I$5*#REF!)/100)+((#REF!*$J$5)/100)+(($K$5*#REF!)/100)+($L$5*#REF!)+($M$5*#REF!)</f>
        <v>#REF!</v>
      </c>
    </row>
    <row r="60" spans="2:118" x14ac:dyDescent="0.3">
      <c r="B60" s="64"/>
      <c r="C60" s="148"/>
      <c r="D60" s="109"/>
      <c r="E60" s="63"/>
      <c r="F60" s="127"/>
      <c r="G60" s="50"/>
      <c r="H60" s="10"/>
      <c r="I60" s="10"/>
      <c r="J60" s="10"/>
      <c r="K60" s="10"/>
      <c r="L60" s="10"/>
      <c r="M60" s="39"/>
      <c r="N60" s="33">
        <f t="shared" si="0"/>
        <v>0</v>
      </c>
      <c r="O60" s="52" t="b">
        <f>IF(AND(E60="CLIENT S+L",F60="HUILE"),(S60*3333.33+(VLOOKUP(H60,'BASE '!$I$112:$J$142,2,0)))-((S60*3333.33)*G60),IF(AND(E60="CLIENT S+L",F60="LAIT"),((S60*952.4)-(S60*952.4)*G60),IF(E60="CLIENT O","OFFERT",IF(AND(F60="HUILE",E60="CLIENT L"),(((VLOOKUP(H60,'BASE '!$I$112:$J$142,2,0))+(VLOOKUP(S60,'BASE '!#REF!,2,0)))),IF(AND(F60="LAIT",E60="CLIENT L"),(S60*952.4),IF(AND(F60="HUILE",E60="CLIENT D"),(S60*3809.53+(VLOOKUP(H60,'BASE '!$I$112:$J$142,2,0))),IF(AND(F60="LAIT",E60="CLIENT D"),(S60*952.4),IF(AND(F60="HUILE",E60="CLIENT S+D"),((S60*3809.53+(VLOOKUP(H60,'BASE '!$I$112:$J$142,2,0)))-((S60*3809.53)*G60)),IF(AND(F60="LAIT",E60="CLIENT S+D"),((S60*952.4)-((S60*952.4)*G60)),IF(AND(E60="CLIENT S",F60="LAIT"),((S60*952.4)-((S60*952.4)*G60)),IF(AND(F60="HUILE",E60="CLIENT S"),(VLOOKUP(H60,'BASE '!$I$112:$J$142,2,0)+(VLOOKUP(S60,'BASE '!#REF!,2,0)))-(G60*((VLOOKUP(S60,'BASE '!#REF!,2,0)+(VLOOKUP(H60,'BASE '!$I$112:$J$142,2,0))))))))))))))))</f>
        <v>0</v>
      </c>
      <c r="P60" s="52" t="b">
        <f t="shared" si="1"/>
        <v>0</v>
      </c>
      <c r="Q60" s="53" t="b">
        <f t="shared" si="2"/>
        <v>0</v>
      </c>
      <c r="R60" s="152" t="s">
        <v>175</v>
      </c>
      <c r="S60" s="184">
        <f t="shared" si="6"/>
        <v>0</v>
      </c>
      <c r="T60" s="124"/>
      <c r="U60" s="41" t="s">
        <v>175</v>
      </c>
      <c r="V60" s="70" t="e">
        <f>VLOOKUP(U60,'BASE '!$A$4:$H$144,2,0)</f>
        <v>#N/A</v>
      </c>
      <c r="W60" s="159"/>
      <c r="X60" s="159"/>
      <c r="Y60" s="160"/>
      <c r="Z60" s="158" t="e">
        <f>VLOOKUP(U60,'BASE '!$A$4:$H$144,3,0)</f>
        <v>#N/A</v>
      </c>
      <c r="AA60" s="94" t="e">
        <f t="shared" si="3"/>
        <v>#N/A</v>
      </c>
      <c r="AB60" s="95" t="e">
        <f>VLOOKUP(U60,'BASE '!$A$4:$H$144,6,0)*Y60/100</f>
        <v>#N/A</v>
      </c>
      <c r="AC60" s="95" t="e">
        <f>VLOOKUP(U60,'BASE '!$A$4:$H$144,7,0)*Y60/100</f>
        <v>#N/A</v>
      </c>
      <c r="AD60" s="95" t="e">
        <f>VLOOKUP(U60,'BASE '!$A$4:$H$144,8,0)*Y60/100</f>
        <v>#N/A</v>
      </c>
      <c r="AE60" s="96" t="e">
        <f t="shared" si="7"/>
        <v>#N/A</v>
      </c>
      <c r="AF60" s="431"/>
      <c r="AG60" s="1" t="s">
        <v>155</v>
      </c>
      <c r="AH60" s="36" t="e">
        <f>SUMIFS($H$6:$H$165,$D$6:$D$165,AF59,CHOIX,AG60)</f>
        <v>#NAME?</v>
      </c>
      <c r="AI60" s="36" t="e">
        <f>SUMIFS($I$6:$I$165,$D$6:$D$165,AF59,CHOIX,AG60)</f>
        <v>#NAME?</v>
      </c>
      <c r="AJ60" s="36" t="e">
        <f>SUMIFS($J$6:$J$165,$D$6:$D$165,AF59,CHOIX,AG60)</f>
        <v>#NAME?</v>
      </c>
      <c r="AK60" s="36" t="e">
        <f>SUMIFS($K$6:$K$165,$D$6:$D$165,AF59,CHOIX,AG60)</f>
        <v>#NAME?</v>
      </c>
      <c r="AL60" s="36" t="e">
        <f>SUMIFS($L$6:$L$165,$D$6:$D$165,AF59,CHOIX,AG60)</f>
        <v>#NAME?</v>
      </c>
      <c r="AM60" s="36" t="e">
        <f>SUMIFS($M$6:$M$165,$D$6:$D$165,AF59,CHOIX,AG60)</f>
        <v>#NAME?</v>
      </c>
      <c r="AN60" s="1" t="s">
        <v>155</v>
      </c>
      <c r="AO60" s="83"/>
      <c r="AP60" s="63"/>
      <c r="AQ60" s="63"/>
      <c r="AR60" s="63"/>
      <c r="AS60" s="79"/>
      <c r="AT60" s="79"/>
      <c r="AU60" s="55" t="e">
        <f>SUMIFS($O$6:$O$165,$D$6:$D$165,AF59,CHOIX,AG60)</f>
        <v>#NAME?</v>
      </c>
      <c r="AV60" s="80" t="e">
        <f>SUMIFS($Q$6:$Q$165,$D$6:$D$165,AF59,CHOIX,AG60)</f>
        <v>#NAME?</v>
      </c>
      <c r="AZ60" s="8"/>
      <c r="BA60" s="148"/>
      <c r="BB60" s="148"/>
      <c r="BC60" s="148"/>
      <c r="BD60" s="10"/>
      <c r="BE60" s="10"/>
      <c r="BF60" s="10"/>
      <c r="BG60" s="10"/>
      <c r="BH60" s="10"/>
      <c r="BI60" s="10"/>
      <c r="BJ60" s="10"/>
      <c r="BK60" s="10"/>
      <c r="BL60" s="10"/>
      <c r="BM60" s="147">
        <f t="shared" si="8"/>
        <v>0</v>
      </c>
      <c r="BN60" s="147">
        <f t="shared" si="9"/>
        <v>0</v>
      </c>
      <c r="BO60" s="149"/>
      <c r="DN60" s="116" t="e">
        <f>(($I$5*#REF!)/100)+((#REF!*$J$5)/100)+(($K$5*#REF!)/100)+($L$5*#REF!)+($M$5*#REF!)</f>
        <v>#REF!</v>
      </c>
    </row>
    <row r="61" spans="2:118" ht="15" thickBot="1" x14ac:dyDescent="0.35">
      <c r="B61" s="64"/>
      <c r="C61" s="148"/>
      <c r="D61" s="109"/>
      <c r="E61" s="63"/>
      <c r="F61" s="127"/>
      <c r="G61" s="50"/>
      <c r="H61" s="10"/>
      <c r="I61" s="10"/>
      <c r="J61" s="10"/>
      <c r="K61" s="10"/>
      <c r="L61" s="10"/>
      <c r="M61" s="39"/>
      <c r="N61" s="33">
        <f t="shared" si="0"/>
        <v>0</v>
      </c>
      <c r="O61" s="52" t="b">
        <f>IF(AND(E61="CLIENT S+L",F61="HUILE"),(S61*3333.33+(VLOOKUP(H61,'BASE '!$I$112:$J$142,2,0)))-((S61*3333.33)*G61),IF(AND(E61="CLIENT S+L",F61="LAIT"),((S61*952.4)-(S61*952.4)*G61),IF(E61="CLIENT O","OFFERT",IF(AND(F61="HUILE",E61="CLIENT L"),(((VLOOKUP(H61,'BASE '!$I$112:$J$142,2,0))+(VLOOKUP(S61,'BASE '!#REF!,2,0)))),IF(AND(F61="LAIT",E61="CLIENT L"),(S61*952.4),IF(AND(F61="HUILE",E61="CLIENT D"),(S61*3809.53+(VLOOKUP(H61,'BASE '!$I$112:$J$142,2,0))),IF(AND(F61="LAIT",E61="CLIENT D"),(S61*952.4),IF(AND(F61="HUILE",E61="CLIENT S+D"),((S61*3809.53+(VLOOKUP(H61,'BASE '!$I$112:$J$142,2,0)))-((S61*3809.53)*G61)),IF(AND(F61="LAIT",E61="CLIENT S+D"),((S61*952.4)-((S61*952.4)*G61)),IF(AND(E61="CLIENT S",F61="LAIT"),((S61*952.4)-((S61*952.4)*G61)),IF(AND(F61="HUILE",E61="CLIENT S"),(VLOOKUP(H61,'BASE '!$I$112:$J$142,2,0)+(VLOOKUP(S61,'BASE '!#REF!,2,0)))-(G61*((VLOOKUP(S61,'BASE '!#REF!,2,0)+(VLOOKUP(H61,'BASE '!$I$112:$J$142,2,0))))))))))))))))</f>
        <v>0</v>
      </c>
      <c r="P61" s="52" t="b">
        <f t="shared" si="1"/>
        <v>0</v>
      </c>
      <c r="Q61" s="53" t="b">
        <f t="shared" si="2"/>
        <v>0</v>
      </c>
      <c r="R61" s="152" t="s">
        <v>175</v>
      </c>
      <c r="S61" s="184">
        <f t="shared" si="6"/>
        <v>0</v>
      </c>
      <c r="T61" s="124"/>
      <c r="U61" s="41" t="s">
        <v>175</v>
      </c>
      <c r="V61" s="70" t="e">
        <f>VLOOKUP(U61,'BASE '!$A$4:$H$144,2,0)</f>
        <v>#N/A</v>
      </c>
      <c r="W61" s="159"/>
      <c r="X61" s="159"/>
      <c r="Y61" s="160"/>
      <c r="Z61" s="158" t="e">
        <f>VLOOKUP(U61,'BASE '!$A$4:$H$144,3,0)</f>
        <v>#N/A</v>
      </c>
      <c r="AA61" s="94" t="e">
        <f t="shared" si="3"/>
        <v>#N/A</v>
      </c>
      <c r="AB61" s="95" t="e">
        <f>VLOOKUP(U61,'BASE '!$A$4:$H$144,6,0)*Y61/100</f>
        <v>#N/A</v>
      </c>
      <c r="AC61" s="95" t="e">
        <f>VLOOKUP(U61,'BASE '!$A$4:$H$144,7,0)*Y61/100</f>
        <v>#N/A</v>
      </c>
      <c r="AD61" s="95" t="e">
        <f>VLOOKUP(U61,'BASE '!$A$4:$H$144,8,0)*Y61/100</f>
        <v>#N/A</v>
      </c>
      <c r="AE61" s="96" t="e">
        <f t="shared" si="7"/>
        <v>#N/A</v>
      </c>
      <c r="AF61" s="431"/>
      <c r="AG61" s="91" t="s">
        <v>157</v>
      </c>
      <c r="AH61" s="36" t="e">
        <f>SUMIFS($H$6:$H$165,$D$6:$D$165,AF61,CHOIX,AG61)</f>
        <v>#NAME?</v>
      </c>
      <c r="AI61" s="36" t="e">
        <f>SUMIFS($I$6:$I$165,$D$6:$D$165,AF61,CHOIX,AG61)</f>
        <v>#NAME?</v>
      </c>
      <c r="AJ61" s="36" t="e">
        <f>SUMIFS($J$6:$J$165,$D$6:$D$165,AF61,CHOIX,AG61)</f>
        <v>#NAME?</v>
      </c>
      <c r="AK61" s="36" t="e">
        <f>SUMIFS($K$6:$K$165,$D$6:$D$165,AF61,CHOIX,AG61)</f>
        <v>#NAME?</v>
      </c>
      <c r="AL61" s="36" t="e">
        <f>SUMIFS($L$6:$L$165,$D$6:$D$165,AF61,CHOIX,AG61)</f>
        <v>#NAME?</v>
      </c>
      <c r="AM61" s="36" t="e">
        <f>SUMIFS($M$6:$M$165,$D$6:$D$165,AF61,CHOIX,AG61)</f>
        <v>#NAME?</v>
      </c>
      <c r="AN61" s="91" t="s">
        <v>157</v>
      </c>
      <c r="AO61" s="83"/>
      <c r="AP61" s="63"/>
      <c r="AQ61" s="63"/>
      <c r="AR61" s="63"/>
      <c r="AS61" s="79"/>
      <c r="AT61" s="79"/>
      <c r="AU61" s="55" t="e">
        <f>SUMIFS($O$6:$O$165,$D$6:$D$165,AF61,CHOIX,AG61)</f>
        <v>#NAME?</v>
      </c>
      <c r="AV61" s="80" t="e">
        <f>SUMIFS($Q$6:$Q$165,$D$6:$D$165,AF61,CHOIX,AG61)</f>
        <v>#NAME?</v>
      </c>
      <c r="AZ61" s="102"/>
      <c r="BA61" s="156"/>
      <c r="BB61" s="156"/>
      <c r="BC61" s="156"/>
      <c r="BD61" s="103"/>
      <c r="BE61" s="103"/>
      <c r="BF61" s="103"/>
      <c r="BG61" s="103"/>
      <c r="BH61" s="103"/>
      <c r="BI61" s="103"/>
      <c r="BJ61" s="103"/>
      <c r="BK61" s="103"/>
      <c r="BL61" s="103"/>
      <c r="BM61" s="155">
        <f t="shared" si="8"/>
        <v>0</v>
      </c>
      <c r="BN61" s="106">
        <f t="shared" si="9"/>
        <v>0</v>
      </c>
      <c r="BO61" s="157"/>
      <c r="DN61" s="116" t="e">
        <f>(($I$5*#REF!)/100)+((#REF!*$J$5)/100)+(($K$5*#REF!)/100)+($L$5*#REF!)+($M$5*#REF!)</f>
        <v>#REF!</v>
      </c>
    </row>
    <row r="62" spans="2:118" ht="15.6" thickTop="1" thickBot="1" x14ac:dyDescent="0.35">
      <c r="B62" s="64"/>
      <c r="C62" s="148"/>
      <c r="D62" s="109"/>
      <c r="E62" s="63"/>
      <c r="F62" s="127"/>
      <c r="G62" s="50"/>
      <c r="H62" s="10"/>
      <c r="I62" s="10"/>
      <c r="J62" s="10"/>
      <c r="K62" s="10"/>
      <c r="L62" s="10"/>
      <c r="M62" s="39"/>
      <c r="N62" s="33">
        <f t="shared" si="0"/>
        <v>0</v>
      </c>
      <c r="O62" s="52" t="b">
        <f>IF(AND(E62="CLIENT S+L",F62="HUILE"),(S62*3333.33+(VLOOKUP(H62,'BASE '!$I$112:$J$142,2,0)))-((S62*3333.33)*G62),IF(AND(E62="CLIENT S+L",F62="LAIT"),((S62*952.4)-(S62*952.4)*G62),IF(E62="CLIENT O","OFFERT",IF(AND(F62="HUILE",E62="CLIENT L"),(((VLOOKUP(H62,'BASE '!$I$112:$J$142,2,0))+(VLOOKUP(S62,'BASE '!#REF!,2,0)))),IF(AND(F62="LAIT",E62="CLIENT L"),(S62*952.4),IF(AND(F62="HUILE",E62="CLIENT D"),(S62*3809.53+(VLOOKUP(H62,'BASE '!$I$112:$J$142,2,0))),IF(AND(F62="LAIT",E62="CLIENT D"),(S62*952.4),IF(AND(F62="HUILE",E62="CLIENT S+D"),((S62*3809.53+(VLOOKUP(H62,'BASE '!$I$112:$J$142,2,0)))-((S62*3809.53)*G62)),IF(AND(F62="LAIT",E62="CLIENT S+D"),((S62*952.4)-((S62*952.4)*G62)),IF(AND(E62="CLIENT S",F62="LAIT"),((S62*952.4)-((S62*952.4)*G62)),IF(AND(F62="HUILE",E62="CLIENT S"),(VLOOKUP(H62,'BASE '!$I$112:$J$142,2,0)+(VLOOKUP(S62,'BASE '!#REF!,2,0)))-(G62*((VLOOKUP(S62,'BASE '!#REF!,2,0)+(VLOOKUP(H62,'BASE '!$I$112:$J$142,2,0))))))))))))))))</f>
        <v>0</v>
      </c>
      <c r="P62" s="52" t="b">
        <f t="shared" si="1"/>
        <v>0</v>
      </c>
      <c r="Q62" s="53" t="b">
        <f t="shared" si="2"/>
        <v>0</v>
      </c>
      <c r="R62" s="152" t="s">
        <v>175</v>
      </c>
      <c r="S62" s="184">
        <f t="shared" si="6"/>
        <v>0</v>
      </c>
      <c r="T62" s="124"/>
      <c r="U62" s="41" t="s">
        <v>175</v>
      </c>
      <c r="V62" s="70" t="e">
        <f>VLOOKUP(U62,'BASE '!$A$4:$H$144,2,0)</f>
        <v>#N/A</v>
      </c>
      <c r="W62" s="159"/>
      <c r="X62" s="159"/>
      <c r="Y62" s="160"/>
      <c r="Z62" s="158" t="e">
        <f>VLOOKUP(U62,'BASE '!$A$4:$H$144,3,0)</f>
        <v>#N/A</v>
      </c>
      <c r="AA62" s="94" t="e">
        <f t="shared" si="3"/>
        <v>#N/A</v>
      </c>
      <c r="AB62" s="95" t="e">
        <f>VLOOKUP(U62,'BASE '!$A$4:$H$144,6,0)*Y62/100</f>
        <v>#N/A</v>
      </c>
      <c r="AC62" s="95" t="e">
        <f>VLOOKUP(U62,'BASE '!$A$4:$H$144,7,0)*Y62/100</f>
        <v>#N/A</v>
      </c>
      <c r="AD62" s="95" t="e">
        <f>VLOOKUP(U62,'BASE '!$A$4:$H$144,8,0)*Y62/100</f>
        <v>#N/A</v>
      </c>
      <c r="AE62" s="96" t="e">
        <f t="shared" si="7"/>
        <v>#N/A</v>
      </c>
      <c r="AF62" s="431"/>
      <c r="AG62" s="1" t="s">
        <v>155</v>
      </c>
      <c r="AH62" s="36" t="e">
        <f>SUMIFS($H$6:$H$165,$D$6:$D$165,AF61,CHOIX,AG62)</f>
        <v>#NAME?</v>
      </c>
      <c r="AI62" s="36" t="e">
        <f>SUMIFS($I$6:$I$165,$D$6:$D$165,AF61,CHOIX,AG62)</f>
        <v>#NAME?</v>
      </c>
      <c r="AJ62" s="36" t="e">
        <f>SUMIFS($J$6:$J$165,$D$6:$D$165,AF61,CHOIX,AG62)</f>
        <v>#NAME?</v>
      </c>
      <c r="AK62" s="36" t="e">
        <f>SUMIFS($K$6:$K$165,$D$6:$D$165,AF61,CHOIX,AG62)</f>
        <v>#NAME?</v>
      </c>
      <c r="AL62" s="36" t="e">
        <f>SUMIFS($L$6:$L$165,$D$6:$D$165,AF61,CHOIX,AG62)</f>
        <v>#NAME?</v>
      </c>
      <c r="AM62" s="36" t="e">
        <f>SUMIFS($M$6:$M$165,$D$6:$D$165,AF61,CHOIX,AG62)</f>
        <v>#NAME?</v>
      </c>
      <c r="AN62" s="1" t="s">
        <v>155</v>
      </c>
      <c r="AO62" s="83"/>
      <c r="AP62" s="63"/>
      <c r="AQ62" s="63"/>
      <c r="AR62" s="63"/>
      <c r="AS62" s="79"/>
      <c r="AT62" s="79"/>
      <c r="AU62" s="55" t="e">
        <f>SUMIFS($O$6:$O$165,$D$6:$D$165,AF61,CHOIX,AG62)</f>
        <v>#NAME?</v>
      </c>
      <c r="AV62" s="80" t="e">
        <f>SUMIFS($Q$6:$Q$165,$D$6:$D$165,AF61,CHOIX,AG62)</f>
        <v>#NAME?</v>
      </c>
      <c r="AZ62" s="13" t="s">
        <v>62</v>
      </c>
      <c r="BA62" s="469">
        <f>SUM(BA6:BA61)</f>
        <v>0</v>
      </c>
      <c r="BB62" s="469"/>
      <c r="BC62" s="469"/>
      <c r="BD62" s="469"/>
      <c r="BE62" s="469"/>
      <c r="BF62" s="469"/>
      <c r="BG62" s="469"/>
      <c r="BH62" s="469"/>
      <c r="BI62" s="469"/>
      <c r="BJ62" s="469"/>
      <c r="BK62" s="469"/>
      <c r="BL62" s="469"/>
      <c r="BM62" s="469"/>
      <c r="BN62" s="469"/>
      <c r="BO62" s="469"/>
      <c r="DN62" s="116" t="e">
        <f>(($I$5*#REF!)/100)+((#REF!*$J$5)/100)+(($K$5*#REF!)/100)+($L$5*#REF!)+($M$5*#REF!)</f>
        <v>#REF!</v>
      </c>
    </row>
    <row r="63" spans="2:118" ht="15" thickBot="1" x14ac:dyDescent="0.35">
      <c r="B63" s="64"/>
      <c r="C63" s="148"/>
      <c r="D63" s="109"/>
      <c r="E63" s="63"/>
      <c r="F63" s="127"/>
      <c r="G63" s="50"/>
      <c r="H63" s="10"/>
      <c r="I63" s="10"/>
      <c r="J63" s="10"/>
      <c r="K63" s="10"/>
      <c r="L63" s="10"/>
      <c r="M63" s="39"/>
      <c r="N63" s="33">
        <f t="shared" si="0"/>
        <v>0</v>
      </c>
      <c r="O63" s="52" t="b">
        <f>IF(AND(E63="CLIENT S+L",F63="HUILE"),(S63*3333.33+(VLOOKUP(H63,'BASE '!$I$112:$J$142,2,0)))-((S63*3333.33)*G63),IF(AND(E63="CLIENT S+L",F63="LAIT"),((S63*952.4)-(S63*952.4)*G63),IF(E63="CLIENT O","OFFERT",IF(AND(F63="HUILE",E63="CLIENT L"),(((VLOOKUP(H63,'BASE '!$I$112:$J$142,2,0))+(VLOOKUP(S63,'BASE '!#REF!,2,0)))),IF(AND(F63="LAIT",E63="CLIENT L"),(S63*952.4),IF(AND(F63="HUILE",E63="CLIENT D"),(S63*3809.53+(VLOOKUP(H63,'BASE '!$I$112:$J$142,2,0))),IF(AND(F63="LAIT",E63="CLIENT D"),(S63*952.4),IF(AND(F63="HUILE",E63="CLIENT S+D"),((S63*3809.53+(VLOOKUP(H63,'BASE '!$I$112:$J$142,2,0)))-((S63*3809.53)*G63)),IF(AND(F63="LAIT",E63="CLIENT S+D"),((S63*952.4)-((S63*952.4)*G63)),IF(AND(E63="CLIENT S",F63="LAIT"),((S63*952.4)-((S63*952.4)*G63)),IF(AND(F63="HUILE",E63="CLIENT S"),(VLOOKUP(H63,'BASE '!$I$112:$J$142,2,0)+(VLOOKUP(S63,'BASE '!#REF!,2,0)))-(G63*((VLOOKUP(S63,'BASE '!#REF!,2,0)+(VLOOKUP(H63,'BASE '!$I$112:$J$142,2,0))))))))))))))))</f>
        <v>0</v>
      </c>
      <c r="P63" s="52" t="b">
        <f t="shared" si="1"/>
        <v>0</v>
      </c>
      <c r="Q63" s="53" t="b">
        <f t="shared" si="2"/>
        <v>0</v>
      </c>
      <c r="R63" s="152" t="s">
        <v>175</v>
      </c>
      <c r="S63" s="184">
        <f t="shared" si="6"/>
        <v>0</v>
      </c>
      <c r="T63" s="124"/>
      <c r="U63" s="41" t="s">
        <v>175</v>
      </c>
      <c r="V63" s="70" t="e">
        <f>VLOOKUP(U63,'BASE '!$A$4:$H$144,2,0)</f>
        <v>#N/A</v>
      </c>
      <c r="W63" s="159"/>
      <c r="X63" s="159"/>
      <c r="Y63" s="160"/>
      <c r="Z63" s="158" t="e">
        <f>VLOOKUP(U63,'BASE '!$A$4:$H$144,3,0)</f>
        <v>#N/A</v>
      </c>
      <c r="AA63" s="94" t="e">
        <f t="shared" si="3"/>
        <v>#N/A</v>
      </c>
      <c r="AB63" s="95" t="e">
        <f>VLOOKUP(U63,'BASE '!$A$4:$H$144,6,0)*Y63/100</f>
        <v>#N/A</v>
      </c>
      <c r="AC63" s="95" t="e">
        <f>VLOOKUP(U63,'BASE '!$A$4:$H$144,7,0)*Y63/100</f>
        <v>#N/A</v>
      </c>
      <c r="AD63" s="95" t="e">
        <f>VLOOKUP(U63,'BASE '!$A$4:$H$144,8,0)*Y63/100</f>
        <v>#N/A</v>
      </c>
      <c r="AE63" s="96" t="e">
        <f t="shared" si="7"/>
        <v>#N/A</v>
      </c>
      <c r="AF63" s="431"/>
      <c r="AG63" s="91" t="s">
        <v>157</v>
      </c>
      <c r="AH63" s="36" t="e">
        <f>SUMIFS($H$6:$H$165,$D$6:$D$165,AF63,CHOIX,AG63)</f>
        <v>#NAME?</v>
      </c>
      <c r="AI63" s="36" t="e">
        <f>SUMIFS($I$6:$I$165,$D$6:$D$165,AF63,CHOIX,AG63)</f>
        <v>#NAME?</v>
      </c>
      <c r="AJ63" s="36" t="e">
        <f>SUMIFS($J$6:$J$165,$D$6:$D$165,AF63,CHOIX,AG63)</f>
        <v>#NAME?</v>
      </c>
      <c r="AK63" s="36" t="e">
        <f>SUMIFS($K$6:$K$165,$D$6:$D$165,AF63,CHOIX,AG63)</f>
        <v>#NAME?</v>
      </c>
      <c r="AL63" s="36" t="e">
        <f>SUMIFS($L$6:$L$165,$D$6:$D$165,AF63,CHOIX,AG63)</f>
        <v>#NAME?</v>
      </c>
      <c r="AM63" s="36" t="e">
        <f>SUMIFS($M$6:$M$165,$D$6:$D$165,AF63,CHOIX,AG63)</f>
        <v>#NAME?</v>
      </c>
      <c r="AN63" s="91" t="s">
        <v>157</v>
      </c>
      <c r="AO63" s="83"/>
      <c r="AP63" s="63"/>
      <c r="AQ63" s="63"/>
      <c r="AR63" s="63"/>
      <c r="AS63" s="79"/>
      <c r="AT63" s="79"/>
      <c r="AU63" s="55" t="e">
        <f>SUMIFS($O$6:$O$165,$D$6:$D$165,AF63,CHOIX,AG63)</f>
        <v>#NAME?</v>
      </c>
      <c r="AV63" s="80" t="e">
        <f>SUMIFS($Q$6:$Q$165,$D$6:$D$165,AF63,CHOIX,AG63)</f>
        <v>#NAME?</v>
      </c>
      <c r="AZ63" s="470" t="s">
        <v>61</v>
      </c>
      <c r="BA63" s="470"/>
      <c r="BB63" s="470">
        <f>SUM(BB6:BB61)</f>
        <v>0</v>
      </c>
      <c r="BC63" s="470"/>
      <c r="BD63" s="470"/>
      <c r="BE63" s="470"/>
      <c r="BF63" s="470"/>
      <c r="BG63" s="470"/>
      <c r="BH63" s="470"/>
      <c r="BI63" s="470"/>
      <c r="BJ63" s="470"/>
      <c r="BK63" s="470"/>
      <c r="BL63" s="470"/>
      <c r="BM63" s="470"/>
      <c r="BN63" s="470"/>
      <c r="BO63" s="470"/>
      <c r="DN63" s="116" t="e">
        <f>(($I$5*#REF!)/100)+((#REF!*$J$5)/100)+(($K$5*#REF!)/100)+($L$5*#REF!)+($M$5*#REF!)</f>
        <v>#REF!</v>
      </c>
    </row>
    <row r="64" spans="2:118" ht="15" thickBot="1" x14ac:dyDescent="0.35">
      <c r="B64" s="64"/>
      <c r="C64" s="148"/>
      <c r="D64" s="109"/>
      <c r="E64" s="63"/>
      <c r="F64" s="127"/>
      <c r="G64" s="50"/>
      <c r="H64" s="10"/>
      <c r="I64" s="10"/>
      <c r="J64" s="10"/>
      <c r="K64" s="10"/>
      <c r="L64" s="10"/>
      <c r="M64" s="39"/>
      <c r="N64" s="33">
        <f t="shared" si="0"/>
        <v>0</v>
      </c>
      <c r="O64" s="52" t="b">
        <f>IF(AND(E64="CLIENT S+L",F64="HUILE"),(S64*3333.33+(VLOOKUP(H64,'BASE '!$I$112:$J$142,2,0)))-((S64*3333.33)*G64),IF(AND(E64="CLIENT S+L",F64="LAIT"),((S64*952.4)-(S64*952.4)*G64),IF(E64="CLIENT O","OFFERT",IF(AND(F64="HUILE",E64="CLIENT L"),(((VLOOKUP(H64,'BASE '!$I$112:$J$142,2,0))+(VLOOKUP(S64,'BASE '!#REF!,2,0)))),IF(AND(F64="LAIT",E64="CLIENT L"),(S64*952.4),IF(AND(F64="HUILE",E64="CLIENT D"),(S64*3809.53+(VLOOKUP(H64,'BASE '!$I$112:$J$142,2,0))),IF(AND(F64="LAIT",E64="CLIENT D"),(S64*952.4),IF(AND(F64="HUILE",E64="CLIENT S+D"),((S64*3809.53+(VLOOKUP(H64,'BASE '!$I$112:$J$142,2,0)))-((S64*3809.53)*G64)),IF(AND(F64="LAIT",E64="CLIENT S+D"),((S64*952.4)-((S64*952.4)*G64)),IF(AND(E64="CLIENT S",F64="LAIT"),((S64*952.4)-((S64*952.4)*G64)),IF(AND(F64="HUILE",E64="CLIENT S"),(VLOOKUP(H64,'BASE '!$I$112:$J$142,2,0)+(VLOOKUP(S64,'BASE '!#REF!,2,0)))-(G64*((VLOOKUP(S64,'BASE '!#REF!,2,0)+(VLOOKUP(H64,'BASE '!$I$112:$J$142,2,0))))))))))))))))</f>
        <v>0</v>
      </c>
      <c r="P64" s="52" t="b">
        <f t="shared" si="1"/>
        <v>0</v>
      </c>
      <c r="Q64" s="53" t="b">
        <f t="shared" si="2"/>
        <v>0</v>
      </c>
      <c r="R64" s="152" t="s">
        <v>175</v>
      </c>
      <c r="S64" s="184">
        <f t="shared" si="6"/>
        <v>0</v>
      </c>
      <c r="T64" s="124"/>
      <c r="U64" s="41" t="s">
        <v>175</v>
      </c>
      <c r="V64" s="70" t="e">
        <f>VLOOKUP(U64,'BASE '!$A$4:$H$144,2,0)</f>
        <v>#N/A</v>
      </c>
      <c r="W64" s="159"/>
      <c r="X64" s="159"/>
      <c r="Y64" s="160"/>
      <c r="Z64" s="158" t="e">
        <f>VLOOKUP(U64,'BASE '!$A$4:$H$144,3,0)</f>
        <v>#N/A</v>
      </c>
      <c r="AA64" s="94" t="e">
        <f t="shared" si="3"/>
        <v>#N/A</v>
      </c>
      <c r="AB64" s="95" t="e">
        <f>VLOOKUP(U64,'BASE '!$A$4:$H$144,6,0)*Y64/100</f>
        <v>#N/A</v>
      </c>
      <c r="AC64" s="95" t="e">
        <f>VLOOKUP(U64,'BASE '!$A$4:$H$144,7,0)*Y64/100</f>
        <v>#N/A</v>
      </c>
      <c r="AD64" s="95" t="e">
        <f>VLOOKUP(U64,'BASE '!$A$4:$H$144,8,0)*Y64/100</f>
        <v>#N/A</v>
      </c>
      <c r="AE64" s="96" t="e">
        <f t="shared" si="7"/>
        <v>#N/A</v>
      </c>
      <c r="AF64" s="431"/>
      <c r="AG64" s="1" t="s">
        <v>155</v>
      </c>
      <c r="AH64" s="36" t="e">
        <f>SUMIFS($H$6:$H$165,$D$6:$D$165,AF63,CHOIX,AG64)</f>
        <v>#NAME?</v>
      </c>
      <c r="AI64" s="36" t="e">
        <f>SUMIFS($I$6:$I$165,$D$6:$D$165,AF63,CHOIX,AG64)</f>
        <v>#NAME?</v>
      </c>
      <c r="AJ64" s="36" t="e">
        <f>SUMIFS($J$6:$J$165,$D$6:$D$165,AF63,CHOIX,AG64)</f>
        <v>#NAME?</v>
      </c>
      <c r="AK64" s="36" t="e">
        <f>SUMIFS($K$6:$K$165,$D$6:$D$165,AF63,CHOIX,AG64)</f>
        <v>#NAME?</v>
      </c>
      <c r="AL64" s="36" t="e">
        <f>SUMIFS($L$6:$L$165,$D$6:$D$165,AF63,CHOIX,AG64)</f>
        <v>#NAME?</v>
      </c>
      <c r="AM64" s="36" t="e">
        <f>SUMIFS($M$6:$M$165,$D$6:$D$165,AF63,CHOIX,AG64)</f>
        <v>#NAME?</v>
      </c>
      <c r="AN64" s="1" t="s">
        <v>155</v>
      </c>
      <c r="AO64" s="83"/>
      <c r="AP64" s="63"/>
      <c r="AQ64" s="63"/>
      <c r="AR64" s="63"/>
      <c r="AS64" s="79"/>
      <c r="AT64" s="79"/>
      <c r="AU64" s="55" t="e">
        <f>SUMIFS($O$6:$O$165,$D$6:$D$165,AF63,CHOIX,AG64)</f>
        <v>#NAME?</v>
      </c>
      <c r="AV64" s="80" t="e">
        <f>SUMIFS($Q$6:$Q$165,$D$6:$D$165,AF63,CHOIX,AG64)</f>
        <v>#NAME?</v>
      </c>
      <c r="AZ64" s="470" t="s">
        <v>60</v>
      </c>
      <c r="BA64" s="470"/>
      <c r="BB64" s="470"/>
      <c r="BC64" s="470">
        <f>SUM(BC6:BC61)</f>
        <v>0</v>
      </c>
      <c r="BD64" s="470"/>
      <c r="BE64" s="470"/>
      <c r="BF64" s="470"/>
      <c r="BG64" s="470"/>
      <c r="BH64" s="470"/>
      <c r="BI64" s="470"/>
      <c r="BJ64" s="470"/>
      <c r="BK64" s="470"/>
      <c r="BL64" s="470"/>
      <c r="BM64" s="470"/>
      <c r="BN64" s="470"/>
      <c r="BO64" s="470"/>
      <c r="DN64" s="116" t="e">
        <f>(($I$5*#REF!)/100)+((#REF!*$J$5)/100)+(($K$5*#REF!)/100)+($L$5*#REF!)+($M$5*#REF!)</f>
        <v>#REF!</v>
      </c>
    </row>
    <row r="65" spans="2:118" ht="15" thickBot="1" x14ac:dyDescent="0.35">
      <c r="B65" s="64"/>
      <c r="C65" s="148"/>
      <c r="D65" s="109"/>
      <c r="E65" s="63"/>
      <c r="F65" s="127"/>
      <c r="G65" s="50"/>
      <c r="H65" s="10"/>
      <c r="I65" s="10"/>
      <c r="J65" s="10"/>
      <c r="K65" s="10"/>
      <c r="L65" s="10"/>
      <c r="M65" s="39"/>
      <c r="N65" s="33">
        <f t="shared" si="0"/>
        <v>0</v>
      </c>
      <c r="O65" s="52" t="b">
        <f>IF(AND(E65="CLIENT S+L",F65="HUILE"),(S65*3333.33+(VLOOKUP(H65,'BASE '!$I$112:$J$142,2,0)))-((S65*3333.33)*G65),IF(AND(E65="CLIENT S+L",F65="LAIT"),((S65*952.4)-(S65*952.4)*G65),IF(E65="CLIENT O","OFFERT",IF(AND(F65="HUILE",E65="CLIENT L"),(((VLOOKUP(H65,'BASE '!$I$112:$J$142,2,0))+(VLOOKUP(S65,'BASE '!#REF!,2,0)))),IF(AND(F65="LAIT",E65="CLIENT L"),(S65*952.4),IF(AND(F65="HUILE",E65="CLIENT D"),(S65*3809.53+(VLOOKUP(H65,'BASE '!$I$112:$J$142,2,0))),IF(AND(F65="LAIT",E65="CLIENT D"),(S65*952.4),IF(AND(F65="HUILE",E65="CLIENT S+D"),((S65*3809.53+(VLOOKUP(H65,'BASE '!$I$112:$J$142,2,0)))-((S65*3809.53)*G65)),IF(AND(F65="LAIT",E65="CLIENT S+D"),((S65*952.4)-((S65*952.4)*G65)),IF(AND(E65="CLIENT S",F65="LAIT"),((S65*952.4)-((S65*952.4)*G65)),IF(AND(F65="HUILE",E65="CLIENT S"),(VLOOKUP(H65,'BASE '!$I$112:$J$142,2,0)+(VLOOKUP(S65,'BASE '!#REF!,2,0)))-(G65*((VLOOKUP(S65,'BASE '!#REF!,2,0)+(VLOOKUP(H65,'BASE '!$I$112:$J$142,2,0))))))))))))))))</f>
        <v>0</v>
      </c>
      <c r="P65" s="52" t="b">
        <f t="shared" si="1"/>
        <v>0</v>
      </c>
      <c r="Q65" s="53" t="b">
        <f t="shared" si="2"/>
        <v>0</v>
      </c>
      <c r="R65" s="152" t="s">
        <v>175</v>
      </c>
      <c r="S65" s="184">
        <f t="shared" si="6"/>
        <v>0</v>
      </c>
      <c r="T65" s="124"/>
      <c r="U65" s="41" t="s">
        <v>175</v>
      </c>
      <c r="V65" s="70" t="e">
        <f>VLOOKUP(U65,'BASE '!$A$4:$H$144,2,0)</f>
        <v>#N/A</v>
      </c>
      <c r="W65" s="159"/>
      <c r="X65" s="159"/>
      <c r="Y65" s="160"/>
      <c r="Z65" s="158" t="e">
        <f>VLOOKUP(U65,'BASE '!$A$4:$H$144,3,0)</f>
        <v>#N/A</v>
      </c>
      <c r="AA65" s="94" t="e">
        <f t="shared" si="3"/>
        <v>#N/A</v>
      </c>
      <c r="AB65" s="95" t="e">
        <f>VLOOKUP(U65,'BASE '!$A$4:$H$144,6,0)*Y65/100</f>
        <v>#N/A</v>
      </c>
      <c r="AC65" s="95" t="e">
        <f>VLOOKUP(U65,'BASE '!$A$4:$H$144,7,0)*Y65/100</f>
        <v>#N/A</v>
      </c>
      <c r="AD65" s="95" t="e">
        <f>VLOOKUP(U65,'BASE '!$A$4:$H$144,8,0)*Y65/100</f>
        <v>#N/A</v>
      </c>
      <c r="AE65" s="96" t="e">
        <f t="shared" si="7"/>
        <v>#N/A</v>
      </c>
      <c r="AF65" s="431"/>
      <c r="AG65" s="91" t="s">
        <v>157</v>
      </c>
      <c r="AH65" s="36" t="e">
        <f>SUMIFS($H$6:$H$165,$D$6:$D$165,AF65,CHOIX,AG65)</f>
        <v>#NAME?</v>
      </c>
      <c r="AI65" s="36" t="e">
        <f>SUMIFS($I$6:$I$165,$D$6:$D$165,AF65,CHOIX,AG65)</f>
        <v>#NAME?</v>
      </c>
      <c r="AJ65" s="36" t="e">
        <f>SUMIFS($J$6:$J$165,$D$6:$D$165,AF65,CHOIX,AG65)</f>
        <v>#NAME?</v>
      </c>
      <c r="AK65" s="36" t="e">
        <f>SUMIFS($K$6:$K$165,$D$6:$D$165,AF65,CHOIX,AG65)</f>
        <v>#NAME?</v>
      </c>
      <c r="AL65" s="36" t="e">
        <f>SUMIFS($L$6:$L$165,$D$6:$D$165,AF65,CHOIX,AG65)</f>
        <v>#NAME?</v>
      </c>
      <c r="AM65" s="36" t="e">
        <f>SUMIFS($M$6:$M$165,$D$6:$D$165,AF65,CHOIX,AG65)</f>
        <v>#NAME?</v>
      </c>
      <c r="AN65" s="91" t="s">
        <v>157</v>
      </c>
      <c r="AO65" s="83"/>
      <c r="AP65" s="63"/>
      <c r="AQ65" s="63"/>
      <c r="AR65" s="63"/>
      <c r="AS65" s="79"/>
      <c r="AT65" s="79"/>
      <c r="AU65" s="55" t="e">
        <f>SUMIFS($O$6:$O$165,$D$6:$D$165,AF65,CHOIX,AG65)</f>
        <v>#NAME?</v>
      </c>
      <c r="AV65" s="80" t="e">
        <f>SUMIFS($Q$6:$Q$165,$D$6:$D$165,AF65,CHOIX,AG65)</f>
        <v>#NAME?</v>
      </c>
      <c r="AZ65" s="478" t="s">
        <v>165</v>
      </c>
      <c r="BA65" s="478"/>
      <c r="BB65" s="478"/>
      <c r="BC65" s="478"/>
      <c r="BD65" s="470">
        <f>SUM(BD6:BD61)</f>
        <v>0</v>
      </c>
      <c r="BE65" s="470"/>
      <c r="BF65" s="470"/>
      <c r="BG65" s="470"/>
      <c r="BH65" s="470"/>
      <c r="BI65" s="470"/>
      <c r="BJ65" s="470"/>
      <c r="BK65" s="470"/>
      <c r="BL65" s="470"/>
      <c r="BM65" s="470"/>
      <c r="BN65" s="470"/>
      <c r="BO65" s="470"/>
      <c r="DN65" s="116" t="e">
        <f>(($I$5*#REF!)/100)+((#REF!*$J$5)/100)+(($K$5*#REF!)/100)+($L$5*#REF!)+($M$5*#REF!)</f>
        <v>#REF!</v>
      </c>
    </row>
    <row r="66" spans="2:118" ht="15" thickBot="1" x14ac:dyDescent="0.35">
      <c r="B66" s="64"/>
      <c r="C66" s="148"/>
      <c r="D66" s="109"/>
      <c r="E66" s="63"/>
      <c r="F66" s="127"/>
      <c r="G66" s="50"/>
      <c r="H66" s="10"/>
      <c r="I66" s="10"/>
      <c r="J66" s="10"/>
      <c r="K66" s="10"/>
      <c r="L66" s="10"/>
      <c r="M66" s="39"/>
      <c r="N66" s="33">
        <f t="shared" si="0"/>
        <v>0</v>
      </c>
      <c r="O66" s="52" t="b">
        <f>IF(AND(E66="CLIENT S+L",F66="HUILE"),(S66*3333.33+(VLOOKUP(H66,'BASE '!$I$112:$J$142,2,0)))-((S66*3333.33)*G66),IF(AND(E66="CLIENT S+L",F66="LAIT"),((S66*952.4)-(S66*952.4)*G66),IF(E66="CLIENT O","OFFERT",IF(AND(F66="HUILE",E66="CLIENT L"),(((VLOOKUP(H66,'BASE '!$I$112:$J$142,2,0))+(VLOOKUP(S66,'BASE '!#REF!,2,0)))),IF(AND(F66="LAIT",E66="CLIENT L"),(S66*952.4),IF(AND(F66="HUILE",E66="CLIENT D"),(S66*3809.53+(VLOOKUP(H66,'BASE '!$I$112:$J$142,2,0))),IF(AND(F66="LAIT",E66="CLIENT D"),(S66*952.4),IF(AND(F66="HUILE",E66="CLIENT S+D"),((S66*3809.53+(VLOOKUP(H66,'BASE '!$I$112:$J$142,2,0)))-((S66*3809.53)*G66)),IF(AND(F66="LAIT",E66="CLIENT S+D"),((S66*952.4)-((S66*952.4)*G66)),IF(AND(E66="CLIENT S",F66="LAIT"),((S66*952.4)-((S66*952.4)*G66)),IF(AND(F66="HUILE",E66="CLIENT S"),(VLOOKUP(H66,'BASE '!$I$112:$J$142,2,0)+(VLOOKUP(S66,'BASE '!#REF!,2,0)))-(G66*((VLOOKUP(S66,'BASE '!#REF!,2,0)+(VLOOKUP(H66,'BASE '!$I$112:$J$142,2,0))))))))))))))))</f>
        <v>0</v>
      </c>
      <c r="P66" s="52" t="b">
        <f t="shared" si="1"/>
        <v>0</v>
      </c>
      <c r="Q66" s="53" t="b">
        <f t="shared" si="2"/>
        <v>0</v>
      </c>
      <c r="R66" s="152" t="s">
        <v>175</v>
      </c>
      <c r="S66" s="184">
        <f t="shared" si="6"/>
        <v>0</v>
      </c>
      <c r="T66" s="124"/>
      <c r="U66" s="41" t="s">
        <v>175</v>
      </c>
      <c r="V66" s="70" t="e">
        <f>VLOOKUP(U66,'BASE '!$A$4:$H$144,2,0)</f>
        <v>#N/A</v>
      </c>
      <c r="W66" s="159"/>
      <c r="X66" s="159"/>
      <c r="Y66" s="160"/>
      <c r="Z66" s="158" t="e">
        <f>VLOOKUP(U66,'BASE '!$A$4:$H$144,3,0)</f>
        <v>#N/A</v>
      </c>
      <c r="AA66" s="94" t="e">
        <f t="shared" si="3"/>
        <v>#N/A</v>
      </c>
      <c r="AB66" s="95" t="e">
        <f>VLOOKUP(U66,'BASE '!$A$4:$H$144,6,0)*Y66/100</f>
        <v>#N/A</v>
      </c>
      <c r="AC66" s="95" t="e">
        <f>VLOOKUP(U66,'BASE '!$A$4:$H$144,7,0)*Y66/100</f>
        <v>#N/A</v>
      </c>
      <c r="AD66" s="95" t="e">
        <f>VLOOKUP(U66,'BASE '!$A$4:$H$144,8,0)*Y66/100</f>
        <v>#N/A</v>
      </c>
      <c r="AE66" s="96" t="e">
        <f t="shared" si="7"/>
        <v>#N/A</v>
      </c>
      <c r="AF66" s="431"/>
      <c r="AG66" s="1" t="s">
        <v>155</v>
      </c>
      <c r="AH66" s="36" t="e">
        <f>SUMIFS($H$6:$H$165,$D$6:$D$165,AF65,CHOIX,AG66)</f>
        <v>#NAME?</v>
      </c>
      <c r="AI66" s="36" t="e">
        <f>SUMIFS($I$6:$I$165,$D$6:$D$165,AF65,CHOIX,AG66)</f>
        <v>#NAME?</v>
      </c>
      <c r="AJ66" s="36" t="e">
        <f>SUMIFS($J$6:$J$165,$D$6:$D$165,AF65,CHOIX,AG66)</f>
        <v>#NAME?</v>
      </c>
      <c r="AK66" s="36" t="e">
        <f>SUMIFS($K$6:$K$165,$D$6:$D$165,AF65,CHOIX,AG66)</f>
        <v>#NAME?</v>
      </c>
      <c r="AL66" s="36" t="e">
        <f>SUMIFS($L$6:$L$165,$D$6:$D$165,AF65,CHOIX,AG66)</f>
        <v>#NAME?</v>
      </c>
      <c r="AM66" s="36" t="e">
        <f>SUMIFS($M$6:$M$165,$D$6:$D$165,AF65,CHOIX,AG66)</f>
        <v>#NAME?</v>
      </c>
      <c r="AN66" s="1" t="s">
        <v>155</v>
      </c>
      <c r="AO66" s="83"/>
      <c r="AP66" s="63"/>
      <c r="AQ66" s="63"/>
      <c r="AR66" s="63"/>
      <c r="AS66" s="79"/>
      <c r="AT66" s="79"/>
      <c r="AU66" s="55" t="e">
        <f>SUMIFS($O$6:$O$165,$D$6:$D$165,AF65,CHOIX,AG66)</f>
        <v>#NAME?</v>
      </c>
      <c r="AV66" s="80" t="e">
        <f>SUMIFS($Q$6:$Q$165,$D$6:$D$165,AF65,CHOIX,AG66)</f>
        <v>#NAME?</v>
      </c>
      <c r="AZ66" s="470" t="s">
        <v>166</v>
      </c>
      <c r="BA66" s="470"/>
      <c r="BB66" s="470"/>
      <c r="BC66" s="470"/>
      <c r="BD66" s="470"/>
      <c r="BE66" s="470">
        <f>SUM(BE6:BE61)</f>
        <v>0</v>
      </c>
      <c r="BF66" s="470"/>
      <c r="BG66" s="470"/>
      <c r="BH66" s="470"/>
      <c r="BI66" s="470"/>
      <c r="BJ66" s="470"/>
      <c r="BK66" s="470"/>
      <c r="BL66" s="470"/>
      <c r="BM66" s="470"/>
      <c r="BN66" s="470"/>
      <c r="BO66" s="470"/>
      <c r="DN66" s="116" t="e">
        <f>(($I$5*#REF!)/100)+((#REF!*$J$5)/100)+(($K$5*#REF!)/100)+($L$5*#REF!)+($M$5*#REF!)</f>
        <v>#REF!</v>
      </c>
    </row>
    <row r="67" spans="2:118" ht="15" thickBot="1" x14ac:dyDescent="0.35">
      <c r="B67" s="64"/>
      <c r="C67" s="148"/>
      <c r="D67" s="109"/>
      <c r="E67" s="63"/>
      <c r="F67" s="127"/>
      <c r="G67" s="50"/>
      <c r="H67" s="10"/>
      <c r="I67" s="10"/>
      <c r="J67" s="10"/>
      <c r="K67" s="10"/>
      <c r="L67" s="10"/>
      <c r="M67" s="39"/>
      <c r="N67" s="33">
        <f t="shared" si="0"/>
        <v>0</v>
      </c>
      <c r="O67" s="52" t="b">
        <f>IF(AND(E67="CLIENT S+L",F67="HUILE"),(S67*3333.33+(VLOOKUP(H67,'BASE '!$I$112:$J$142,2,0)))-((S67*3333.33)*G67),IF(AND(E67="CLIENT S+L",F67="LAIT"),((S67*952.4)-(S67*952.4)*G67),IF(E67="CLIENT O","OFFERT",IF(AND(F67="HUILE",E67="CLIENT L"),(((VLOOKUP(H67,'BASE '!$I$112:$J$142,2,0))+(VLOOKUP(S67,'BASE '!#REF!,2,0)))),IF(AND(F67="LAIT",E67="CLIENT L"),(S67*952.4),IF(AND(F67="HUILE",E67="CLIENT D"),(S67*3809.53+(VLOOKUP(H67,'BASE '!$I$112:$J$142,2,0))),IF(AND(F67="LAIT",E67="CLIENT D"),(S67*952.4),IF(AND(F67="HUILE",E67="CLIENT S+D"),((S67*3809.53+(VLOOKUP(H67,'BASE '!$I$112:$J$142,2,0)))-((S67*3809.53)*G67)),IF(AND(F67="LAIT",E67="CLIENT S+D"),((S67*952.4)-((S67*952.4)*G67)),IF(AND(E67="CLIENT S",F67="LAIT"),((S67*952.4)-((S67*952.4)*G67)),IF(AND(F67="HUILE",E67="CLIENT S"),(VLOOKUP(H67,'BASE '!$I$112:$J$142,2,0)+(VLOOKUP(S67,'BASE '!#REF!,2,0)))-(G67*((VLOOKUP(S67,'BASE '!#REF!,2,0)+(VLOOKUP(H67,'BASE '!$I$112:$J$142,2,0))))))))))))))))</f>
        <v>0</v>
      </c>
      <c r="P67" s="52" t="b">
        <f t="shared" si="1"/>
        <v>0</v>
      </c>
      <c r="Q67" s="53" t="b">
        <f t="shared" si="2"/>
        <v>0</v>
      </c>
      <c r="R67" s="152" t="s">
        <v>175</v>
      </c>
      <c r="S67" s="184">
        <f t="shared" si="6"/>
        <v>0</v>
      </c>
      <c r="T67" s="124"/>
      <c r="U67" s="41" t="s">
        <v>175</v>
      </c>
      <c r="V67" s="70" t="e">
        <f>VLOOKUP(U67,'BASE '!$A$4:$H$144,2,0)</f>
        <v>#N/A</v>
      </c>
      <c r="W67" s="159"/>
      <c r="X67" s="159"/>
      <c r="Y67" s="160"/>
      <c r="Z67" s="158" t="e">
        <f>VLOOKUP(U67,'BASE '!$A$4:$H$144,3,0)</f>
        <v>#N/A</v>
      </c>
      <c r="AA67" s="94" t="e">
        <f t="shared" si="3"/>
        <v>#N/A</v>
      </c>
      <c r="AB67" s="95" t="e">
        <f>VLOOKUP(U67,'BASE '!$A$4:$H$144,6,0)*Y67/100</f>
        <v>#N/A</v>
      </c>
      <c r="AC67" s="95" t="e">
        <f>VLOOKUP(U67,'BASE '!$A$4:$H$144,7,0)*Y67/100</f>
        <v>#N/A</v>
      </c>
      <c r="AD67" s="95" t="e">
        <f>VLOOKUP(U67,'BASE '!$A$4:$H$144,8,0)*Y67/100</f>
        <v>#N/A</v>
      </c>
      <c r="AE67" s="96" t="e">
        <f t="shared" si="7"/>
        <v>#N/A</v>
      </c>
      <c r="AF67" s="431"/>
      <c r="AG67" s="91" t="s">
        <v>157</v>
      </c>
      <c r="AH67" s="36" t="e">
        <f>SUMIFS($H$6:$H$165,$D$6:$D$165,AF67,CHOIX,AG67)</f>
        <v>#NAME?</v>
      </c>
      <c r="AI67" s="36" t="e">
        <f>SUMIFS($I$6:$I$165,$D$6:$D$165,AF67,CHOIX,AG67)</f>
        <v>#NAME?</v>
      </c>
      <c r="AJ67" s="36" t="e">
        <f>SUMIFS($J$6:$J$165,$D$6:$D$165,AF67,CHOIX,AG67)</f>
        <v>#NAME?</v>
      </c>
      <c r="AK67" s="36" t="e">
        <f>SUMIFS($K$6:$K$165,$D$6:$D$165,AF67,CHOIX,AG67)</f>
        <v>#NAME?</v>
      </c>
      <c r="AL67" s="36" t="e">
        <f>SUMIFS($L$6:$L$165,$D$6:$D$165,AF67,CHOIX,AG67)</f>
        <v>#NAME?</v>
      </c>
      <c r="AM67" s="36" t="e">
        <f>SUMIFS($M$6:$M$165,$D$6:$D$165,AF67,CHOIX,AG67)</f>
        <v>#NAME?</v>
      </c>
      <c r="AN67" s="91" t="s">
        <v>157</v>
      </c>
      <c r="AO67" s="83"/>
      <c r="AP67" s="63"/>
      <c r="AQ67" s="63"/>
      <c r="AR67" s="63"/>
      <c r="AS67" s="79"/>
      <c r="AT67" s="79"/>
      <c r="AU67" s="55" t="e">
        <f>SUMIFS($O$6:$O$165,$D$6:$D$165,AF67,CHOIX,AG67)</f>
        <v>#NAME?</v>
      </c>
      <c r="AV67" s="80" t="e">
        <f>SUMIFS($Q$6:$Q$165,$D$6:$D$165,AF67,CHOIX,AG67)</f>
        <v>#NAME?</v>
      </c>
      <c r="AZ67" s="470" t="s">
        <v>167</v>
      </c>
      <c r="BA67" s="470"/>
      <c r="BB67" s="470"/>
      <c r="BC67" s="470"/>
      <c r="BD67" s="470"/>
      <c r="BE67" s="470"/>
      <c r="BF67" s="470">
        <f>SUM(BF6:BF61)</f>
        <v>0</v>
      </c>
      <c r="BG67" s="470"/>
      <c r="BH67" s="470"/>
      <c r="BI67" s="470"/>
      <c r="BJ67" s="470"/>
      <c r="BK67" s="470"/>
      <c r="BL67" s="470"/>
      <c r="BM67" s="470"/>
      <c r="BN67" s="470"/>
      <c r="BO67" s="470"/>
      <c r="DN67" s="116" t="e">
        <f>(($I$5*#REF!)/100)+((#REF!*$J$5)/100)+(($K$5*#REF!)/100)+($L$5*#REF!)+($M$5*#REF!)</f>
        <v>#REF!</v>
      </c>
    </row>
    <row r="68" spans="2:118" ht="15" customHeight="1" thickBot="1" x14ac:dyDescent="0.35">
      <c r="B68" s="64"/>
      <c r="C68" s="148"/>
      <c r="D68" s="109"/>
      <c r="E68" s="63"/>
      <c r="F68" s="127"/>
      <c r="G68" s="50"/>
      <c r="H68" s="10"/>
      <c r="I68" s="10"/>
      <c r="J68" s="10"/>
      <c r="K68" s="10"/>
      <c r="L68" s="10"/>
      <c r="M68" s="39"/>
      <c r="N68" s="33">
        <f t="shared" si="0"/>
        <v>0</v>
      </c>
      <c r="O68" s="52" t="b">
        <f>IF(AND(E68="CLIENT S+L",F68="HUILE"),(S68*3333.33+(VLOOKUP(H68,'BASE '!$I$112:$J$142,2,0)))-((S68*3333.33)*G68),IF(AND(E68="CLIENT S+L",F68="LAIT"),((S68*952.4)-(S68*952.4)*G68),IF(E68="CLIENT O","OFFERT",IF(AND(F68="HUILE",E68="CLIENT L"),(((VLOOKUP(H68,'BASE '!$I$112:$J$142,2,0))+(VLOOKUP(S68,'BASE '!#REF!,2,0)))),IF(AND(F68="LAIT",E68="CLIENT L"),(S68*952.4),IF(AND(F68="HUILE",E68="CLIENT D"),(S68*3809.53+(VLOOKUP(H68,'BASE '!$I$112:$J$142,2,0))),IF(AND(F68="LAIT",E68="CLIENT D"),(S68*952.4),IF(AND(F68="HUILE",E68="CLIENT S+D"),((S68*3809.53+(VLOOKUP(H68,'BASE '!$I$112:$J$142,2,0)))-((S68*3809.53)*G68)),IF(AND(F68="LAIT",E68="CLIENT S+D"),((S68*952.4)-((S68*952.4)*G68)),IF(AND(E68="CLIENT S",F68="LAIT"),((S68*952.4)-((S68*952.4)*G68)),IF(AND(F68="HUILE",E68="CLIENT S"),(VLOOKUP(H68,'BASE '!$I$112:$J$142,2,0)+(VLOOKUP(S68,'BASE '!#REF!,2,0)))-(G68*((VLOOKUP(S68,'BASE '!#REF!,2,0)+(VLOOKUP(H68,'BASE '!$I$112:$J$142,2,0))))))))))))))))</f>
        <v>0</v>
      </c>
      <c r="P68" s="52" t="b">
        <f t="shared" si="1"/>
        <v>0</v>
      </c>
      <c r="Q68" s="53" t="b">
        <f t="shared" si="2"/>
        <v>0</v>
      </c>
      <c r="R68" s="152" t="s">
        <v>175</v>
      </c>
      <c r="S68" s="184">
        <f t="shared" si="6"/>
        <v>0</v>
      </c>
      <c r="T68" s="124"/>
      <c r="U68" s="41" t="s">
        <v>175</v>
      </c>
      <c r="V68" s="70" t="e">
        <f>VLOOKUP(U68,'BASE '!$A$4:$H$144,2,0)</f>
        <v>#N/A</v>
      </c>
      <c r="W68" s="159"/>
      <c r="X68" s="159"/>
      <c r="Y68" s="160"/>
      <c r="Z68" s="158" t="e">
        <f>VLOOKUP(U68,'BASE '!$A$4:$H$144,3,0)</f>
        <v>#N/A</v>
      </c>
      <c r="AA68" s="94" t="e">
        <f t="shared" si="3"/>
        <v>#N/A</v>
      </c>
      <c r="AB68" s="95" t="e">
        <f>VLOOKUP(U68,'BASE '!$A$4:$H$144,6,0)*Y68/100</f>
        <v>#N/A</v>
      </c>
      <c r="AC68" s="95" t="e">
        <f>VLOOKUP(U68,'BASE '!$A$4:$H$144,7,0)*Y68/100</f>
        <v>#N/A</v>
      </c>
      <c r="AD68" s="95" t="e">
        <f>VLOOKUP(U68,'BASE '!$A$4:$H$144,8,0)*Y68/100</f>
        <v>#N/A</v>
      </c>
      <c r="AE68" s="96" t="e">
        <f t="shared" si="7"/>
        <v>#N/A</v>
      </c>
      <c r="AF68" s="432"/>
      <c r="AG68" s="92" t="s">
        <v>155</v>
      </c>
      <c r="AH68" s="37" t="e">
        <f>SUMIFS($H$6:$H$165,$D$6:$D$165,AF67,CHOIX,AG68)</f>
        <v>#NAME?</v>
      </c>
      <c r="AI68" s="37" t="e">
        <f>SUMIFS($I$6:$I$165,$D$6:$D$165,AF67,CHOIX,AG68)</f>
        <v>#NAME?</v>
      </c>
      <c r="AJ68" s="37" t="e">
        <f>SUMIFS($J$6:$J$165,$D$6:$D$165,AF67,CHOIX,AG68)</f>
        <v>#NAME?</v>
      </c>
      <c r="AK68" s="37" t="e">
        <f>SUMIFS($K$6:$K$165,$D$6:$D$165,AF67,CHOIX,AG68)</f>
        <v>#NAME?</v>
      </c>
      <c r="AL68" s="37" t="e">
        <f>SUMIFS($L$6:$L$165,$D$6:$D$165,AF67,CHOIX,AG68)</f>
        <v>#NAME?</v>
      </c>
      <c r="AM68" s="37" t="e">
        <f>SUMIFS($M$6:$M$165,$D$6:$D$165,AF67,CHOIX,AG68)</f>
        <v>#NAME?</v>
      </c>
      <c r="AN68" s="92" t="s">
        <v>155</v>
      </c>
      <c r="AO68" s="84"/>
      <c r="AP68" s="44"/>
      <c r="AQ68" s="44"/>
      <c r="AR68" s="44"/>
      <c r="AS68" s="85"/>
      <c r="AT68" s="85"/>
      <c r="AU68" s="56" t="e">
        <f>SUMIFS($O$6:$O$165,$D$6:$D$165,AF67,CHOIX,AG68)</f>
        <v>#NAME?</v>
      </c>
      <c r="AV68" s="86" t="e">
        <f>SUMIFS($Q$6:$Q$165,$D$6:$D$165,AF67,CHOIX,AG68)</f>
        <v>#NAME?</v>
      </c>
      <c r="AZ68" s="470" t="s">
        <v>168</v>
      </c>
      <c r="BA68" s="470"/>
      <c r="BB68" s="470"/>
      <c r="BC68" s="470"/>
      <c r="BD68" s="470"/>
      <c r="BE68" s="470"/>
      <c r="BF68" s="470"/>
      <c r="BG68" s="470">
        <f>SUM(BG6:BG61)</f>
        <v>0</v>
      </c>
      <c r="BH68" s="470"/>
      <c r="BI68" s="470"/>
      <c r="BJ68" s="470"/>
      <c r="BK68" s="470"/>
      <c r="BL68" s="470"/>
      <c r="BM68" s="470"/>
      <c r="BN68" s="470"/>
      <c r="BO68" s="470"/>
      <c r="DN68" s="116" t="e">
        <f>(($I$5*#REF!)/100)+((#REF!*$J$5)/100)+(($K$5*#REF!)/100)+($L$5*#REF!)+($M$5*#REF!)</f>
        <v>#REF!</v>
      </c>
    </row>
    <row r="69" spans="2:118" ht="15" customHeight="1" thickBot="1" x14ac:dyDescent="0.35">
      <c r="B69" s="64"/>
      <c r="C69" s="148"/>
      <c r="D69" s="109"/>
      <c r="E69" s="63"/>
      <c r="F69" s="127"/>
      <c r="G69" s="50"/>
      <c r="H69" s="10"/>
      <c r="I69" s="10"/>
      <c r="J69" s="10"/>
      <c r="K69" s="10"/>
      <c r="L69" s="10"/>
      <c r="M69" s="39"/>
      <c r="N69" s="33">
        <f t="shared" si="0"/>
        <v>0</v>
      </c>
      <c r="O69" s="52" t="b">
        <f>IF(AND(E69="CLIENT S+L",F69="HUILE"),(S69*3333.33+(VLOOKUP(H69,'BASE '!$I$112:$J$142,2,0)))-((S69*3333.33)*G69),IF(AND(E69="CLIENT S+L",F69="LAIT"),((S69*952.4)-(S69*952.4)*G69),IF(E69="CLIENT O","OFFERT",IF(AND(F69="HUILE",E69="CLIENT L"),(((VLOOKUP(H69,'BASE '!$I$112:$J$142,2,0))+(VLOOKUP(S69,'BASE '!#REF!,2,0)))),IF(AND(F69="LAIT",E69="CLIENT L"),(S69*952.4),IF(AND(F69="HUILE",E69="CLIENT D"),(S69*3809.53+(VLOOKUP(H69,'BASE '!$I$112:$J$142,2,0))),IF(AND(F69="LAIT",E69="CLIENT D"),(S69*952.4),IF(AND(F69="HUILE",E69="CLIENT S+D"),((S69*3809.53+(VLOOKUP(H69,'BASE '!$I$112:$J$142,2,0)))-((S69*3809.53)*G69)),IF(AND(F69="LAIT",E69="CLIENT S+D"),((S69*952.4)-((S69*952.4)*G69)),IF(AND(E69="CLIENT S",F69="LAIT"),((S69*952.4)-((S69*952.4)*G69)),IF(AND(F69="HUILE",E69="CLIENT S"),(VLOOKUP(H69,'BASE '!$I$112:$J$142,2,0)+(VLOOKUP(S69,'BASE '!#REF!,2,0)))-(G69*((VLOOKUP(S69,'BASE '!#REF!,2,0)+(VLOOKUP(H69,'BASE '!$I$112:$J$142,2,0))))))))))))))))</f>
        <v>0</v>
      </c>
      <c r="P69" s="52" t="b">
        <f t="shared" si="1"/>
        <v>0</v>
      </c>
      <c r="Q69" s="53" t="b">
        <f t="shared" si="2"/>
        <v>0</v>
      </c>
      <c r="R69" s="152" t="s">
        <v>175</v>
      </c>
      <c r="S69" s="184">
        <f t="shared" si="6"/>
        <v>0</v>
      </c>
      <c r="T69" s="124"/>
      <c r="U69" s="41" t="s">
        <v>175</v>
      </c>
      <c r="V69" s="70" t="e">
        <f>VLOOKUP(U69,'BASE '!$A$4:$H$144,2,0)</f>
        <v>#N/A</v>
      </c>
      <c r="W69" s="159"/>
      <c r="X69" s="159"/>
      <c r="Y69" s="160"/>
      <c r="Z69" s="158" t="e">
        <f>VLOOKUP(U69,'BASE '!$A$4:$H$144,3,0)</f>
        <v>#N/A</v>
      </c>
      <c r="AA69" s="94" t="e">
        <f t="shared" si="3"/>
        <v>#N/A</v>
      </c>
      <c r="AB69" s="95" t="e">
        <f>VLOOKUP(U69,'BASE '!$A$4:$H$144,6,0)*Y69/100</f>
        <v>#N/A</v>
      </c>
      <c r="AC69" s="95" t="e">
        <f>VLOOKUP(U69,'BASE '!$A$4:$H$144,7,0)*Y69/100</f>
        <v>#N/A</v>
      </c>
      <c r="AD69" s="95" t="e">
        <f>VLOOKUP(U69,'BASE '!$A$4:$H$144,8,0)*Y69/100</f>
        <v>#N/A</v>
      </c>
      <c r="AE69" s="96" t="e">
        <f t="shared" si="7"/>
        <v>#N/A</v>
      </c>
      <c r="AF69" s="455" t="s">
        <v>63</v>
      </c>
      <c r="AG69" s="91" t="s">
        <v>157</v>
      </c>
      <c r="AH69" s="87" t="e">
        <f>SUM(AH7,AH9,AH11,AH13,AH15,AH17,AH19,AH21,AH23,AH25,AH27,AH29,AH31,AH33,AH35,AH37,AH39,AH41,AH43,AH45,AH47,AH49,AH51,AH53,AH55,AH57,AH59,AH61,AH63,AH65,AH67)</f>
        <v>#NAME?</v>
      </c>
      <c r="AI69" s="87" t="e">
        <f>SUM(AI7,AI9,AI11,AI13,AI15,AI17,AI19,AI21,AI23,AI25,AI27,AI29,AI31,AI33,AI35,AI37,AI39,AI41,AI43,AI45,AI47,AI49,AI51,AI53,AI55,AI57,AI59,AI61,AI63,AI65,AI67)</f>
        <v>#NAME?</v>
      </c>
      <c r="AJ69" s="87" t="e">
        <f t="shared" ref="AJ69:AT70" si="30">SUM(AJ7,AJ9,AJ11,AJ13,AJ15,AJ17,AJ19,AJ21,AJ23,AJ25,AJ27,AJ29,AJ31,AJ33,AJ35,AJ37,AJ39,AJ41,AJ43,AJ45,AJ47,AJ49,AJ51,AJ53,AJ55,AJ57,AJ59,AJ61,AJ63,AJ65,AJ67)</f>
        <v>#NAME?</v>
      </c>
      <c r="AK69" s="87" t="e">
        <f t="shared" si="30"/>
        <v>#NAME?</v>
      </c>
      <c r="AL69" s="87" t="e">
        <f t="shared" si="30"/>
        <v>#NAME?</v>
      </c>
      <c r="AM69" s="87" t="e">
        <f t="shared" si="30"/>
        <v>#NAME?</v>
      </c>
      <c r="AN69" s="91" t="s">
        <v>157</v>
      </c>
      <c r="AO69" s="87">
        <f t="shared" si="30"/>
        <v>0</v>
      </c>
      <c r="AP69" s="87">
        <f t="shared" si="30"/>
        <v>0</v>
      </c>
      <c r="AQ69" s="87">
        <f t="shared" si="30"/>
        <v>0</v>
      </c>
      <c r="AR69" s="87">
        <f t="shared" si="30"/>
        <v>0</v>
      </c>
      <c r="AS69" s="87">
        <f t="shared" si="30"/>
        <v>0</v>
      </c>
      <c r="AT69" s="87">
        <f t="shared" si="30"/>
        <v>0</v>
      </c>
      <c r="AU69" s="472" t="e">
        <f>SUMIF(AU7:AU68,"&lt;&gt;#N/A")</f>
        <v>#NAME?</v>
      </c>
      <c r="AV69" s="472" t="e">
        <f>SUMIF(AV7:AV68,"&lt;&gt;#N/A")</f>
        <v>#NAME?</v>
      </c>
      <c r="AZ69" s="470" t="s">
        <v>169</v>
      </c>
      <c r="BA69" s="470"/>
      <c r="BB69" s="470"/>
      <c r="BC69" s="470"/>
      <c r="BD69" s="470"/>
      <c r="BE69" s="470"/>
      <c r="BF69" s="470"/>
      <c r="BG69" s="470"/>
      <c r="BH69" s="470">
        <f>SUM(BH6:BH61)</f>
        <v>0</v>
      </c>
      <c r="BI69" s="470"/>
      <c r="BJ69" s="470"/>
      <c r="BK69" s="470"/>
      <c r="BL69" s="470"/>
      <c r="BM69" s="470"/>
      <c r="BN69" s="470"/>
      <c r="BO69" s="470"/>
      <c r="DN69" s="116" t="e">
        <f>(($I$5*#REF!)/100)+((#REF!*$J$5)/100)+(($K$5*#REF!)/100)+($L$5*#REF!)+($M$5*#REF!)</f>
        <v>#REF!</v>
      </c>
    </row>
    <row r="70" spans="2:118" ht="15" customHeight="1" thickBot="1" x14ac:dyDescent="0.35">
      <c r="B70" s="64"/>
      <c r="C70" s="148"/>
      <c r="D70" s="109"/>
      <c r="E70" s="63"/>
      <c r="F70" s="127"/>
      <c r="G70" s="50"/>
      <c r="H70" s="10"/>
      <c r="I70" s="10"/>
      <c r="J70" s="10"/>
      <c r="K70" s="10"/>
      <c r="L70" s="10"/>
      <c r="M70" s="39"/>
      <c r="N70" s="33">
        <f t="shared" ref="N70:N133" si="31">((($H$5*H70)/100)+($I$5*I70)/100)+((J70*$J$5)/100)+(($K$5*K70)/100)+($L$5*L70)+($M$5*M70)</f>
        <v>0</v>
      </c>
      <c r="O70" s="52" t="b">
        <f>IF(AND(E70="CLIENT S+L",F70="HUILE"),(S70*3333.33+(VLOOKUP(H70,'BASE '!$I$112:$J$142,2,0)))-((S70*3333.33)*G70),IF(AND(E70="CLIENT S+L",F70="LAIT"),((S70*952.4)-(S70*952.4)*G70),IF(E70="CLIENT O","OFFERT",IF(AND(F70="HUILE",E70="CLIENT L"),(((VLOOKUP(H70,'BASE '!$I$112:$J$142,2,0))+(VLOOKUP(S70,'BASE '!#REF!,2,0)))),IF(AND(F70="LAIT",E70="CLIENT L"),(S70*952.4),IF(AND(F70="HUILE",E70="CLIENT D"),(S70*3809.53+(VLOOKUP(H70,'BASE '!$I$112:$J$142,2,0))),IF(AND(F70="LAIT",E70="CLIENT D"),(S70*952.4),IF(AND(F70="HUILE",E70="CLIENT S+D"),((S70*3809.53+(VLOOKUP(H70,'BASE '!$I$112:$J$142,2,0)))-((S70*3809.53)*G70)),IF(AND(F70="LAIT",E70="CLIENT S+D"),((S70*952.4)-((S70*952.4)*G70)),IF(AND(E70="CLIENT S",F70="LAIT"),((S70*952.4)-((S70*952.4)*G70)),IF(AND(F70="HUILE",E70="CLIENT S"),(VLOOKUP(H70,'BASE '!$I$112:$J$142,2,0)+(VLOOKUP(S70,'BASE '!#REF!,2,0)))-(G70*((VLOOKUP(S70,'BASE '!#REF!,2,0)+(VLOOKUP(H70,'BASE '!$I$112:$J$142,2,0))))))))))))))))</f>
        <v>0</v>
      </c>
      <c r="P70" s="52" t="b">
        <f t="shared" ref="P70:P133" si="32">IF(E70="CLIENT S+L",(O70*0.05),IF(E70="CLIENT S",(O70*0.05),IF(E70="CLIENT D",(O70*5/100),IF(E70="CLIENT L",(O70*5)/100,IF(E70="CLIENT S+D",(O70*0.05),IF(E70="CLIENT O",O70))))))</f>
        <v>0</v>
      </c>
      <c r="Q70" s="53" t="b">
        <f t="shared" ref="Q70:Q133" si="33">IF(E70="CLIENT S+L",(O70+P70),IF(E70="CLIENT D",O70+P70,IF(E70="CLIENT S",(O70+P70),IF(E70="CLIENT L",O70+P70,IF(E70="CLIENT S+D",(O70+P70),IF(E70="CLIENT O",P70))))))</f>
        <v>0</v>
      </c>
      <c r="R70" s="152" t="s">
        <v>175</v>
      </c>
      <c r="S70" s="184">
        <f t="shared" si="6"/>
        <v>0</v>
      </c>
      <c r="T70" s="124"/>
      <c r="U70" s="41" t="s">
        <v>175</v>
      </c>
      <c r="V70" s="70" t="e">
        <f>VLOOKUP(U70,'BASE '!$A$4:$H$144,2,0)</f>
        <v>#N/A</v>
      </c>
      <c r="W70" s="159"/>
      <c r="X70" s="159"/>
      <c r="Y70" s="160"/>
      <c r="Z70" s="158" t="e">
        <f>VLOOKUP(U70,'BASE '!$A$4:$H$144,3,0)</f>
        <v>#N/A</v>
      </c>
      <c r="AA70" s="94" t="e">
        <f t="shared" ref="AA70:AA133" si="34">(Y70*Z70)/100</f>
        <v>#N/A</v>
      </c>
      <c r="AB70" s="95" t="e">
        <f>VLOOKUP(U70,'BASE '!$A$4:$H$144,6,0)*Y70/100</f>
        <v>#N/A</v>
      </c>
      <c r="AC70" s="95" t="e">
        <f>VLOOKUP(U70,'BASE '!$A$4:$H$144,7,0)*Y70/100</f>
        <v>#N/A</v>
      </c>
      <c r="AD70" s="95" t="e">
        <f>VLOOKUP(U70,'BASE '!$A$4:$H$144,8,0)*Y70/100</f>
        <v>#N/A</v>
      </c>
      <c r="AE70" s="96" t="e">
        <f t="shared" si="7"/>
        <v>#N/A</v>
      </c>
      <c r="AF70" s="456"/>
      <c r="AG70" s="92" t="s">
        <v>155</v>
      </c>
      <c r="AH70" s="87" t="e">
        <f>SUM(AH8,AH10,AH12,AH14,AH16,AH18,AH20,AH22,AH24,AH26,AH28,AH30,AH32,AH34,AH36,AH38,AH40,AH42,AH44,AH46,AH48,AH50,AH52,AH54,AH56,AH58,AH60,AH62,AH64,AH66,AH68)</f>
        <v>#NAME?</v>
      </c>
      <c r="AI70" s="87" t="e">
        <f>SUM(AI8,AI10,AI12,AI14,AI16,AI18,AI20,AI22,AI24,AI26,AI28,AI30,AI32,AI34,AI36,AI38,AI40,AI42,AI44,AI46,AI48,AI50,AI52,AI54,AI56,AI58,AI60,AI62,AI64,AI66,AI68)</f>
        <v>#NAME?</v>
      </c>
      <c r="AJ70" s="87" t="e">
        <f t="shared" si="30"/>
        <v>#NAME?</v>
      </c>
      <c r="AK70" s="87" t="e">
        <f t="shared" si="30"/>
        <v>#NAME?</v>
      </c>
      <c r="AL70" s="87" t="e">
        <f t="shared" si="30"/>
        <v>#NAME?</v>
      </c>
      <c r="AM70" s="87" t="e">
        <f t="shared" si="30"/>
        <v>#NAME?</v>
      </c>
      <c r="AN70" s="92" t="s">
        <v>155</v>
      </c>
      <c r="AO70" s="87">
        <f t="shared" si="30"/>
        <v>0</v>
      </c>
      <c r="AP70" s="87">
        <f t="shared" si="30"/>
        <v>0</v>
      </c>
      <c r="AQ70" s="87">
        <f t="shared" si="30"/>
        <v>0</v>
      </c>
      <c r="AR70" s="87">
        <f t="shared" si="30"/>
        <v>0</v>
      </c>
      <c r="AS70" s="87">
        <f t="shared" si="30"/>
        <v>0</v>
      </c>
      <c r="AT70" s="87">
        <f t="shared" si="30"/>
        <v>0</v>
      </c>
      <c r="AU70" s="473"/>
      <c r="AV70" s="473"/>
      <c r="AZ70" s="471" t="s">
        <v>170</v>
      </c>
      <c r="BA70" s="471"/>
      <c r="BB70" s="471"/>
      <c r="BC70" s="471"/>
      <c r="BD70" s="471"/>
      <c r="BE70" s="471"/>
      <c r="BF70" s="471"/>
      <c r="BG70" s="471"/>
      <c r="BH70" s="471"/>
      <c r="BI70" s="471">
        <f>SUM(BI6:BI61)</f>
        <v>0</v>
      </c>
      <c r="BJ70" s="471"/>
      <c r="BK70" s="471"/>
      <c r="BL70" s="471"/>
      <c r="BM70" s="471"/>
      <c r="BN70" s="471"/>
      <c r="BO70" s="471"/>
      <c r="DN70" s="116" t="e">
        <f>(($I$5*#REF!)/100)+((#REF!*$J$5)/100)+(($K$5*#REF!)/100)+($L$5*#REF!)+($M$5*#REF!)</f>
        <v>#REF!</v>
      </c>
    </row>
    <row r="71" spans="2:118" ht="15" customHeight="1" thickBot="1" x14ac:dyDescent="0.35">
      <c r="B71" s="64"/>
      <c r="C71" s="148"/>
      <c r="D71" s="109"/>
      <c r="E71" s="63"/>
      <c r="F71" s="127"/>
      <c r="G71" s="50"/>
      <c r="H71" s="10"/>
      <c r="I71" s="10"/>
      <c r="J71" s="10"/>
      <c r="K71" s="10"/>
      <c r="L71" s="10"/>
      <c r="M71" s="39"/>
      <c r="N71" s="33">
        <f t="shared" si="31"/>
        <v>0</v>
      </c>
      <c r="O71" s="52" t="b">
        <f>IF(AND(E71="CLIENT S+L",F71="HUILE"),(S71*3333.33+(VLOOKUP(H71,'BASE '!$I$112:$J$142,2,0)))-((S71*3333.33)*G71),IF(AND(E71="CLIENT S+L",F71="LAIT"),((S71*952.4)-(S71*952.4)*G71),IF(E71="CLIENT O","OFFERT",IF(AND(F71="HUILE",E71="CLIENT L"),(((VLOOKUP(H71,'BASE '!$I$112:$J$142,2,0))+(VLOOKUP(S71,'BASE '!#REF!,2,0)))),IF(AND(F71="LAIT",E71="CLIENT L"),(S71*952.4),IF(AND(F71="HUILE",E71="CLIENT D"),(S71*3809.53+(VLOOKUP(H71,'BASE '!$I$112:$J$142,2,0))),IF(AND(F71="LAIT",E71="CLIENT D"),(S71*952.4),IF(AND(F71="HUILE",E71="CLIENT S+D"),((S71*3809.53+(VLOOKUP(H71,'BASE '!$I$112:$J$142,2,0)))-((S71*3809.53)*G71)),IF(AND(F71="LAIT",E71="CLIENT S+D"),((S71*952.4)-((S71*952.4)*G71)),IF(AND(E71="CLIENT S",F71="LAIT"),((S71*952.4)-((S71*952.4)*G71)),IF(AND(F71="HUILE",E71="CLIENT S"),(VLOOKUP(H71,'BASE '!$I$112:$J$142,2,0)+(VLOOKUP(S71,'BASE '!#REF!,2,0)))-(G71*((VLOOKUP(S71,'BASE '!#REF!,2,0)+(VLOOKUP(H71,'BASE '!$I$112:$J$142,2,0))))))))))))))))</f>
        <v>0</v>
      </c>
      <c r="P71" s="52" t="b">
        <f t="shared" si="32"/>
        <v>0</v>
      </c>
      <c r="Q71" s="53" t="b">
        <f t="shared" si="33"/>
        <v>0</v>
      </c>
      <c r="R71" s="152" t="s">
        <v>175</v>
      </c>
      <c r="S71" s="184">
        <f t="shared" ref="S71:S134" si="35">(($I$5*I71)/100)+((J71*$J$5)/100)+(($K$5*K71)/100)+($L$5*L71)+($M$5*M71)</f>
        <v>0</v>
      </c>
      <c r="T71" s="124"/>
      <c r="U71" s="41" t="s">
        <v>175</v>
      </c>
      <c r="V71" s="70" t="e">
        <f>VLOOKUP(U71,'BASE '!$A$4:$H$144,2,0)</f>
        <v>#N/A</v>
      </c>
      <c r="W71" s="159"/>
      <c r="X71" s="159"/>
      <c r="Y71" s="160"/>
      <c r="Z71" s="158" t="e">
        <f>VLOOKUP(U71,'BASE '!$A$4:$H$144,3,0)</f>
        <v>#N/A</v>
      </c>
      <c r="AA71" s="94" t="e">
        <f t="shared" si="34"/>
        <v>#N/A</v>
      </c>
      <c r="AB71" s="95" t="e">
        <f>VLOOKUP(U71,'BASE '!$A$4:$H$144,6,0)*Y71/100</f>
        <v>#N/A</v>
      </c>
      <c r="AC71" s="95" t="e">
        <f>VLOOKUP(U71,'BASE '!$A$4:$H$144,7,0)*Y71/100</f>
        <v>#N/A</v>
      </c>
      <c r="AD71" s="95" t="e">
        <f>VLOOKUP(U71,'BASE '!$A$4:$H$144,8,0)*Y71/100</f>
        <v>#N/A</v>
      </c>
      <c r="AE71" s="96" t="e">
        <f t="shared" ref="AE71:AE134" si="36">AA71+AB71+AC71+AD71</f>
        <v>#N/A</v>
      </c>
      <c r="AF71" s="457" t="s">
        <v>64</v>
      </c>
      <c r="AG71" s="451"/>
      <c r="AH71" s="458"/>
      <c r="AI71" s="462" t="e">
        <f>AV69</f>
        <v>#NAME?</v>
      </c>
      <c r="AJ71" s="463"/>
      <c r="AK71" s="463"/>
      <c r="AL71" s="464"/>
      <c r="AM71" s="88"/>
      <c r="AN71" s="88"/>
      <c r="AO71" s="88"/>
      <c r="AP71" s="88"/>
      <c r="AQ71" s="88"/>
      <c r="AR71" s="88"/>
      <c r="AS71" s="104"/>
      <c r="AT71" s="104"/>
      <c r="AU71" s="105"/>
      <c r="AV71" s="105"/>
      <c r="AZ71" s="471" t="s">
        <v>162</v>
      </c>
      <c r="BA71" s="471"/>
      <c r="BB71" s="471"/>
      <c r="BC71" s="471"/>
      <c r="BD71" s="471"/>
      <c r="BE71" s="471"/>
      <c r="BF71" s="471"/>
      <c r="BG71" s="471"/>
      <c r="BH71" s="471"/>
      <c r="BI71" s="471"/>
      <c r="BJ71" s="471">
        <f>SUM(BJ6:BJ61)</f>
        <v>0</v>
      </c>
      <c r="BK71" s="471"/>
      <c r="BL71" s="471"/>
      <c r="BM71" s="471"/>
      <c r="BN71" s="471"/>
      <c r="BO71" s="471"/>
      <c r="DN71" s="116"/>
    </row>
    <row r="72" spans="2:118" ht="15" customHeight="1" thickBot="1" x14ac:dyDescent="0.35">
      <c r="B72" s="64"/>
      <c r="C72" s="148"/>
      <c r="D72" s="109"/>
      <c r="E72" s="63"/>
      <c r="F72" s="127"/>
      <c r="G72" s="50"/>
      <c r="H72" s="10"/>
      <c r="I72" s="10"/>
      <c r="J72" s="10"/>
      <c r="K72" s="10"/>
      <c r="L72" s="10"/>
      <c r="M72" s="39"/>
      <c r="N72" s="33">
        <f t="shared" si="31"/>
        <v>0</v>
      </c>
      <c r="O72" s="52" t="b">
        <f>IF(AND(E72="CLIENT S+L",F72="HUILE"),(S72*3333.33+(VLOOKUP(H72,'BASE '!$I$112:$J$142,2,0)))-((S72*3333.33)*G72),IF(AND(E72="CLIENT S+L",F72="LAIT"),((S72*952.4)-(S72*952.4)*G72),IF(E72="CLIENT O","OFFERT",IF(AND(F72="HUILE",E72="CLIENT L"),(((VLOOKUP(H72,'BASE '!$I$112:$J$142,2,0))+(VLOOKUP(S72,'BASE '!#REF!,2,0)))),IF(AND(F72="LAIT",E72="CLIENT L"),(S72*952.4),IF(AND(F72="HUILE",E72="CLIENT D"),(S72*3809.53+(VLOOKUP(H72,'BASE '!$I$112:$J$142,2,0))),IF(AND(F72="LAIT",E72="CLIENT D"),(S72*952.4),IF(AND(F72="HUILE",E72="CLIENT S+D"),((S72*3809.53+(VLOOKUP(H72,'BASE '!$I$112:$J$142,2,0)))-((S72*3809.53)*G72)),IF(AND(F72="LAIT",E72="CLIENT S+D"),((S72*952.4)-((S72*952.4)*G72)),IF(AND(E72="CLIENT S",F72="LAIT"),((S72*952.4)-((S72*952.4)*G72)),IF(AND(F72="HUILE",E72="CLIENT S"),(VLOOKUP(H72,'BASE '!$I$112:$J$142,2,0)+(VLOOKUP(S72,'BASE '!#REF!,2,0)))-(G72*((VLOOKUP(S72,'BASE '!#REF!,2,0)+(VLOOKUP(H72,'BASE '!$I$112:$J$142,2,0))))))))))))))))</f>
        <v>0</v>
      </c>
      <c r="P72" s="52" t="b">
        <f t="shared" si="32"/>
        <v>0</v>
      </c>
      <c r="Q72" s="53" t="b">
        <f t="shared" si="33"/>
        <v>0</v>
      </c>
      <c r="R72" s="152" t="s">
        <v>175</v>
      </c>
      <c r="S72" s="184">
        <f t="shared" si="35"/>
        <v>0</v>
      </c>
      <c r="T72" s="124"/>
      <c r="U72" s="41" t="s">
        <v>175</v>
      </c>
      <c r="V72" s="70" t="e">
        <f>VLOOKUP(U72,'BASE '!$A$4:$H$144,2,0)</f>
        <v>#N/A</v>
      </c>
      <c r="W72" s="159"/>
      <c r="X72" s="159"/>
      <c r="Y72" s="160"/>
      <c r="Z72" s="158" t="e">
        <f>VLOOKUP(U72,'BASE '!$A$4:$H$144,3,0)</f>
        <v>#N/A</v>
      </c>
      <c r="AA72" s="94" t="e">
        <f t="shared" si="34"/>
        <v>#N/A</v>
      </c>
      <c r="AB72" s="95" t="e">
        <f>VLOOKUP(U72,'BASE '!$A$4:$H$144,6,0)*Y72/100</f>
        <v>#N/A</v>
      </c>
      <c r="AC72" s="95" t="e">
        <f>VLOOKUP(U72,'BASE '!$A$4:$H$144,7,0)*Y72/100</f>
        <v>#N/A</v>
      </c>
      <c r="AD72" s="95" t="e">
        <f>VLOOKUP(U72,'BASE '!$A$4:$H$144,8,0)*Y72/100</f>
        <v>#N/A</v>
      </c>
      <c r="AE72" s="96" t="e">
        <f t="shared" si="36"/>
        <v>#N/A</v>
      </c>
      <c r="AF72" s="459"/>
      <c r="AG72" s="460"/>
      <c r="AH72" s="461"/>
      <c r="AI72" s="465"/>
      <c r="AJ72" s="466"/>
      <c r="AK72" s="466"/>
      <c r="AL72" s="467"/>
      <c r="AM72" s="89"/>
      <c r="AN72" s="89"/>
      <c r="AO72" s="89"/>
      <c r="AP72" s="89"/>
      <c r="AQ72" s="89"/>
      <c r="AR72" s="89"/>
      <c r="AS72" s="104"/>
      <c r="AT72" s="104"/>
      <c r="AU72" s="105"/>
      <c r="AV72" s="105"/>
      <c r="AZ72" s="471" t="s">
        <v>163</v>
      </c>
      <c r="BA72" s="471"/>
      <c r="BB72" s="471"/>
      <c r="BC72" s="471"/>
      <c r="BD72" s="471"/>
      <c r="BE72" s="471"/>
      <c r="BF72" s="471"/>
      <c r="BG72" s="471"/>
      <c r="BH72" s="471"/>
      <c r="BI72" s="471"/>
      <c r="BJ72" s="471"/>
      <c r="BK72" s="471">
        <f>SUM(BK6:BK61)</f>
        <v>0</v>
      </c>
      <c r="BL72" s="471"/>
      <c r="BM72" s="471"/>
      <c r="BN72" s="471"/>
      <c r="BO72" s="471"/>
      <c r="DN72" s="116"/>
    </row>
    <row r="73" spans="2:118" ht="15" customHeight="1" thickBot="1" x14ac:dyDescent="0.35">
      <c r="B73" s="64"/>
      <c r="C73" s="148"/>
      <c r="D73" s="109"/>
      <c r="E73" s="63"/>
      <c r="F73" s="127"/>
      <c r="G73" s="50"/>
      <c r="H73" s="10"/>
      <c r="I73" s="10"/>
      <c r="J73" s="10"/>
      <c r="K73" s="10"/>
      <c r="L73" s="10"/>
      <c r="M73" s="39"/>
      <c r="N73" s="33">
        <f t="shared" si="31"/>
        <v>0</v>
      </c>
      <c r="O73" s="52" t="b">
        <f>IF(AND(E73="CLIENT S+L",F73="HUILE"),(S73*3333.33+(VLOOKUP(H73,'BASE '!$I$112:$J$142,2,0)))-((S73*3333.33)*G73),IF(AND(E73="CLIENT S+L",F73="LAIT"),((S73*952.4)-(S73*952.4)*G73),IF(E73="CLIENT O","OFFERT",IF(AND(F73="HUILE",E73="CLIENT L"),(((VLOOKUP(H73,'BASE '!$I$112:$J$142,2,0))+(VLOOKUP(S73,'BASE '!#REF!,2,0)))),IF(AND(F73="LAIT",E73="CLIENT L"),(S73*952.4),IF(AND(F73="HUILE",E73="CLIENT D"),(S73*3809.53+(VLOOKUP(H73,'BASE '!$I$112:$J$142,2,0))),IF(AND(F73="LAIT",E73="CLIENT D"),(S73*952.4),IF(AND(F73="HUILE",E73="CLIENT S+D"),((S73*3809.53+(VLOOKUP(H73,'BASE '!$I$112:$J$142,2,0)))-((S73*3809.53)*G73)),IF(AND(F73="LAIT",E73="CLIENT S+D"),((S73*952.4)-((S73*952.4)*G73)),IF(AND(E73="CLIENT S",F73="LAIT"),((S73*952.4)-((S73*952.4)*G73)),IF(AND(F73="HUILE",E73="CLIENT S"),(VLOOKUP(H73,'BASE '!$I$112:$J$142,2,0)+(VLOOKUP(S73,'BASE '!#REF!,2,0)))-(G73*((VLOOKUP(S73,'BASE '!#REF!,2,0)+(VLOOKUP(H73,'BASE '!$I$112:$J$142,2,0))))))))))))))))</f>
        <v>0</v>
      </c>
      <c r="P73" s="52" t="b">
        <f t="shared" si="32"/>
        <v>0</v>
      </c>
      <c r="Q73" s="53" t="b">
        <f t="shared" si="33"/>
        <v>0</v>
      </c>
      <c r="R73" s="152" t="s">
        <v>175</v>
      </c>
      <c r="S73" s="184">
        <f t="shared" si="35"/>
        <v>0</v>
      </c>
      <c r="T73" s="124"/>
      <c r="U73" s="41" t="s">
        <v>175</v>
      </c>
      <c r="V73" s="70" t="e">
        <f>VLOOKUP(U73,'BASE '!$A$4:$H$144,2,0)</f>
        <v>#N/A</v>
      </c>
      <c r="W73" s="159"/>
      <c r="X73" s="159"/>
      <c r="Y73" s="160"/>
      <c r="Z73" s="158" t="e">
        <f>VLOOKUP(U73,'BASE '!$A$4:$H$144,3,0)</f>
        <v>#N/A</v>
      </c>
      <c r="AA73" s="94" t="e">
        <f t="shared" si="34"/>
        <v>#N/A</v>
      </c>
      <c r="AB73" s="95" t="e">
        <f>VLOOKUP(U73,'BASE '!$A$4:$H$144,6,0)*Y73/100</f>
        <v>#N/A</v>
      </c>
      <c r="AC73" s="95" t="e">
        <f>VLOOKUP(U73,'BASE '!$A$4:$H$144,7,0)*Y73/100</f>
        <v>#N/A</v>
      </c>
      <c r="AD73" s="95" t="e">
        <f>VLOOKUP(U73,'BASE '!$A$4:$H$144,8,0)*Y73/100</f>
        <v>#N/A</v>
      </c>
      <c r="AE73" s="96" t="e">
        <f t="shared" si="36"/>
        <v>#N/A</v>
      </c>
      <c r="AS73" s="104"/>
      <c r="AT73" s="104"/>
      <c r="AU73" s="105"/>
      <c r="AV73" s="105"/>
      <c r="AZ73" s="471" t="s">
        <v>164</v>
      </c>
      <c r="BA73" s="471"/>
      <c r="BB73" s="471"/>
      <c r="BC73" s="471"/>
      <c r="BD73" s="471"/>
      <c r="BE73" s="471"/>
      <c r="BF73" s="471"/>
      <c r="BG73" s="471"/>
      <c r="BH73" s="471"/>
      <c r="BI73" s="471"/>
      <c r="BJ73" s="471"/>
      <c r="BK73" s="471"/>
      <c r="BL73" s="471">
        <f>SUM(BL6:BL61)</f>
        <v>0</v>
      </c>
      <c r="BM73" s="471"/>
      <c r="BN73" s="471"/>
      <c r="BO73" s="471"/>
      <c r="DN73" s="116"/>
    </row>
    <row r="74" spans="2:118" ht="15" customHeight="1" thickBot="1" x14ac:dyDescent="0.35">
      <c r="B74" s="64"/>
      <c r="C74" s="148"/>
      <c r="D74" s="109"/>
      <c r="E74" s="63"/>
      <c r="F74" s="127"/>
      <c r="G74" s="50"/>
      <c r="H74" s="10"/>
      <c r="I74" s="10"/>
      <c r="J74" s="10"/>
      <c r="K74" s="10"/>
      <c r="L74" s="10"/>
      <c r="M74" s="39"/>
      <c r="N74" s="33">
        <f t="shared" si="31"/>
        <v>0</v>
      </c>
      <c r="O74" s="52" t="b">
        <f>IF(AND(E74="CLIENT S+L",F74="HUILE"),(S74*3333.33+(VLOOKUP(H74,'BASE '!$I$112:$J$142,2,0)))-((S74*3333.33)*G74),IF(AND(E74="CLIENT S+L",F74="LAIT"),((S74*952.4)-(S74*952.4)*G74),IF(E74="CLIENT O","OFFERT",IF(AND(F74="HUILE",E74="CLIENT L"),(((VLOOKUP(H74,'BASE '!$I$112:$J$142,2,0))+(VLOOKUP(S74,'BASE '!#REF!,2,0)))),IF(AND(F74="LAIT",E74="CLIENT L"),(S74*952.4),IF(AND(F74="HUILE",E74="CLIENT D"),(S74*3809.53+(VLOOKUP(H74,'BASE '!$I$112:$J$142,2,0))),IF(AND(F74="LAIT",E74="CLIENT D"),(S74*952.4),IF(AND(F74="HUILE",E74="CLIENT S+D"),((S74*3809.53+(VLOOKUP(H74,'BASE '!$I$112:$J$142,2,0)))-((S74*3809.53)*G74)),IF(AND(F74="LAIT",E74="CLIENT S+D"),((S74*952.4)-((S74*952.4)*G74)),IF(AND(E74="CLIENT S",F74="LAIT"),((S74*952.4)-((S74*952.4)*G74)),IF(AND(F74="HUILE",E74="CLIENT S"),(VLOOKUP(H74,'BASE '!$I$112:$J$142,2,0)+(VLOOKUP(S74,'BASE '!#REF!,2,0)))-(G74*((VLOOKUP(S74,'BASE '!#REF!,2,0)+(VLOOKUP(H74,'BASE '!$I$112:$J$142,2,0))))))))))))))))</f>
        <v>0</v>
      </c>
      <c r="P74" s="52" t="b">
        <f t="shared" si="32"/>
        <v>0</v>
      </c>
      <c r="Q74" s="53" t="b">
        <f t="shared" si="33"/>
        <v>0</v>
      </c>
      <c r="R74" s="152" t="s">
        <v>175</v>
      </c>
      <c r="S74" s="184">
        <f t="shared" si="35"/>
        <v>0</v>
      </c>
      <c r="T74" s="124"/>
      <c r="U74" s="41" t="s">
        <v>175</v>
      </c>
      <c r="V74" s="70" t="e">
        <f>VLOOKUP(U74,'BASE '!$A$4:$H$144,2,0)</f>
        <v>#N/A</v>
      </c>
      <c r="W74" s="159"/>
      <c r="X74" s="159"/>
      <c r="Y74" s="160"/>
      <c r="Z74" s="158" t="e">
        <f>VLOOKUP(U74,'BASE '!$A$4:$H$144,3,0)</f>
        <v>#N/A</v>
      </c>
      <c r="AA74" s="94" t="e">
        <f t="shared" si="34"/>
        <v>#N/A</v>
      </c>
      <c r="AB74" s="95" t="e">
        <f>VLOOKUP(U74,'BASE '!$A$4:$H$144,6,0)*Y74/100</f>
        <v>#N/A</v>
      </c>
      <c r="AC74" s="95" t="e">
        <f>VLOOKUP(U74,'BASE '!$A$4:$H$144,7,0)*Y74/100</f>
        <v>#N/A</v>
      </c>
      <c r="AD74" s="95" t="e">
        <f>VLOOKUP(U74,'BASE '!$A$4:$H$144,8,0)*Y74/100</f>
        <v>#N/A</v>
      </c>
      <c r="AE74" s="96" t="e">
        <f t="shared" si="36"/>
        <v>#N/A</v>
      </c>
      <c r="AS74" s="104"/>
      <c r="AT74" s="104"/>
      <c r="AU74" s="105"/>
      <c r="AV74" s="105"/>
      <c r="AZ74" s="471" t="s">
        <v>161</v>
      </c>
      <c r="BA74" s="471"/>
      <c r="BB74" s="471"/>
      <c r="BC74" s="471"/>
      <c r="BD74" s="471"/>
      <c r="BE74" s="471"/>
      <c r="BF74" s="471"/>
      <c r="BG74" s="471"/>
      <c r="BH74" s="471"/>
      <c r="BI74" s="471"/>
      <c r="BJ74" s="471"/>
      <c r="BK74" s="471"/>
      <c r="BL74" s="471"/>
      <c r="BM74" s="471">
        <f>SUM(BN6:BN61)</f>
        <v>0</v>
      </c>
      <c r="BN74" s="471"/>
      <c r="BO74" s="471"/>
      <c r="DN74" s="116"/>
    </row>
    <row r="75" spans="2:118" ht="15" customHeight="1" thickBot="1" x14ac:dyDescent="0.35">
      <c r="B75" s="64"/>
      <c r="C75" s="148"/>
      <c r="D75" s="109"/>
      <c r="E75" s="63"/>
      <c r="F75" s="127"/>
      <c r="G75" s="50"/>
      <c r="H75" s="10"/>
      <c r="I75" s="10"/>
      <c r="J75" s="10"/>
      <c r="K75" s="10"/>
      <c r="L75" s="10"/>
      <c r="M75" s="39"/>
      <c r="N75" s="33">
        <f t="shared" si="31"/>
        <v>0</v>
      </c>
      <c r="O75" s="52" t="b">
        <f>IF(AND(E75="CLIENT S+L",F75="HUILE"),(S75*3333.33+(VLOOKUP(H75,'BASE '!$I$112:$J$142,2,0)))-((S75*3333.33)*G75),IF(AND(E75="CLIENT S+L",F75="LAIT"),((S75*952.4)-(S75*952.4)*G75),IF(E75="CLIENT O","OFFERT",IF(AND(F75="HUILE",E75="CLIENT L"),(((VLOOKUP(H75,'BASE '!$I$112:$J$142,2,0))+(VLOOKUP(S75,'BASE '!#REF!,2,0)))),IF(AND(F75="LAIT",E75="CLIENT L"),(S75*952.4),IF(AND(F75="HUILE",E75="CLIENT D"),(S75*3809.53+(VLOOKUP(H75,'BASE '!$I$112:$J$142,2,0))),IF(AND(F75="LAIT",E75="CLIENT D"),(S75*952.4),IF(AND(F75="HUILE",E75="CLIENT S+D"),((S75*3809.53+(VLOOKUP(H75,'BASE '!$I$112:$J$142,2,0)))-((S75*3809.53)*G75)),IF(AND(F75="LAIT",E75="CLIENT S+D"),((S75*952.4)-((S75*952.4)*G75)),IF(AND(E75="CLIENT S",F75="LAIT"),((S75*952.4)-((S75*952.4)*G75)),IF(AND(F75="HUILE",E75="CLIENT S"),(VLOOKUP(H75,'BASE '!$I$112:$J$142,2,0)+(VLOOKUP(S75,'BASE '!#REF!,2,0)))-(G75*((VLOOKUP(S75,'BASE '!#REF!,2,0)+(VLOOKUP(H75,'BASE '!$I$112:$J$142,2,0))))))))))))))))</f>
        <v>0</v>
      </c>
      <c r="P75" s="52" t="b">
        <f t="shared" si="32"/>
        <v>0</v>
      </c>
      <c r="Q75" s="53" t="b">
        <f t="shared" si="33"/>
        <v>0</v>
      </c>
      <c r="R75" s="152" t="s">
        <v>175</v>
      </c>
      <c r="S75" s="184">
        <f t="shared" si="35"/>
        <v>0</v>
      </c>
      <c r="T75" s="124"/>
      <c r="U75" s="41" t="s">
        <v>175</v>
      </c>
      <c r="V75" s="70" t="e">
        <f>VLOOKUP(U75,'BASE '!$A$4:$H$144,2,0)</f>
        <v>#N/A</v>
      </c>
      <c r="W75" s="159"/>
      <c r="X75" s="159"/>
      <c r="Y75" s="160"/>
      <c r="Z75" s="158" t="e">
        <f>VLOOKUP(U75,'BASE '!$A$4:$H$144,3,0)</f>
        <v>#N/A</v>
      </c>
      <c r="AA75" s="94" t="e">
        <f t="shared" si="34"/>
        <v>#N/A</v>
      </c>
      <c r="AB75" s="95" t="e">
        <f>VLOOKUP(U75,'BASE '!$A$4:$H$144,6,0)*Y75/100</f>
        <v>#N/A</v>
      </c>
      <c r="AC75" s="95" t="e">
        <f>VLOOKUP(U75,'BASE '!$A$4:$H$144,7,0)*Y75/100</f>
        <v>#N/A</v>
      </c>
      <c r="AD75" s="95" t="e">
        <f>VLOOKUP(U75,'BASE '!$A$4:$H$144,8,0)*Y75/100</f>
        <v>#N/A</v>
      </c>
      <c r="AE75" s="96" t="e">
        <f t="shared" si="36"/>
        <v>#N/A</v>
      </c>
      <c r="AS75" s="168"/>
      <c r="AT75" s="12"/>
      <c r="AU75" s="12"/>
      <c r="AV75" s="12"/>
      <c r="AZ75" s="470" t="s">
        <v>160</v>
      </c>
      <c r="BA75" s="470"/>
      <c r="BB75" s="470"/>
      <c r="BC75" s="470"/>
      <c r="BD75" s="470"/>
      <c r="BE75" s="470"/>
      <c r="BF75" s="470"/>
      <c r="BG75" s="470"/>
      <c r="BH75" s="470"/>
      <c r="BI75" s="470"/>
      <c r="BJ75" s="470"/>
      <c r="BK75" s="470"/>
      <c r="BL75" s="470"/>
      <c r="BM75" s="470">
        <f>SUM(BM6:BM61)</f>
        <v>0</v>
      </c>
      <c r="BN75" s="470"/>
      <c r="BO75" s="470"/>
      <c r="DN75" s="116" t="e">
        <f>(($I$5*#REF!)/100)+((#REF!*$J$5)/100)+(($K$5*#REF!)/100)+($L$5*#REF!)+($M$5*#REF!)</f>
        <v>#REF!</v>
      </c>
    </row>
    <row r="76" spans="2:118" x14ac:dyDescent="0.3">
      <c r="B76" s="64"/>
      <c r="C76" s="148"/>
      <c r="D76" s="109"/>
      <c r="E76" s="63"/>
      <c r="F76" s="127"/>
      <c r="G76" s="50"/>
      <c r="H76" s="10"/>
      <c r="I76" s="10"/>
      <c r="J76" s="10"/>
      <c r="K76" s="10"/>
      <c r="L76" s="10"/>
      <c r="M76" s="39"/>
      <c r="N76" s="33">
        <f t="shared" si="31"/>
        <v>0</v>
      </c>
      <c r="O76" s="52" t="b">
        <f>IF(AND(E76="CLIENT S+L",F76="HUILE"),(S76*3333.33+(VLOOKUP(H76,'BASE '!$I$112:$J$142,2,0)))-((S76*3333.33)*G76),IF(AND(E76="CLIENT S+L",F76="LAIT"),((S76*952.4)-(S76*952.4)*G76),IF(E76="CLIENT O","OFFERT",IF(AND(F76="HUILE",E76="CLIENT L"),(((VLOOKUP(H76,'BASE '!$I$112:$J$142,2,0))+(VLOOKUP(S76,'BASE '!#REF!,2,0)))),IF(AND(F76="LAIT",E76="CLIENT L"),(S76*952.4),IF(AND(F76="HUILE",E76="CLIENT D"),(S76*3809.53+(VLOOKUP(H76,'BASE '!$I$112:$J$142,2,0))),IF(AND(F76="LAIT",E76="CLIENT D"),(S76*952.4),IF(AND(F76="HUILE",E76="CLIENT S+D"),((S76*3809.53+(VLOOKUP(H76,'BASE '!$I$112:$J$142,2,0)))-((S76*3809.53)*G76)),IF(AND(F76="LAIT",E76="CLIENT S+D"),((S76*952.4)-((S76*952.4)*G76)),IF(AND(E76="CLIENT S",F76="LAIT"),((S76*952.4)-((S76*952.4)*G76)),IF(AND(F76="HUILE",E76="CLIENT S"),(VLOOKUP(H76,'BASE '!$I$112:$J$142,2,0)+(VLOOKUP(S76,'BASE '!#REF!,2,0)))-(G76*((VLOOKUP(S76,'BASE '!#REF!,2,0)+(VLOOKUP(H76,'BASE '!$I$112:$J$142,2,0))))))))))))))))</f>
        <v>0</v>
      </c>
      <c r="P76" s="52" t="b">
        <f t="shared" si="32"/>
        <v>0</v>
      </c>
      <c r="Q76" s="53" t="b">
        <f t="shared" si="33"/>
        <v>0</v>
      </c>
      <c r="R76" s="152" t="s">
        <v>175</v>
      </c>
      <c r="S76" s="184">
        <f t="shared" si="35"/>
        <v>0</v>
      </c>
      <c r="T76" s="124"/>
      <c r="U76" s="41" t="s">
        <v>175</v>
      </c>
      <c r="V76" s="70" t="e">
        <f>VLOOKUP(U76,'BASE '!$A$4:$H$144,2,0)</f>
        <v>#N/A</v>
      </c>
      <c r="W76" s="159"/>
      <c r="X76" s="159"/>
      <c r="Y76" s="160"/>
      <c r="Z76" s="158" t="e">
        <f>VLOOKUP(U76,'BASE '!$A$4:$H$144,3,0)</f>
        <v>#N/A</v>
      </c>
      <c r="AA76" s="94" t="e">
        <f t="shared" si="34"/>
        <v>#N/A</v>
      </c>
      <c r="AB76" s="95" t="e">
        <f>VLOOKUP(U76,'BASE '!$A$4:$H$144,6,0)*Y76/100</f>
        <v>#N/A</v>
      </c>
      <c r="AC76" s="95" t="e">
        <f>VLOOKUP(U76,'BASE '!$A$4:$H$144,7,0)*Y76/100</f>
        <v>#N/A</v>
      </c>
      <c r="AD76" s="95" t="e">
        <f>VLOOKUP(U76,'BASE '!$A$4:$H$144,8,0)*Y76/100</f>
        <v>#N/A</v>
      </c>
      <c r="AE76" s="96" t="e">
        <f t="shared" si="36"/>
        <v>#N/A</v>
      </c>
      <c r="AS76" s="168"/>
      <c r="AT76" s="12"/>
      <c r="AU76" s="12"/>
      <c r="AV76" s="12"/>
      <c r="DN76" s="116" t="e">
        <f>(($I$5*#REF!)/100)+((#REF!*$J$5)/100)+(($K$5*#REF!)/100)+($L$5*#REF!)+($M$5*#REF!)</f>
        <v>#REF!</v>
      </c>
    </row>
    <row r="77" spans="2:118" x14ac:dyDescent="0.3">
      <c r="B77" s="64"/>
      <c r="C77" s="148"/>
      <c r="D77" s="109"/>
      <c r="E77" s="63"/>
      <c r="F77" s="127"/>
      <c r="G77" s="50"/>
      <c r="H77" s="10"/>
      <c r="I77" s="10"/>
      <c r="J77" s="10"/>
      <c r="K77" s="10"/>
      <c r="L77" s="10"/>
      <c r="M77" s="39"/>
      <c r="N77" s="33">
        <f t="shared" si="31"/>
        <v>0</v>
      </c>
      <c r="O77" s="52" t="b">
        <f>IF(AND(E77="CLIENT S+L",F77="HUILE"),(S77*3333.33+(VLOOKUP(H77,'BASE '!$I$112:$J$142,2,0)))-((S77*3333.33)*G77),IF(AND(E77="CLIENT S+L",F77="LAIT"),((S77*952.4)-(S77*952.4)*G77),IF(E77="CLIENT O","OFFERT",IF(AND(F77="HUILE",E77="CLIENT L"),(((VLOOKUP(H77,'BASE '!$I$112:$J$142,2,0))+(VLOOKUP(S77,'BASE '!#REF!,2,0)))),IF(AND(F77="LAIT",E77="CLIENT L"),(S77*952.4),IF(AND(F77="HUILE",E77="CLIENT D"),(S77*3809.53+(VLOOKUP(H77,'BASE '!$I$112:$J$142,2,0))),IF(AND(F77="LAIT",E77="CLIENT D"),(S77*952.4),IF(AND(F77="HUILE",E77="CLIENT S+D"),((S77*3809.53+(VLOOKUP(H77,'BASE '!$I$112:$J$142,2,0)))-((S77*3809.53)*G77)),IF(AND(F77="LAIT",E77="CLIENT S+D"),((S77*952.4)-((S77*952.4)*G77)),IF(AND(E77="CLIENT S",F77="LAIT"),((S77*952.4)-((S77*952.4)*G77)),IF(AND(F77="HUILE",E77="CLIENT S"),(VLOOKUP(H77,'BASE '!$I$112:$J$142,2,0)+(VLOOKUP(S77,'BASE '!#REF!,2,0)))-(G77*((VLOOKUP(S77,'BASE '!#REF!,2,0)+(VLOOKUP(H77,'BASE '!$I$112:$J$142,2,0))))))))))))))))</f>
        <v>0</v>
      </c>
      <c r="P77" s="52" t="b">
        <f t="shared" si="32"/>
        <v>0</v>
      </c>
      <c r="Q77" s="53" t="b">
        <f t="shared" si="33"/>
        <v>0</v>
      </c>
      <c r="R77" s="152" t="s">
        <v>175</v>
      </c>
      <c r="S77" s="184">
        <f t="shared" si="35"/>
        <v>0</v>
      </c>
      <c r="T77" s="124"/>
      <c r="U77" s="41" t="s">
        <v>175</v>
      </c>
      <c r="V77" s="70" t="e">
        <f>VLOOKUP(U77,'BASE '!$A$4:$H$144,2,0)</f>
        <v>#N/A</v>
      </c>
      <c r="W77" s="159"/>
      <c r="X77" s="159"/>
      <c r="Y77" s="160"/>
      <c r="Z77" s="158" t="e">
        <f>VLOOKUP(U77,'BASE '!$A$4:$H$144,3,0)</f>
        <v>#N/A</v>
      </c>
      <c r="AA77" s="94" t="e">
        <f t="shared" si="34"/>
        <v>#N/A</v>
      </c>
      <c r="AB77" s="95" t="e">
        <f>VLOOKUP(U77,'BASE '!$A$4:$H$144,6,0)*Y77/100</f>
        <v>#N/A</v>
      </c>
      <c r="AC77" s="95" t="e">
        <f>VLOOKUP(U77,'BASE '!$A$4:$H$144,7,0)*Y77/100</f>
        <v>#N/A</v>
      </c>
      <c r="AD77" s="95" t="e">
        <f>VLOOKUP(U77,'BASE '!$A$4:$H$144,8,0)*Y77/100</f>
        <v>#N/A</v>
      </c>
      <c r="AE77" s="96" t="e">
        <f t="shared" si="36"/>
        <v>#N/A</v>
      </c>
      <c r="DN77" s="116" t="e">
        <f>(($I$5*#REF!)/100)+((#REF!*$J$5)/100)+(($K$5*#REF!)/100)+($L$5*#REF!)+($M$5*#REF!)</f>
        <v>#REF!</v>
      </c>
    </row>
    <row r="78" spans="2:118" x14ac:dyDescent="0.3">
      <c r="B78" s="64"/>
      <c r="C78" s="148"/>
      <c r="D78" s="109"/>
      <c r="E78" s="63"/>
      <c r="F78" s="127"/>
      <c r="G78" s="50"/>
      <c r="H78" s="10"/>
      <c r="I78" s="10"/>
      <c r="J78" s="10"/>
      <c r="K78" s="10"/>
      <c r="L78" s="10"/>
      <c r="M78" s="39"/>
      <c r="N78" s="33">
        <f t="shared" si="31"/>
        <v>0</v>
      </c>
      <c r="O78" s="52" t="b">
        <f>IF(AND(E78="CLIENT S+L",F78="HUILE"),(S78*3333.33+(VLOOKUP(H78,'BASE '!$I$112:$J$142,2,0)))-((S78*3333.33)*G78),IF(AND(E78="CLIENT S+L",F78="LAIT"),((S78*952.4)-(S78*952.4)*G78),IF(E78="CLIENT O","OFFERT",IF(AND(F78="HUILE",E78="CLIENT L"),(((VLOOKUP(H78,'BASE '!$I$112:$J$142,2,0))+(VLOOKUP(S78,'BASE '!#REF!,2,0)))),IF(AND(F78="LAIT",E78="CLIENT L"),(S78*952.4),IF(AND(F78="HUILE",E78="CLIENT D"),(S78*3809.53+(VLOOKUP(H78,'BASE '!$I$112:$J$142,2,0))),IF(AND(F78="LAIT",E78="CLIENT D"),(S78*952.4),IF(AND(F78="HUILE",E78="CLIENT S+D"),((S78*3809.53+(VLOOKUP(H78,'BASE '!$I$112:$J$142,2,0)))-((S78*3809.53)*G78)),IF(AND(F78="LAIT",E78="CLIENT S+D"),((S78*952.4)-((S78*952.4)*G78)),IF(AND(E78="CLIENT S",F78="LAIT"),((S78*952.4)-((S78*952.4)*G78)),IF(AND(F78="HUILE",E78="CLIENT S"),(VLOOKUP(H78,'BASE '!$I$112:$J$142,2,0)+(VLOOKUP(S78,'BASE '!#REF!,2,0)))-(G78*((VLOOKUP(S78,'BASE '!#REF!,2,0)+(VLOOKUP(H78,'BASE '!$I$112:$J$142,2,0))))))))))))))))</f>
        <v>0</v>
      </c>
      <c r="P78" s="52" t="b">
        <f t="shared" si="32"/>
        <v>0</v>
      </c>
      <c r="Q78" s="53" t="b">
        <f t="shared" si="33"/>
        <v>0</v>
      </c>
      <c r="R78" s="152" t="s">
        <v>175</v>
      </c>
      <c r="S78" s="184">
        <f t="shared" si="35"/>
        <v>0</v>
      </c>
      <c r="T78" s="124"/>
      <c r="U78" s="41" t="s">
        <v>175</v>
      </c>
      <c r="V78" s="70" t="e">
        <f>VLOOKUP(U78,'BASE '!$A$4:$H$144,2,0)</f>
        <v>#N/A</v>
      </c>
      <c r="W78" s="159"/>
      <c r="X78" s="159"/>
      <c r="Y78" s="160"/>
      <c r="Z78" s="158" t="e">
        <f>VLOOKUP(U78,'BASE '!$A$4:$H$144,3,0)</f>
        <v>#N/A</v>
      </c>
      <c r="AA78" s="94" t="e">
        <f t="shared" si="34"/>
        <v>#N/A</v>
      </c>
      <c r="AB78" s="95" t="e">
        <f>VLOOKUP(U78,'BASE '!$A$4:$H$144,6,0)*Y78/100</f>
        <v>#N/A</v>
      </c>
      <c r="AC78" s="95" t="e">
        <f>VLOOKUP(U78,'BASE '!$A$4:$H$144,7,0)*Y78/100</f>
        <v>#N/A</v>
      </c>
      <c r="AD78" s="95" t="e">
        <f>VLOOKUP(U78,'BASE '!$A$4:$H$144,8,0)*Y78/100</f>
        <v>#N/A</v>
      </c>
      <c r="AE78" s="96" t="e">
        <f t="shared" si="36"/>
        <v>#N/A</v>
      </c>
      <c r="DN78" s="116" t="e">
        <f>(($I$5*#REF!)/100)+((#REF!*$J$5)/100)+(($K$5*#REF!)/100)+($L$5*#REF!)+($M$5*#REF!)</f>
        <v>#REF!</v>
      </c>
    </row>
    <row r="79" spans="2:118" x14ac:dyDescent="0.3">
      <c r="B79" s="64"/>
      <c r="C79" s="148"/>
      <c r="D79" s="109"/>
      <c r="E79" s="63"/>
      <c r="F79" s="127"/>
      <c r="G79" s="50"/>
      <c r="H79" s="10"/>
      <c r="I79" s="10"/>
      <c r="J79" s="10"/>
      <c r="K79" s="10"/>
      <c r="L79" s="10"/>
      <c r="M79" s="39"/>
      <c r="N79" s="33">
        <f t="shared" si="31"/>
        <v>0</v>
      </c>
      <c r="O79" s="52" t="b">
        <f>IF(AND(E79="CLIENT S+L",F79="HUILE"),(S79*3333.33+(VLOOKUP(H79,'BASE '!$I$112:$J$142,2,0)))-((S79*3333.33)*G79),IF(AND(E79="CLIENT S+L",F79="LAIT"),((S79*952.4)-(S79*952.4)*G79),IF(E79="CLIENT O","OFFERT",IF(AND(F79="HUILE",E79="CLIENT L"),(((VLOOKUP(H79,'BASE '!$I$112:$J$142,2,0))+(VLOOKUP(S79,'BASE '!#REF!,2,0)))),IF(AND(F79="LAIT",E79="CLIENT L"),(S79*952.4),IF(AND(F79="HUILE",E79="CLIENT D"),(S79*3809.53+(VLOOKUP(H79,'BASE '!$I$112:$J$142,2,0))),IF(AND(F79="LAIT",E79="CLIENT D"),(S79*952.4),IF(AND(F79="HUILE",E79="CLIENT S+D"),((S79*3809.53+(VLOOKUP(H79,'BASE '!$I$112:$J$142,2,0)))-((S79*3809.53)*G79)),IF(AND(F79="LAIT",E79="CLIENT S+D"),((S79*952.4)-((S79*952.4)*G79)),IF(AND(E79="CLIENT S",F79="LAIT"),((S79*952.4)-((S79*952.4)*G79)),IF(AND(F79="HUILE",E79="CLIENT S"),(VLOOKUP(H79,'BASE '!$I$112:$J$142,2,0)+(VLOOKUP(S79,'BASE '!#REF!,2,0)))-(G79*((VLOOKUP(S79,'BASE '!#REF!,2,0)+(VLOOKUP(H79,'BASE '!$I$112:$J$142,2,0))))))))))))))))</f>
        <v>0</v>
      </c>
      <c r="P79" s="52" t="b">
        <f t="shared" si="32"/>
        <v>0</v>
      </c>
      <c r="Q79" s="53" t="b">
        <f t="shared" si="33"/>
        <v>0</v>
      </c>
      <c r="R79" s="152" t="s">
        <v>175</v>
      </c>
      <c r="S79" s="184">
        <f t="shared" si="35"/>
        <v>0</v>
      </c>
      <c r="T79" s="124"/>
      <c r="U79" s="41" t="s">
        <v>175</v>
      </c>
      <c r="V79" s="70" t="e">
        <f>VLOOKUP(U79,'BASE '!$A$4:$H$144,2,0)</f>
        <v>#N/A</v>
      </c>
      <c r="W79" s="159"/>
      <c r="X79" s="159"/>
      <c r="Y79" s="160"/>
      <c r="Z79" s="158" t="e">
        <f>VLOOKUP(U79,'BASE '!$A$4:$H$144,3,0)</f>
        <v>#N/A</v>
      </c>
      <c r="AA79" s="94" t="e">
        <f t="shared" si="34"/>
        <v>#N/A</v>
      </c>
      <c r="AB79" s="95" t="e">
        <f>VLOOKUP(U79,'BASE '!$A$4:$H$144,6,0)*Y79/100</f>
        <v>#N/A</v>
      </c>
      <c r="AC79" s="95" t="e">
        <f>VLOOKUP(U79,'BASE '!$A$4:$H$144,7,0)*Y79/100</f>
        <v>#N/A</v>
      </c>
      <c r="AD79" s="95" t="e">
        <f>VLOOKUP(U79,'BASE '!$A$4:$H$144,8,0)*Y79/100</f>
        <v>#N/A</v>
      </c>
      <c r="AE79" s="96" t="e">
        <f t="shared" si="36"/>
        <v>#N/A</v>
      </c>
      <c r="DN79" s="116" t="e">
        <f>(($I$5*#REF!)/100)+((#REF!*$J$5)/100)+(($K$5*#REF!)/100)+($L$5*#REF!)+($M$5*#REF!)</f>
        <v>#REF!</v>
      </c>
    </row>
    <row r="80" spans="2:118" x14ac:dyDescent="0.3">
      <c r="B80" s="64"/>
      <c r="C80" s="148"/>
      <c r="D80" s="109"/>
      <c r="E80" s="63"/>
      <c r="F80" s="127"/>
      <c r="G80" s="50"/>
      <c r="H80" s="10"/>
      <c r="I80" s="10"/>
      <c r="J80" s="10"/>
      <c r="K80" s="10"/>
      <c r="L80" s="10"/>
      <c r="M80" s="39"/>
      <c r="N80" s="33">
        <f t="shared" si="31"/>
        <v>0</v>
      </c>
      <c r="O80" s="52" t="b">
        <f>IF(AND(E80="CLIENT S+L",F80="HUILE"),(S80*3333.33+(VLOOKUP(H80,'BASE '!$I$112:$J$142,2,0)))-((S80*3333.33)*G80),IF(AND(E80="CLIENT S+L",F80="LAIT"),((S80*952.4)-(S80*952.4)*G80),IF(E80="CLIENT O","OFFERT",IF(AND(F80="HUILE",E80="CLIENT L"),(((VLOOKUP(H80,'BASE '!$I$112:$J$142,2,0))+(VLOOKUP(S80,'BASE '!#REF!,2,0)))),IF(AND(F80="LAIT",E80="CLIENT L"),(S80*952.4),IF(AND(F80="HUILE",E80="CLIENT D"),(S80*3809.53+(VLOOKUP(H80,'BASE '!$I$112:$J$142,2,0))),IF(AND(F80="LAIT",E80="CLIENT D"),(S80*952.4),IF(AND(F80="HUILE",E80="CLIENT S+D"),((S80*3809.53+(VLOOKUP(H80,'BASE '!$I$112:$J$142,2,0)))-((S80*3809.53)*G80)),IF(AND(F80="LAIT",E80="CLIENT S+D"),((S80*952.4)-((S80*952.4)*G80)),IF(AND(E80="CLIENT S",F80="LAIT"),((S80*952.4)-((S80*952.4)*G80)),IF(AND(F80="HUILE",E80="CLIENT S"),(VLOOKUP(H80,'BASE '!$I$112:$J$142,2,0)+(VLOOKUP(S80,'BASE '!#REF!,2,0)))-(G80*((VLOOKUP(S80,'BASE '!#REF!,2,0)+(VLOOKUP(H80,'BASE '!$I$112:$J$142,2,0))))))))))))))))</f>
        <v>0</v>
      </c>
      <c r="P80" s="52" t="b">
        <f t="shared" si="32"/>
        <v>0</v>
      </c>
      <c r="Q80" s="53" t="b">
        <f t="shared" si="33"/>
        <v>0</v>
      </c>
      <c r="R80" s="152" t="s">
        <v>175</v>
      </c>
      <c r="S80" s="184">
        <f t="shared" si="35"/>
        <v>0</v>
      </c>
      <c r="T80" s="124"/>
      <c r="U80" s="41" t="s">
        <v>175</v>
      </c>
      <c r="V80" s="70" t="e">
        <f>VLOOKUP(U80,'BASE '!$A$4:$H$144,2,0)</f>
        <v>#N/A</v>
      </c>
      <c r="W80" s="159"/>
      <c r="X80" s="159"/>
      <c r="Y80" s="160"/>
      <c r="Z80" s="158" t="e">
        <f>VLOOKUP(U80,'BASE '!$A$4:$H$144,3,0)</f>
        <v>#N/A</v>
      </c>
      <c r="AA80" s="94" t="e">
        <f t="shared" si="34"/>
        <v>#N/A</v>
      </c>
      <c r="AB80" s="95" t="e">
        <f>VLOOKUP(U80,'BASE '!$A$4:$H$144,6,0)*Y80/100</f>
        <v>#N/A</v>
      </c>
      <c r="AC80" s="95" t="e">
        <f>VLOOKUP(U80,'BASE '!$A$4:$H$144,7,0)*Y80/100</f>
        <v>#N/A</v>
      </c>
      <c r="AD80" s="95" t="e">
        <f>VLOOKUP(U80,'BASE '!$A$4:$H$144,8,0)*Y80/100</f>
        <v>#N/A</v>
      </c>
      <c r="AE80" s="96" t="e">
        <f t="shared" si="36"/>
        <v>#N/A</v>
      </c>
      <c r="DN80" s="116" t="e">
        <f>(($I$5*#REF!)/100)+((#REF!*$J$5)/100)+(($K$5*#REF!)/100)+($L$5*#REF!)+($M$5*#REF!)</f>
        <v>#REF!</v>
      </c>
    </row>
    <row r="81" spans="2:118" x14ac:dyDescent="0.3">
      <c r="B81" s="64"/>
      <c r="C81" s="148"/>
      <c r="D81" s="109"/>
      <c r="E81" s="63"/>
      <c r="F81" s="127"/>
      <c r="G81" s="50"/>
      <c r="H81" s="10"/>
      <c r="I81" s="10"/>
      <c r="J81" s="10"/>
      <c r="K81" s="10"/>
      <c r="L81" s="10"/>
      <c r="M81" s="39"/>
      <c r="N81" s="33">
        <f t="shared" si="31"/>
        <v>0</v>
      </c>
      <c r="O81" s="52" t="b">
        <f>IF(AND(E81="CLIENT S+L",F81="HUILE"),(S81*3333.33+(VLOOKUP(H81,'BASE '!$I$112:$J$142,2,0)))-((S81*3333.33)*G81),IF(AND(E81="CLIENT S+L",F81="LAIT"),((S81*952.4)-(S81*952.4)*G81),IF(E81="CLIENT O","OFFERT",IF(AND(F81="HUILE",E81="CLIENT L"),(((VLOOKUP(H81,'BASE '!$I$112:$J$142,2,0))+(VLOOKUP(S81,'BASE '!#REF!,2,0)))),IF(AND(F81="LAIT",E81="CLIENT L"),(S81*952.4),IF(AND(F81="HUILE",E81="CLIENT D"),(S81*3809.53+(VLOOKUP(H81,'BASE '!$I$112:$J$142,2,0))),IF(AND(F81="LAIT",E81="CLIENT D"),(S81*952.4),IF(AND(F81="HUILE",E81="CLIENT S+D"),((S81*3809.53+(VLOOKUP(H81,'BASE '!$I$112:$J$142,2,0)))-((S81*3809.53)*G81)),IF(AND(F81="LAIT",E81="CLIENT S+D"),((S81*952.4)-((S81*952.4)*G81)),IF(AND(E81="CLIENT S",F81="LAIT"),((S81*952.4)-((S81*952.4)*G81)),IF(AND(F81="HUILE",E81="CLIENT S"),(VLOOKUP(H81,'BASE '!$I$112:$J$142,2,0)+(VLOOKUP(S81,'BASE '!#REF!,2,0)))-(G81*((VLOOKUP(S81,'BASE '!#REF!,2,0)+(VLOOKUP(H81,'BASE '!$I$112:$J$142,2,0))))))))))))))))</f>
        <v>0</v>
      </c>
      <c r="P81" s="52" t="b">
        <f t="shared" si="32"/>
        <v>0</v>
      </c>
      <c r="Q81" s="53" t="b">
        <f t="shared" si="33"/>
        <v>0</v>
      </c>
      <c r="R81" s="152" t="s">
        <v>175</v>
      </c>
      <c r="S81" s="184">
        <f t="shared" si="35"/>
        <v>0</v>
      </c>
      <c r="T81" s="124"/>
      <c r="U81" s="41" t="s">
        <v>175</v>
      </c>
      <c r="V81" s="70" t="e">
        <f>VLOOKUP(U81,'BASE '!$A$4:$H$144,2,0)</f>
        <v>#N/A</v>
      </c>
      <c r="W81" s="159"/>
      <c r="X81" s="159"/>
      <c r="Y81" s="160"/>
      <c r="Z81" s="158" t="e">
        <f>VLOOKUP(U81,'BASE '!$A$4:$H$144,3,0)</f>
        <v>#N/A</v>
      </c>
      <c r="AA81" s="94" t="e">
        <f t="shared" si="34"/>
        <v>#N/A</v>
      </c>
      <c r="AB81" s="95" t="e">
        <f>VLOOKUP(U81,'BASE '!$A$4:$H$144,6,0)*Y81/100</f>
        <v>#N/A</v>
      </c>
      <c r="AC81" s="95" t="e">
        <f>VLOOKUP(U81,'BASE '!$A$4:$H$144,7,0)*Y81/100</f>
        <v>#N/A</v>
      </c>
      <c r="AD81" s="95" t="e">
        <f>VLOOKUP(U81,'BASE '!$A$4:$H$144,8,0)*Y81/100</f>
        <v>#N/A</v>
      </c>
      <c r="AE81" s="96" t="e">
        <f t="shared" si="36"/>
        <v>#N/A</v>
      </c>
      <c r="DN81" s="116" t="e">
        <f>(($I$5*#REF!)/100)+((#REF!*$J$5)/100)+(($K$5*#REF!)/100)+($L$5*#REF!)+($M$5*#REF!)</f>
        <v>#REF!</v>
      </c>
    </row>
    <row r="82" spans="2:118" x14ac:dyDescent="0.3">
      <c r="B82" s="64"/>
      <c r="C82" s="148"/>
      <c r="D82" s="109"/>
      <c r="E82" s="63"/>
      <c r="F82" s="127"/>
      <c r="G82" s="50"/>
      <c r="H82" s="10"/>
      <c r="I82" s="10"/>
      <c r="J82" s="10"/>
      <c r="K82" s="10"/>
      <c r="L82" s="10"/>
      <c r="M82" s="39"/>
      <c r="N82" s="33">
        <f t="shared" si="31"/>
        <v>0</v>
      </c>
      <c r="O82" s="52" t="b">
        <f>IF(AND(E82="CLIENT S+L",F82="HUILE"),(S82*3333.33+(VLOOKUP(H82,'BASE '!$I$112:$J$142,2,0)))-((S82*3333.33)*G82),IF(AND(E82="CLIENT S+L",F82="LAIT"),((S82*952.4)-(S82*952.4)*G82),IF(E82="CLIENT O","OFFERT",IF(AND(F82="HUILE",E82="CLIENT L"),(((VLOOKUP(H82,'BASE '!$I$112:$J$142,2,0))+(VLOOKUP(S82,'BASE '!#REF!,2,0)))),IF(AND(F82="LAIT",E82="CLIENT L"),(S82*952.4),IF(AND(F82="HUILE",E82="CLIENT D"),(S82*3809.53+(VLOOKUP(H82,'BASE '!$I$112:$J$142,2,0))),IF(AND(F82="LAIT",E82="CLIENT D"),(S82*952.4),IF(AND(F82="HUILE",E82="CLIENT S+D"),((S82*3809.53+(VLOOKUP(H82,'BASE '!$I$112:$J$142,2,0)))-((S82*3809.53)*G82)),IF(AND(F82="LAIT",E82="CLIENT S+D"),((S82*952.4)-((S82*952.4)*G82)),IF(AND(E82="CLIENT S",F82="LAIT"),((S82*952.4)-((S82*952.4)*G82)),IF(AND(F82="HUILE",E82="CLIENT S"),(VLOOKUP(H82,'BASE '!$I$112:$J$142,2,0)+(VLOOKUP(S82,'BASE '!#REF!,2,0)))-(G82*((VLOOKUP(S82,'BASE '!#REF!,2,0)+(VLOOKUP(H82,'BASE '!$I$112:$J$142,2,0))))))))))))))))</f>
        <v>0</v>
      </c>
      <c r="P82" s="52" t="b">
        <f t="shared" si="32"/>
        <v>0</v>
      </c>
      <c r="Q82" s="53" t="b">
        <f t="shared" si="33"/>
        <v>0</v>
      </c>
      <c r="R82" s="152" t="s">
        <v>175</v>
      </c>
      <c r="S82" s="184">
        <f t="shared" si="35"/>
        <v>0</v>
      </c>
      <c r="T82" s="124"/>
      <c r="U82" s="41" t="s">
        <v>175</v>
      </c>
      <c r="V82" s="70" t="e">
        <f>VLOOKUP(U82,'BASE '!$A$4:$H$144,2,0)</f>
        <v>#N/A</v>
      </c>
      <c r="W82" s="159"/>
      <c r="X82" s="159"/>
      <c r="Y82" s="160"/>
      <c r="Z82" s="158" t="e">
        <f>VLOOKUP(U82,'BASE '!$A$4:$H$144,3,0)</f>
        <v>#N/A</v>
      </c>
      <c r="AA82" s="94" t="e">
        <f t="shared" si="34"/>
        <v>#N/A</v>
      </c>
      <c r="AB82" s="95" t="e">
        <f>VLOOKUP(U82,'BASE '!$A$4:$H$144,6,0)*Y82/100</f>
        <v>#N/A</v>
      </c>
      <c r="AC82" s="95" t="e">
        <f>VLOOKUP(U82,'BASE '!$A$4:$H$144,7,0)*Y82/100</f>
        <v>#N/A</v>
      </c>
      <c r="AD82" s="95" t="e">
        <f>VLOOKUP(U82,'BASE '!$A$4:$H$144,8,0)*Y82/100</f>
        <v>#N/A</v>
      </c>
      <c r="AE82" s="96" t="e">
        <f t="shared" si="36"/>
        <v>#N/A</v>
      </c>
      <c r="DN82" s="116" t="e">
        <f>(($I$5*#REF!)/100)+((#REF!*$J$5)/100)+(($K$5*#REF!)/100)+($L$5*#REF!)+($M$5*#REF!)</f>
        <v>#REF!</v>
      </c>
    </row>
    <row r="83" spans="2:118" x14ac:dyDescent="0.3">
      <c r="B83" s="64"/>
      <c r="C83" s="148"/>
      <c r="D83" s="109"/>
      <c r="E83" s="63"/>
      <c r="F83" s="127"/>
      <c r="G83" s="50"/>
      <c r="H83" s="10"/>
      <c r="I83" s="10"/>
      <c r="J83" s="10"/>
      <c r="K83" s="10"/>
      <c r="L83" s="10"/>
      <c r="M83" s="39"/>
      <c r="N83" s="33">
        <f t="shared" si="31"/>
        <v>0</v>
      </c>
      <c r="O83" s="52" t="b">
        <f>IF(AND(E83="CLIENT S+L",F83="HUILE"),(S83*3333.33+(VLOOKUP(H83,'BASE '!$I$112:$J$142,2,0)))-((S83*3333.33)*G83),IF(AND(E83="CLIENT S+L",F83="LAIT"),((S83*952.4)-(S83*952.4)*G83),IF(E83="CLIENT O","OFFERT",IF(AND(F83="HUILE",E83="CLIENT L"),(((VLOOKUP(H83,'BASE '!$I$112:$J$142,2,0))+(VLOOKUP(S83,'BASE '!#REF!,2,0)))),IF(AND(F83="LAIT",E83="CLIENT L"),(S83*952.4),IF(AND(F83="HUILE",E83="CLIENT D"),(S83*3809.53+(VLOOKUP(H83,'BASE '!$I$112:$J$142,2,0))),IF(AND(F83="LAIT",E83="CLIENT D"),(S83*952.4),IF(AND(F83="HUILE",E83="CLIENT S+D"),((S83*3809.53+(VLOOKUP(H83,'BASE '!$I$112:$J$142,2,0)))-((S83*3809.53)*G83)),IF(AND(F83="LAIT",E83="CLIENT S+D"),((S83*952.4)-((S83*952.4)*G83)),IF(AND(E83="CLIENT S",F83="LAIT"),((S83*952.4)-((S83*952.4)*G83)),IF(AND(F83="HUILE",E83="CLIENT S"),(VLOOKUP(H83,'BASE '!$I$112:$J$142,2,0)+(VLOOKUP(S83,'BASE '!#REF!,2,0)))-(G83*((VLOOKUP(S83,'BASE '!#REF!,2,0)+(VLOOKUP(H83,'BASE '!$I$112:$J$142,2,0))))))))))))))))</f>
        <v>0</v>
      </c>
      <c r="P83" s="52" t="b">
        <f t="shared" si="32"/>
        <v>0</v>
      </c>
      <c r="Q83" s="53" t="b">
        <f t="shared" si="33"/>
        <v>0</v>
      </c>
      <c r="R83" s="152" t="s">
        <v>175</v>
      </c>
      <c r="S83" s="184">
        <f t="shared" si="35"/>
        <v>0</v>
      </c>
      <c r="T83" s="124"/>
      <c r="U83" s="41" t="s">
        <v>175</v>
      </c>
      <c r="V83" s="70" t="e">
        <f>VLOOKUP(U83,'BASE '!$A$4:$H$144,2,0)</f>
        <v>#N/A</v>
      </c>
      <c r="W83" s="159"/>
      <c r="X83" s="159"/>
      <c r="Y83" s="160"/>
      <c r="Z83" s="158" t="e">
        <f>VLOOKUP(U83,'BASE '!$A$4:$H$144,3,0)</f>
        <v>#N/A</v>
      </c>
      <c r="AA83" s="94" t="e">
        <f t="shared" si="34"/>
        <v>#N/A</v>
      </c>
      <c r="AB83" s="95" t="e">
        <f>VLOOKUP(U83,'BASE '!$A$4:$H$144,6,0)*Y83/100</f>
        <v>#N/A</v>
      </c>
      <c r="AC83" s="95" t="e">
        <f>VLOOKUP(U83,'BASE '!$A$4:$H$144,7,0)*Y83/100</f>
        <v>#N/A</v>
      </c>
      <c r="AD83" s="95" t="e">
        <f>VLOOKUP(U83,'BASE '!$A$4:$H$144,8,0)*Y83/100</f>
        <v>#N/A</v>
      </c>
      <c r="AE83" s="96" t="e">
        <f t="shared" si="36"/>
        <v>#N/A</v>
      </c>
      <c r="DN83" s="116" t="e">
        <f>(($I$5*#REF!)/100)+((#REF!*$J$5)/100)+(($K$5*#REF!)/100)+($L$5*#REF!)+($M$5*#REF!)</f>
        <v>#REF!</v>
      </c>
    </row>
    <row r="84" spans="2:118" x14ac:dyDescent="0.3">
      <c r="B84" s="64"/>
      <c r="C84" s="148"/>
      <c r="D84" s="109"/>
      <c r="E84" s="63"/>
      <c r="F84" s="127"/>
      <c r="G84" s="50"/>
      <c r="H84" s="10"/>
      <c r="I84" s="10"/>
      <c r="J84" s="10"/>
      <c r="K84" s="10"/>
      <c r="L84" s="10"/>
      <c r="M84" s="39"/>
      <c r="N84" s="33">
        <f t="shared" si="31"/>
        <v>0</v>
      </c>
      <c r="O84" s="52" t="b">
        <f>IF(AND(E84="CLIENT S+L",F84="HUILE"),(S84*3333.33+(VLOOKUP(H84,'BASE '!$I$112:$J$142,2,0)))-((S84*3333.33)*G84),IF(AND(E84="CLIENT S+L",F84="LAIT"),((S84*952.4)-(S84*952.4)*G84),IF(E84="CLIENT O","OFFERT",IF(AND(F84="HUILE",E84="CLIENT L"),(((VLOOKUP(H84,'BASE '!$I$112:$J$142,2,0))+(VLOOKUP(S84,'BASE '!#REF!,2,0)))),IF(AND(F84="LAIT",E84="CLIENT L"),(S84*952.4),IF(AND(F84="HUILE",E84="CLIENT D"),(S84*3809.53+(VLOOKUP(H84,'BASE '!$I$112:$J$142,2,0))),IF(AND(F84="LAIT",E84="CLIENT D"),(S84*952.4),IF(AND(F84="HUILE",E84="CLIENT S+D"),((S84*3809.53+(VLOOKUP(H84,'BASE '!$I$112:$J$142,2,0)))-((S84*3809.53)*G84)),IF(AND(F84="LAIT",E84="CLIENT S+D"),((S84*952.4)-((S84*952.4)*G84)),IF(AND(E84="CLIENT S",F84="LAIT"),((S84*952.4)-((S84*952.4)*G84)),IF(AND(F84="HUILE",E84="CLIENT S"),(VLOOKUP(H84,'BASE '!$I$112:$J$142,2,0)+(VLOOKUP(S84,'BASE '!#REF!,2,0)))-(G84*((VLOOKUP(S84,'BASE '!#REF!,2,0)+(VLOOKUP(H84,'BASE '!$I$112:$J$142,2,0))))))))))))))))</f>
        <v>0</v>
      </c>
      <c r="P84" s="52" t="b">
        <f t="shared" si="32"/>
        <v>0</v>
      </c>
      <c r="Q84" s="53" t="b">
        <f t="shared" si="33"/>
        <v>0</v>
      </c>
      <c r="R84" s="152" t="s">
        <v>175</v>
      </c>
      <c r="S84" s="184">
        <f t="shared" si="35"/>
        <v>0</v>
      </c>
      <c r="T84" s="124"/>
      <c r="U84" s="41" t="s">
        <v>175</v>
      </c>
      <c r="V84" s="70" t="e">
        <f>VLOOKUP(U84,'BASE '!$A$4:$H$144,2,0)</f>
        <v>#N/A</v>
      </c>
      <c r="W84" s="159"/>
      <c r="X84" s="159"/>
      <c r="Y84" s="160"/>
      <c r="Z84" s="158" t="e">
        <f>VLOOKUP(U84,'BASE '!$A$4:$H$144,3,0)</f>
        <v>#N/A</v>
      </c>
      <c r="AA84" s="94" t="e">
        <f t="shared" si="34"/>
        <v>#N/A</v>
      </c>
      <c r="AB84" s="95" t="e">
        <f>VLOOKUP(U84,'BASE '!$A$4:$H$144,6,0)*Y84/100</f>
        <v>#N/A</v>
      </c>
      <c r="AC84" s="95" t="e">
        <f>VLOOKUP(U84,'BASE '!$A$4:$H$144,7,0)*Y84/100</f>
        <v>#N/A</v>
      </c>
      <c r="AD84" s="95" t="e">
        <f>VLOOKUP(U84,'BASE '!$A$4:$H$144,8,0)*Y84/100</f>
        <v>#N/A</v>
      </c>
      <c r="AE84" s="96" t="e">
        <f t="shared" si="36"/>
        <v>#N/A</v>
      </c>
      <c r="DN84" s="116" t="e">
        <f>(($I$5*#REF!)/100)+((#REF!*$J$5)/100)+(($K$5*#REF!)/100)+($L$5*#REF!)+($M$5*#REF!)</f>
        <v>#REF!</v>
      </c>
    </row>
    <row r="85" spans="2:118" x14ac:dyDescent="0.3">
      <c r="B85" s="64"/>
      <c r="C85" s="148"/>
      <c r="D85" s="109"/>
      <c r="E85" s="63"/>
      <c r="F85" s="127"/>
      <c r="G85" s="50"/>
      <c r="H85" s="10"/>
      <c r="I85" s="10"/>
      <c r="J85" s="10"/>
      <c r="K85" s="10"/>
      <c r="L85" s="10"/>
      <c r="M85" s="39"/>
      <c r="N85" s="33">
        <f t="shared" si="31"/>
        <v>0</v>
      </c>
      <c r="O85" s="52" t="b">
        <f>IF(AND(E85="CLIENT S+L",F85="HUILE"),(S85*3333.33+(VLOOKUP(H85,'BASE '!$I$112:$J$142,2,0)))-((S85*3333.33)*G85),IF(AND(E85="CLIENT S+L",F85="LAIT"),((S85*952.4)-(S85*952.4)*G85),IF(E85="CLIENT O","OFFERT",IF(AND(F85="HUILE",E85="CLIENT L"),(((VLOOKUP(H85,'BASE '!$I$112:$J$142,2,0))+(VLOOKUP(S85,'BASE '!#REF!,2,0)))),IF(AND(F85="LAIT",E85="CLIENT L"),(S85*952.4),IF(AND(F85="HUILE",E85="CLIENT D"),(S85*3809.53+(VLOOKUP(H85,'BASE '!$I$112:$J$142,2,0))),IF(AND(F85="LAIT",E85="CLIENT D"),(S85*952.4),IF(AND(F85="HUILE",E85="CLIENT S+D"),((S85*3809.53+(VLOOKUP(H85,'BASE '!$I$112:$J$142,2,0)))-((S85*3809.53)*G85)),IF(AND(F85="LAIT",E85="CLIENT S+D"),((S85*952.4)-((S85*952.4)*G85)),IF(AND(E85="CLIENT S",F85="LAIT"),((S85*952.4)-((S85*952.4)*G85)),IF(AND(F85="HUILE",E85="CLIENT S"),(VLOOKUP(H85,'BASE '!$I$112:$J$142,2,0)+(VLOOKUP(S85,'BASE '!#REF!,2,0)))-(G85*((VLOOKUP(S85,'BASE '!#REF!,2,0)+(VLOOKUP(H85,'BASE '!$I$112:$J$142,2,0))))))))))))))))</f>
        <v>0</v>
      </c>
      <c r="P85" s="52" t="b">
        <f t="shared" si="32"/>
        <v>0</v>
      </c>
      <c r="Q85" s="53" t="b">
        <f t="shared" si="33"/>
        <v>0</v>
      </c>
      <c r="R85" s="152" t="s">
        <v>175</v>
      </c>
      <c r="S85" s="184">
        <f t="shared" si="35"/>
        <v>0</v>
      </c>
      <c r="T85" s="124"/>
      <c r="U85" s="41" t="s">
        <v>175</v>
      </c>
      <c r="V85" s="70" t="e">
        <f>VLOOKUP(U85,'BASE '!$A$4:$H$144,2,0)</f>
        <v>#N/A</v>
      </c>
      <c r="W85" s="159"/>
      <c r="X85" s="159"/>
      <c r="Y85" s="160"/>
      <c r="Z85" s="158" t="e">
        <f>VLOOKUP(U85,'BASE '!$A$4:$H$144,3,0)</f>
        <v>#N/A</v>
      </c>
      <c r="AA85" s="94" t="e">
        <f t="shared" si="34"/>
        <v>#N/A</v>
      </c>
      <c r="AB85" s="95" t="e">
        <f>VLOOKUP(U85,'BASE '!$A$4:$H$144,6,0)*Y85/100</f>
        <v>#N/A</v>
      </c>
      <c r="AC85" s="95" t="e">
        <f>VLOOKUP(U85,'BASE '!$A$4:$H$144,7,0)*Y85/100</f>
        <v>#N/A</v>
      </c>
      <c r="AD85" s="95" t="e">
        <f>VLOOKUP(U85,'BASE '!$A$4:$H$144,8,0)*Y85/100</f>
        <v>#N/A</v>
      </c>
      <c r="AE85" s="96" t="e">
        <f t="shared" si="36"/>
        <v>#N/A</v>
      </c>
      <c r="DN85" s="116" t="e">
        <f>(($I$5*#REF!)/100)+((#REF!*$J$5)/100)+(($K$5*#REF!)/100)+($L$5*#REF!)+($M$5*#REF!)</f>
        <v>#REF!</v>
      </c>
    </row>
    <row r="86" spans="2:118" x14ac:dyDescent="0.3">
      <c r="B86" s="64"/>
      <c r="C86" s="148"/>
      <c r="D86" s="109"/>
      <c r="E86" s="63"/>
      <c r="F86" s="127"/>
      <c r="G86" s="50"/>
      <c r="H86" s="10"/>
      <c r="I86" s="10"/>
      <c r="J86" s="10"/>
      <c r="K86" s="10"/>
      <c r="L86" s="10"/>
      <c r="M86" s="39"/>
      <c r="N86" s="33">
        <f t="shared" si="31"/>
        <v>0</v>
      </c>
      <c r="O86" s="52" t="b">
        <f>IF(AND(E86="CLIENT S+L",F86="HUILE"),(S86*3333.33+(VLOOKUP(H86,'BASE '!$I$112:$J$142,2,0)))-((S86*3333.33)*G86),IF(AND(E86="CLIENT S+L",F86="LAIT"),((S86*952.4)-(S86*952.4)*G86),IF(E86="CLIENT O","OFFERT",IF(AND(F86="HUILE",E86="CLIENT L"),(((VLOOKUP(H86,'BASE '!$I$112:$J$142,2,0))+(VLOOKUP(S86,'BASE '!#REF!,2,0)))),IF(AND(F86="LAIT",E86="CLIENT L"),(S86*952.4),IF(AND(F86="HUILE",E86="CLIENT D"),(S86*3809.53+(VLOOKUP(H86,'BASE '!$I$112:$J$142,2,0))),IF(AND(F86="LAIT",E86="CLIENT D"),(S86*952.4),IF(AND(F86="HUILE",E86="CLIENT S+D"),((S86*3809.53+(VLOOKUP(H86,'BASE '!$I$112:$J$142,2,0)))-((S86*3809.53)*G86)),IF(AND(F86="LAIT",E86="CLIENT S+D"),((S86*952.4)-((S86*952.4)*G86)),IF(AND(E86="CLIENT S",F86="LAIT"),((S86*952.4)-((S86*952.4)*G86)),IF(AND(F86="HUILE",E86="CLIENT S"),(VLOOKUP(H86,'BASE '!$I$112:$J$142,2,0)+(VLOOKUP(S86,'BASE '!#REF!,2,0)))-(G86*((VLOOKUP(S86,'BASE '!#REF!,2,0)+(VLOOKUP(H86,'BASE '!$I$112:$J$142,2,0))))))))))))))))</f>
        <v>0</v>
      </c>
      <c r="P86" s="52" t="b">
        <f t="shared" si="32"/>
        <v>0</v>
      </c>
      <c r="Q86" s="53" t="b">
        <f t="shared" si="33"/>
        <v>0</v>
      </c>
      <c r="R86" s="152" t="s">
        <v>175</v>
      </c>
      <c r="S86" s="184">
        <f t="shared" si="35"/>
        <v>0</v>
      </c>
      <c r="T86" s="124"/>
      <c r="U86" s="41" t="s">
        <v>175</v>
      </c>
      <c r="V86" s="70" t="e">
        <f>VLOOKUP(U86,'BASE '!$A$4:$H$144,2,0)</f>
        <v>#N/A</v>
      </c>
      <c r="W86" s="159"/>
      <c r="X86" s="159"/>
      <c r="Y86" s="160"/>
      <c r="Z86" s="158" t="e">
        <f>VLOOKUP(U86,'BASE '!$A$4:$H$144,3,0)</f>
        <v>#N/A</v>
      </c>
      <c r="AA86" s="94" t="e">
        <f t="shared" si="34"/>
        <v>#N/A</v>
      </c>
      <c r="AB86" s="95" t="e">
        <f>VLOOKUP(U86,'BASE '!$A$4:$H$144,6,0)*Y86/100</f>
        <v>#N/A</v>
      </c>
      <c r="AC86" s="95" t="e">
        <f>VLOOKUP(U86,'BASE '!$A$4:$H$144,7,0)*Y86/100</f>
        <v>#N/A</v>
      </c>
      <c r="AD86" s="95" t="e">
        <f>VLOOKUP(U86,'BASE '!$A$4:$H$144,8,0)*Y86/100</f>
        <v>#N/A</v>
      </c>
      <c r="AE86" s="96" t="e">
        <f t="shared" si="36"/>
        <v>#N/A</v>
      </c>
      <c r="DN86" s="116" t="e">
        <f>(($I$5*#REF!)/100)+((#REF!*$J$5)/100)+(($K$5*#REF!)/100)+($L$5*#REF!)+($M$5*#REF!)</f>
        <v>#REF!</v>
      </c>
    </row>
    <row r="87" spans="2:118" x14ac:dyDescent="0.3">
      <c r="B87" s="64"/>
      <c r="C87" s="148"/>
      <c r="D87" s="109"/>
      <c r="E87" s="63"/>
      <c r="F87" s="127"/>
      <c r="G87" s="50"/>
      <c r="H87" s="10"/>
      <c r="I87" s="10"/>
      <c r="J87" s="10"/>
      <c r="K87" s="10"/>
      <c r="L87" s="10"/>
      <c r="M87" s="39"/>
      <c r="N87" s="33">
        <f t="shared" si="31"/>
        <v>0</v>
      </c>
      <c r="O87" s="52" t="b">
        <f>IF(AND(E87="CLIENT S+L",F87="HUILE"),(S87*3333.33+(VLOOKUP(H87,'BASE '!$I$112:$J$142,2,0)))-((S87*3333.33)*G87),IF(AND(E87="CLIENT S+L",F87="LAIT"),((S87*952.4)-(S87*952.4)*G87),IF(E87="CLIENT O","OFFERT",IF(AND(F87="HUILE",E87="CLIENT L"),(((VLOOKUP(H87,'BASE '!$I$112:$J$142,2,0))+(VLOOKUP(S87,'BASE '!#REF!,2,0)))),IF(AND(F87="LAIT",E87="CLIENT L"),(S87*952.4),IF(AND(F87="HUILE",E87="CLIENT D"),(S87*3809.53+(VLOOKUP(H87,'BASE '!$I$112:$J$142,2,0))),IF(AND(F87="LAIT",E87="CLIENT D"),(S87*952.4),IF(AND(F87="HUILE",E87="CLIENT S+D"),((S87*3809.53+(VLOOKUP(H87,'BASE '!$I$112:$J$142,2,0)))-((S87*3809.53)*G87)),IF(AND(F87="LAIT",E87="CLIENT S+D"),((S87*952.4)-((S87*952.4)*G87)),IF(AND(E87="CLIENT S",F87="LAIT"),((S87*952.4)-((S87*952.4)*G87)),IF(AND(F87="HUILE",E87="CLIENT S"),(VLOOKUP(H87,'BASE '!$I$112:$J$142,2,0)+(VLOOKUP(S87,'BASE '!#REF!,2,0)))-(G87*((VLOOKUP(S87,'BASE '!#REF!,2,0)+(VLOOKUP(H87,'BASE '!$I$112:$J$142,2,0))))))))))))))))</f>
        <v>0</v>
      </c>
      <c r="P87" s="52" t="b">
        <f t="shared" si="32"/>
        <v>0</v>
      </c>
      <c r="Q87" s="53" t="b">
        <f t="shared" si="33"/>
        <v>0</v>
      </c>
      <c r="R87" s="152" t="s">
        <v>175</v>
      </c>
      <c r="S87" s="184">
        <f t="shared" si="35"/>
        <v>0</v>
      </c>
      <c r="T87" s="124"/>
      <c r="U87" s="41" t="s">
        <v>175</v>
      </c>
      <c r="V87" s="70" t="e">
        <f>VLOOKUP(U87,'BASE '!$A$4:$H$144,2,0)</f>
        <v>#N/A</v>
      </c>
      <c r="W87" s="159"/>
      <c r="X87" s="159"/>
      <c r="Y87" s="160"/>
      <c r="Z87" s="158" t="e">
        <f>VLOOKUP(U87,'BASE '!$A$4:$H$144,3,0)</f>
        <v>#N/A</v>
      </c>
      <c r="AA87" s="94" t="e">
        <f t="shared" si="34"/>
        <v>#N/A</v>
      </c>
      <c r="AB87" s="95" t="e">
        <f>VLOOKUP(U87,'BASE '!$A$4:$H$144,6,0)*Y87/100</f>
        <v>#N/A</v>
      </c>
      <c r="AC87" s="95" t="e">
        <f>VLOOKUP(U87,'BASE '!$A$4:$H$144,7,0)*Y87/100</f>
        <v>#N/A</v>
      </c>
      <c r="AD87" s="95" t="e">
        <f>VLOOKUP(U87,'BASE '!$A$4:$H$144,8,0)*Y87/100</f>
        <v>#N/A</v>
      </c>
      <c r="AE87" s="96" t="e">
        <f t="shared" si="36"/>
        <v>#N/A</v>
      </c>
      <c r="DN87" s="116" t="e">
        <f>(($I$5*#REF!)/100)+((#REF!*$J$5)/100)+(($K$5*#REF!)/100)+($L$5*#REF!)+($M$5*#REF!)</f>
        <v>#REF!</v>
      </c>
    </row>
    <row r="88" spans="2:118" x14ac:dyDescent="0.3">
      <c r="B88" s="64"/>
      <c r="C88" s="148"/>
      <c r="D88" s="109"/>
      <c r="E88" s="63"/>
      <c r="F88" s="127"/>
      <c r="G88" s="50"/>
      <c r="H88" s="10"/>
      <c r="I88" s="10"/>
      <c r="J88" s="10"/>
      <c r="K88" s="10"/>
      <c r="L88" s="10"/>
      <c r="M88" s="39"/>
      <c r="N88" s="33">
        <f t="shared" si="31"/>
        <v>0</v>
      </c>
      <c r="O88" s="52" t="b">
        <f>IF(AND(E88="CLIENT S+L",F88="HUILE"),(S88*3333.33+(VLOOKUP(H88,'BASE '!$I$112:$J$142,2,0)))-((S88*3333.33)*G88),IF(AND(E88="CLIENT S+L",F88="LAIT"),((S88*952.4)-(S88*952.4)*G88),IF(E88="CLIENT O","OFFERT",IF(AND(F88="HUILE",E88="CLIENT L"),(((VLOOKUP(H88,'BASE '!$I$112:$J$142,2,0))+(VLOOKUP(S88,'BASE '!#REF!,2,0)))),IF(AND(F88="LAIT",E88="CLIENT L"),(S88*952.4),IF(AND(F88="HUILE",E88="CLIENT D"),(S88*3809.53+(VLOOKUP(H88,'BASE '!$I$112:$J$142,2,0))),IF(AND(F88="LAIT",E88="CLIENT D"),(S88*952.4),IF(AND(F88="HUILE",E88="CLIENT S+D"),((S88*3809.53+(VLOOKUP(H88,'BASE '!$I$112:$J$142,2,0)))-((S88*3809.53)*G88)),IF(AND(F88="LAIT",E88="CLIENT S+D"),((S88*952.4)-((S88*952.4)*G88)),IF(AND(E88="CLIENT S",F88="LAIT"),((S88*952.4)-((S88*952.4)*G88)),IF(AND(F88="HUILE",E88="CLIENT S"),(VLOOKUP(H88,'BASE '!$I$112:$J$142,2,0)+(VLOOKUP(S88,'BASE '!#REF!,2,0)))-(G88*((VLOOKUP(S88,'BASE '!#REF!,2,0)+(VLOOKUP(H88,'BASE '!$I$112:$J$142,2,0))))))))))))))))</f>
        <v>0</v>
      </c>
      <c r="P88" s="52" t="b">
        <f t="shared" si="32"/>
        <v>0</v>
      </c>
      <c r="Q88" s="53" t="b">
        <f t="shared" si="33"/>
        <v>0</v>
      </c>
      <c r="R88" s="152" t="s">
        <v>175</v>
      </c>
      <c r="S88" s="184">
        <f t="shared" si="35"/>
        <v>0</v>
      </c>
      <c r="T88" s="124"/>
      <c r="U88" s="41" t="s">
        <v>175</v>
      </c>
      <c r="V88" s="70" t="e">
        <f>VLOOKUP(U88,'BASE '!$A$4:$H$144,2,0)</f>
        <v>#N/A</v>
      </c>
      <c r="W88" s="159"/>
      <c r="X88" s="159"/>
      <c r="Y88" s="160"/>
      <c r="Z88" s="158" t="e">
        <f>VLOOKUP(U88,'BASE '!$A$4:$H$144,3,0)</f>
        <v>#N/A</v>
      </c>
      <c r="AA88" s="94" t="e">
        <f t="shared" si="34"/>
        <v>#N/A</v>
      </c>
      <c r="AB88" s="95" t="e">
        <f>VLOOKUP(U88,'BASE '!$A$4:$H$144,6,0)*Y88/100</f>
        <v>#N/A</v>
      </c>
      <c r="AC88" s="95" t="e">
        <f>VLOOKUP(U88,'BASE '!$A$4:$H$144,7,0)*Y88/100</f>
        <v>#N/A</v>
      </c>
      <c r="AD88" s="95" t="e">
        <f>VLOOKUP(U88,'BASE '!$A$4:$H$144,8,0)*Y88/100</f>
        <v>#N/A</v>
      </c>
      <c r="AE88" s="96" t="e">
        <f t="shared" si="36"/>
        <v>#N/A</v>
      </c>
      <c r="DN88" s="116" t="e">
        <f>(($I$5*#REF!)/100)+((#REF!*$J$5)/100)+(($K$5*#REF!)/100)+($L$5*#REF!)+($M$5*#REF!)</f>
        <v>#REF!</v>
      </c>
    </row>
    <row r="89" spans="2:118" x14ac:dyDescent="0.3">
      <c r="B89" s="64"/>
      <c r="C89" s="148"/>
      <c r="D89" s="109"/>
      <c r="E89" s="63"/>
      <c r="F89" s="127"/>
      <c r="G89" s="50"/>
      <c r="H89" s="10"/>
      <c r="I89" s="10"/>
      <c r="J89" s="10"/>
      <c r="K89" s="10"/>
      <c r="L89" s="10"/>
      <c r="M89" s="39"/>
      <c r="N89" s="33">
        <f t="shared" si="31"/>
        <v>0</v>
      </c>
      <c r="O89" s="52" t="b">
        <f>IF(AND(E89="CLIENT S+L",F89="HUILE"),(S89*3333.33+(VLOOKUP(H89,'BASE '!$I$112:$J$142,2,0)))-((S89*3333.33)*G89),IF(AND(E89="CLIENT S+L",F89="LAIT"),((S89*952.4)-(S89*952.4)*G89),IF(E89="CLIENT O","OFFERT",IF(AND(F89="HUILE",E89="CLIENT L"),(((VLOOKUP(H89,'BASE '!$I$112:$J$142,2,0))+(VLOOKUP(S89,'BASE '!#REF!,2,0)))),IF(AND(F89="LAIT",E89="CLIENT L"),(S89*952.4),IF(AND(F89="HUILE",E89="CLIENT D"),(S89*3809.53+(VLOOKUP(H89,'BASE '!$I$112:$J$142,2,0))),IF(AND(F89="LAIT",E89="CLIENT D"),(S89*952.4),IF(AND(F89="HUILE",E89="CLIENT S+D"),((S89*3809.53+(VLOOKUP(H89,'BASE '!$I$112:$J$142,2,0)))-((S89*3809.53)*G89)),IF(AND(F89="LAIT",E89="CLIENT S+D"),((S89*952.4)-((S89*952.4)*G89)),IF(AND(E89="CLIENT S",F89="LAIT"),((S89*952.4)-((S89*952.4)*G89)),IF(AND(F89="HUILE",E89="CLIENT S"),(VLOOKUP(H89,'BASE '!$I$112:$J$142,2,0)+(VLOOKUP(S89,'BASE '!#REF!,2,0)))-(G89*((VLOOKUP(S89,'BASE '!#REF!,2,0)+(VLOOKUP(H89,'BASE '!$I$112:$J$142,2,0))))))))))))))))</f>
        <v>0</v>
      </c>
      <c r="P89" s="52" t="b">
        <f t="shared" si="32"/>
        <v>0</v>
      </c>
      <c r="Q89" s="53" t="b">
        <f t="shared" si="33"/>
        <v>0</v>
      </c>
      <c r="R89" s="152" t="s">
        <v>175</v>
      </c>
      <c r="S89" s="184">
        <f t="shared" si="35"/>
        <v>0</v>
      </c>
      <c r="T89" s="124"/>
      <c r="U89" s="41" t="s">
        <v>175</v>
      </c>
      <c r="V89" s="70" t="e">
        <f>VLOOKUP(U89,'BASE '!$A$4:$H$144,2,0)</f>
        <v>#N/A</v>
      </c>
      <c r="W89" s="159"/>
      <c r="X89" s="159"/>
      <c r="Y89" s="160"/>
      <c r="Z89" s="158" t="e">
        <f>VLOOKUP(U89,'BASE '!$A$4:$H$144,3,0)</f>
        <v>#N/A</v>
      </c>
      <c r="AA89" s="94" t="e">
        <f t="shared" si="34"/>
        <v>#N/A</v>
      </c>
      <c r="AB89" s="95" t="e">
        <f>VLOOKUP(U89,'BASE '!$A$4:$H$144,6,0)*Y89/100</f>
        <v>#N/A</v>
      </c>
      <c r="AC89" s="95" t="e">
        <f>VLOOKUP(U89,'BASE '!$A$4:$H$144,7,0)*Y89/100</f>
        <v>#N/A</v>
      </c>
      <c r="AD89" s="95" t="e">
        <f>VLOOKUP(U89,'BASE '!$A$4:$H$144,8,0)*Y89/100</f>
        <v>#N/A</v>
      </c>
      <c r="AE89" s="96" t="e">
        <f t="shared" si="36"/>
        <v>#N/A</v>
      </c>
      <c r="DN89" s="116" t="e">
        <f>(($I$5*#REF!)/100)+((#REF!*$J$5)/100)+(($K$5*#REF!)/100)+($L$5*#REF!)+($M$5*#REF!)</f>
        <v>#REF!</v>
      </c>
    </row>
    <row r="90" spans="2:118" x14ac:dyDescent="0.3">
      <c r="B90" s="64"/>
      <c r="C90" s="148"/>
      <c r="D90" s="109"/>
      <c r="E90" s="63"/>
      <c r="F90" s="127"/>
      <c r="G90" s="50"/>
      <c r="H90" s="10"/>
      <c r="I90" s="10"/>
      <c r="J90" s="10"/>
      <c r="K90" s="10"/>
      <c r="L90" s="10"/>
      <c r="M90" s="39"/>
      <c r="N90" s="33">
        <f t="shared" si="31"/>
        <v>0</v>
      </c>
      <c r="O90" s="52" t="b">
        <f>IF(AND(E90="CLIENT S+L",F90="HUILE"),(S90*3333.33+(VLOOKUP(H90,'BASE '!$I$112:$J$142,2,0)))-((S90*3333.33)*G90),IF(AND(E90="CLIENT S+L",F90="LAIT"),((S90*952.4)-(S90*952.4)*G90),IF(E90="CLIENT O","OFFERT",IF(AND(F90="HUILE",E90="CLIENT L"),(((VLOOKUP(H90,'BASE '!$I$112:$J$142,2,0))+(VLOOKUP(S90,'BASE '!#REF!,2,0)))),IF(AND(F90="LAIT",E90="CLIENT L"),(S90*952.4),IF(AND(F90="HUILE",E90="CLIENT D"),(S90*3809.53+(VLOOKUP(H90,'BASE '!$I$112:$J$142,2,0))),IF(AND(F90="LAIT",E90="CLIENT D"),(S90*952.4),IF(AND(F90="HUILE",E90="CLIENT S+D"),((S90*3809.53+(VLOOKUP(H90,'BASE '!$I$112:$J$142,2,0)))-((S90*3809.53)*G90)),IF(AND(F90="LAIT",E90="CLIENT S+D"),((S90*952.4)-((S90*952.4)*G90)),IF(AND(E90="CLIENT S",F90="LAIT"),((S90*952.4)-((S90*952.4)*G90)),IF(AND(F90="HUILE",E90="CLIENT S"),(VLOOKUP(H90,'BASE '!$I$112:$J$142,2,0)+(VLOOKUP(S90,'BASE '!#REF!,2,0)))-(G90*((VLOOKUP(S90,'BASE '!#REF!,2,0)+(VLOOKUP(H90,'BASE '!$I$112:$J$142,2,0))))))))))))))))</f>
        <v>0</v>
      </c>
      <c r="P90" s="52" t="b">
        <f t="shared" si="32"/>
        <v>0</v>
      </c>
      <c r="Q90" s="53" t="b">
        <f t="shared" si="33"/>
        <v>0</v>
      </c>
      <c r="R90" s="152" t="s">
        <v>175</v>
      </c>
      <c r="S90" s="184">
        <f t="shared" si="35"/>
        <v>0</v>
      </c>
      <c r="T90" s="124"/>
      <c r="U90" s="41" t="s">
        <v>175</v>
      </c>
      <c r="V90" s="70" t="e">
        <f>VLOOKUP(U90,'BASE '!$A$4:$H$144,2,0)</f>
        <v>#N/A</v>
      </c>
      <c r="W90" s="159"/>
      <c r="X90" s="159"/>
      <c r="Y90" s="160"/>
      <c r="Z90" s="158" t="e">
        <f>VLOOKUP(U90,'BASE '!$A$4:$H$144,3,0)</f>
        <v>#N/A</v>
      </c>
      <c r="AA90" s="94" t="e">
        <f t="shared" si="34"/>
        <v>#N/A</v>
      </c>
      <c r="AB90" s="95" t="e">
        <f>VLOOKUP(U90,'BASE '!$A$4:$H$144,6,0)*Y90/100</f>
        <v>#N/A</v>
      </c>
      <c r="AC90" s="95" t="e">
        <f>VLOOKUP(U90,'BASE '!$A$4:$H$144,7,0)*Y90/100</f>
        <v>#N/A</v>
      </c>
      <c r="AD90" s="95" t="e">
        <f>VLOOKUP(U90,'BASE '!$A$4:$H$144,8,0)*Y90/100</f>
        <v>#N/A</v>
      </c>
      <c r="AE90" s="96" t="e">
        <f t="shared" si="36"/>
        <v>#N/A</v>
      </c>
      <c r="DN90" s="116" t="e">
        <f>(($I$5*#REF!)/100)+((#REF!*$J$5)/100)+(($K$5*#REF!)/100)+($L$5*#REF!)+($M$5*#REF!)</f>
        <v>#REF!</v>
      </c>
    </row>
    <row r="91" spans="2:118" x14ac:dyDescent="0.3">
      <c r="B91" s="64"/>
      <c r="C91" s="148"/>
      <c r="D91" s="109"/>
      <c r="E91" s="63"/>
      <c r="F91" s="127"/>
      <c r="G91" s="50"/>
      <c r="H91" s="10"/>
      <c r="I91" s="10"/>
      <c r="J91" s="10"/>
      <c r="K91" s="10"/>
      <c r="L91" s="10"/>
      <c r="M91" s="39"/>
      <c r="N91" s="33">
        <f t="shared" si="31"/>
        <v>0</v>
      </c>
      <c r="O91" s="52" t="b">
        <f>IF(AND(E91="CLIENT S+L",F91="HUILE"),(S91*3333.33+(VLOOKUP(H91,'BASE '!$I$112:$J$142,2,0)))-((S91*3333.33)*G91),IF(AND(E91="CLIENT S+L",F91="LAIT"),((S91*952.4)-(S91*952.4)*G91),IF(E91="CLIENT O","OFFERT",IF(AND(F91="HUILE",E91="CLIENT L"),(((VLOOKUP(H91,'BASE '!$I$112:$J$142,2,0))+(VLOOKUP(S91,'BASE '!#REF!,2,0)))),IF(AND(F91="LAIT",E91="CLIENT L"),(S91*952.4),IF(AND(F91="HUILE",E91="CLIENT D"),(S91*3809.53+(VLOOKUP(H91,'BASE '!$I$112:$J$142,2,0))),IF(AND(F91="LAIT",E91="CLIENT D"),(S91*952.4),IF(AND(F91="HUILE",E91="CLIENT S+D"),((S91*3809.53+(VLOOKUP(H91,'BASE '!$I$112:$J$142,2,0)))-((S91*3809.53)*G91)),IF(AND(F91="LAIT",E91="CLIENT S+D"),((S91*952.4)-((S91*952.4)*G91)),IF(AND(E91="CLIENT S",F91="LAIT"),((S91*952.4)-((S91*952.4)*G91)),IF(AND(F91="HUILE",E91="CLIENT S"),(VLOOKUP(H91,'BASE '!$I$112:$J$142,2,0)+(VLOOKUP(S91,'BASE '!#REF!,2,0)))-(G91*((VLOOKUP(S91,'BASE '!#REF!,2,0)+(VLOOKUP(H91,'BASE '!$I$112:$J$142,2,0))))))))))))))))</f>
        <v>0</v>
      </c>
      <c r="P91" s="52" t="b">
        <f t="shared" si="32"/>
        <v>0</v>
      </c>
      <c r="Q91" s="53" t="b">
        <f t="shared" si="33"/>
        <v>0</v>
      </c>
      <c r="R91" s="152" t="s">
        <v>175</v>
      </c>
      <c r="S91" s="184">
        <f t="shared" si="35"/>
        <v>0</v>
      </c>
      <c r="T91" s="124"/>
      <c r="U91" s="41" t="s">
        <v>175</v>
      </c>
      <c r="V91" s="70" t="e">
        <f>VLOOKUP(U91,'BASE '!$A$4:$H$144,2,0)</f>
        <v>#N/A</v>
      </c>
      <c r="W91" s="159"/>
      <c r="X91" s="159"/>
      <c r="Y91" s="160"/>
      <c r="Z91" s="158" t="e">
        <f>VLOOKUP(U91,'BASE '!$A$4:$H$144,3,0)</f>
        <v>#N/A</v>
      </c>
      <c r="AA91" s="94" t="e">
        <f t="shared" si="34"/>
        <v>#N/A</v>
      </c>
      <c r="AB91" s="95" t="e">
        <f>VLOOKUP(U91,'BASE '!$A$4:$H$144,6,0)*Y91/100</f>
        <v>#N/A</v>
      </c>
      <c r="AC91" s="95" t="e">
        <f>VLOOKUP(U91,'BASE '!$A$4:$H$144,7,0)*Y91/100</f>
        <v>#N/A</v>
      </c>
      <c r="AD91" s="95" t="e">
        <f>VLOOKUP(U91,'BASE '!$A$4:$H$144,8,0)*Y91/100</f>
        <v>#N/A</v>
      </c>
      <c r="AE91" s="96" t="e">
        <f t="shared" si="36"/>
        <v>#N/A</v>
      </c>
      <c r="DN91" s="116" t="e">
        <f>(($I$5*#REF!)/100)+((#REF!*$J$5)/100)+(($K$5*#REF!)/100)+($L$5*#REF!)+($M$5*#REF!)</f>
        <v>#REF!</v>
      </c>
    </row>
    <row r="92" spans="2:118" x14ac:dyDescent="0.3">
      <c r="B92" s="64"/>
      <c r="C92" s="148"/>
      <c r="D92" s="109"/>
      <c r="E92" s="63"/>
      <c r="F92" s="127"/>
      <c r="G92" s="50"/>
      <c r="H92" s="10"/>
      <c r="I92" s="10"/>
      <c r="J92" s="10"/>
      <c r="K92" s="10"/>
      <c r="L92" s="10"/>
      <c r="M92" s="39"/>
      <c r="N92" s="33">
        <f t="shared" si="31"/>
        <v>0</v>
      </c>
      <c r="O92" s="52" t="b">
        <f>IF(AND(E92="CLIENT S+L",F92="HUILE"),(S92*3333.33+(VLOOKUP(H92,'BASE '!$I$112:$J$142,2,0)))-((S92*3333.33)*G92),IF(AND(E92="CLIENT S+L",F92="LAIT"),((S92*952.4)-(S92*952.4)*G92),IF(E92="CLIENT O","OFFERT",IF(AND(F92="HUILE",E92="CLIENT L"),(((VLOOKUP(H92,'BASE '!$I$112:$J$142,2,0))+(VLOOKUP(S92,'BASE '!#REF!,2,0)))),IF(AND(F92="LAIT",E92="CLIENT L"),(S92*952.4),IF(AND(F92="HUILE",E92="CLIENT D"),(S92*3809.53+(VLOOKUP(H92,'BASE '!$I$112:$J$142,2,0))),IF(AND(F92="LAIT",E92="CLIENT D"),(S92*952.4),IF(AND(F92="HUILE",E92="CLIENT S+D"),((S92*3809.53+(VLOOKUP(H92,'BASE '!$I$112:$J$142,2,0)))-((S92*3809.53)*G92)),IF(AND(F92="LAIT",E92="CLIENT S+D"),((S92*952.4)-((S92*952.4)*G92)),IF(AND(E92="CLIENT S",F92="LAIT"),((S92*952.4)-((S92*952.4)*G92)),IF(AND(F92="HUILE",E92="CLIENT S"),(VLOOKUP(H92,'BASE '!$I$112:$J$142,2,0)+(VLOOKUP(S92,'BASE '!#REF!,2,0)))-(G92*((VLOOKUP(S92,'BASE '!#REF!,2,0)+(VLOOKUP(H92,'BASE '!$I$112:$J$142,2,0))))))))))))))))</f>
        <v>0</v>
      </c>
      <c r="P92" s="52" t="b">
        <f t="shared" si="32"/>
        <v>0</v>
      </c>
      <c r="Q92" s="53" t="b">
        <f t="shared" si="33"/>
        <v>0</v>
      </c>
      <c r="R92" s="152" t="s">
        <v>175</v>
      </c>
      <c r="S92" s="184">
        <f t="shared" si="35"/>
        <v>0</v>
      </c>
      <c r="T92" s="124"/>
      <c r="U92" s="41" t="s">
        <v>175</v>
      </c>
      <c r="V92" s="70" t="e">
        <f>VLOOKUP(U92,'BASE '!$A$4:$H$144,2,0)</f>
        <v>#N/A</v>
      </c>
      <c r="W92" s="159"/>
      <c r="X92" s="159"/>
      <c r="Y92" s="160"/>
      <c r="Z92" s="158" t="e">
        <f>VLOOKUP(U92,'BASE '!$A$4:$H$144,3,0)</f>
        <v>#N/A</v>
      </c>
      <c r="AA92" s="94" t="e">
        <f t="shared" si="34"/>
        <v>#N/A</v>
      </c>
      <c r="AB92" s="95" t="e">
        <f>VLOOKUP(U92,'BASE '!$A$4:$H$144,6,0)*Y92/100</f>
        <v>#N/A</v>
      </c>
      <c r="AC92" s="95" t="e">
        <f>VLOOKUP(U92,'BASE '!$A$4:$H$144,7,0)*Y92/100</f>
        <v>#N/A</v>
      </c>
      <c r="AD92" s="95" t="e">
        <f>VLOOKUP(U92,'BASE '!$A$4:$H$144,8,0)*Y92/100</f>
        <v>#N/A</v>
      </c>
      <c r="AE92" s="96" t="e">
        <f t="shared" si="36"/>
        <v>#N/A</v>
      </c>
      <c r="DN92" s="116" t="e">
        <f>(($I$5*#REF!)/100)+((#REF!*$J$5)/100)+(($K$5*#REF!)/100)+($L$5*#REF!)+($M$5*#REF!)</f>
        <v>#REF!</v>
      </c>
    </row>
    <row r="93" spans="2:118" x14ac:dyDescent="0.3">
      <c r="B93" s="64"/>
      <c r="C93" s="148"/>
      <c r="D93" s="109"/>
      <c r="E93" s="63"/>
      <c r="F93" s="127"/>
      <c r="G93" s="50"/>
      <c r="H93" s="10"/>
      <c r="I93" s="10"/>
      <c r="J93" s="10"/>
      <c r="K93" s="10"/>
      <c r="L93" s="10"/>
      <c r="M93" s="39"/>
      <c r="N93" s="33">
        <f t="shared" si="31"/>
        <v>0</v>
      </c>
      <c r="O93" s="52" t="b">
        <f>IF(AND(E93="CLIENT S+L",F93="HUILE"),(S93*3333.33+(VLOOKUP(H93,'BASE '!$I$112:$J$142,2,0)))-((S93*3333.33)*G93),IF(AND(E93="CLIENT S+L",F93="LAIT"),((S93*952.4)-(S93*952.4)*G93),IF(E93="CLIENT O","OFFERT",IF(AND(F93="HUILE",E93="CLIENT L"),(((VLOOKUP(H93,'BASE '!$I$112:$J$142,2,0))+(VLOOKUP(S93,'BASE '!#REF!,2,0)))),IF(AND(F93="LAIT",E93="CLIENT L"),(S93*952.4),IF(AND(F93="HUILE",E93="CLIENT D"),(S93*3809.53+(VLOOKUP(H93,'BASE '!$I$112:$J$142,2,0))),IF(AND(F93="LAIT",E93="CLIENT D"),(S93*952.4),IF(AND(F93="HUILE",E93="CLIENT S+D"),((S93*3809.53+(VLOOKUP(H93,'BASE '!$I$112:$J$142,2,0)))-((S93*3809.53)*G93)),IF(AND(F93="LAIT",E93="CLIENT S+D"),((S93*952.4)-((S93*952.4)*G93)),IF(AND(E93="CLIENT S",F93="LAIT"),((S93*952.4)-((S93*952.4)*G93)),IF(AND(F93="HUILE",E93="CLIENT S"),(VLOOKUP(H93,'BASE '!$I$112:$J$142,2,0)+(VLOOKUP(S93,'BASE '!#REF!,2,0)))-(G93*((VLOOKUP(S93,'BASE '!#REF!,2,0)+(VLOOKUP(H93,'BASE '!$I$112:$J$142,2,0))))))))))))))))</f>
        <v>0</v>
      </c>
      <c r="P93" s="52" t="b">
        <f t="shared" si="32"/>
        <v>0</v>
      </c>
      <c r="Q93" s="53" t="b">
        <f t="shared" si="33"/>
        <v>0</v>
      </c>
      <c r="R93" s="152" t="s">
        <v>175</v>
      </c>
      <c r="S93" s="184">
        <f t="shared" si="35"/>
        <v>0</v>
      </c>
      <c r="T93" s="124"/>
      <c r="U93" s="41" t="s">
        <v>175</v>
      </c>
      <c r="V93" s="70" t="e">
        <f>VLOOKUP(U93,'BASE '!$A$4:$H$144,2,0)</f>
        <v>#N/A</v>
      </c>
      <c r="W93" s="159"/>
      <c r="X93" s="159"/>
      <c r="Y93" s="160"/>
      <c r="Z93" s="158" t="e">
        <f>VLOOKUP(U93,'BASE '!$A$4:$H$144,3,0)</f>
        <v>#N/A</v>
      </c>
      <c r="AA93" s="94" t="e">
        <f t="shared" si="34"/>
        <v>#N/A</v>
      </c>
      <c r="AB93" s="95" t="e">
        <f>VLOOKUP(U93,'BASE '!$A$4:$H$144,6,0)*Y93/100</f>
        <v>#N/A</v>
      </c>
      <c r="AC93" s="95" t="e">
        <f>VLOOKUP(U93,'BASE '!$A$4:$H$144,7,0)*Y93/100</f>
        <v>#N/A</v>
      </c>
      <c r="AD93" s="95" t="e">
        <f>VLOOKUP(U93,'BASE '!$A$4:$H$144,8,0)*Y93/100</f>
        <v>#N/A</v>
      </c>
      <c r="AE93" s="96" t="e">
        <f t="shared" si="36"/>
        <v>#N/A</v>
      </c>
      <c r="DN93" s="116" t="e">
        <f>(($I$5*#REF!)/100)+((#REF!*$J$5)/100)+(($K$5*#REF!)/100)+($L$5*#REF!)+($M$5*#REF!)</f>
        <v>#REF!</v>
      </c>
    </row>
    <row r="94" spans="2:118" x14ac:dyDescent="0.3">
      <c r="B94" s="64"/>
      <c r="C94" s="148"/>
      <c r="D94" s="109"/>
      <c r="E94" s="63"/>
      <c r="F94" s="127"/>
      <c r="G94" s="50"/>
      <c r="H94" s="10"/>
      <c r="I94" s="10"/>
      <c r="J94" s="10"/>
      <c r="K94" s="10"/>
      <c r="L94" s="10"/>
      <c r="M94" s="39"/>
      <c r="N94" s="33">
        <f t="shared" si="31"/>
        <v>0</v>
      </c>
      <c r="O94" s="52" t="b">
        <f>IF(AND(E94="CLIENT S+L",F94="HUILE"),(S94*3333.33+(VLOOKUP(H94,'BASE '!$I$112:$J$142,2,0)))-((S94*3333.33)*G94),IF(AND(E94="CLIENT S+L",F94="LAIT"),((S94*952.4)-(S94*952.4)*G94),IF(E94="CLIENT O","OFFERT",IF(AND(F94="HUILE",E94="CLIENT L"),(((VLOOKUP(H94,'BASE '!$I$112:$J$142,2,0))+(VLOOKUP(S94,'BASE '!#REF!,2,0)))),IF(AND(F94="LAIT",E94="CLIENT L"),(S94*952.4),IF(AND(F94="HUILE",E94="CLIENT D"),(S94*3809.53+(VLOOKUP(H94,'BASE '!$I$112:$J$142,2,0))),IF(AND(F94="LAIT",E94="CLIENT D"),(S94*952.4),IF(AND(F94="HUILE",E94="CLIENT S+D"),((S94*3809.53+(VLOOKUP(H94,'BASE '!$I$112:$J$142,2,0)))-((S94*3809.53)*G94)),IF(AND(F94="LAIT",E94="CLIENT S+D"),((S94*952.4)-((S94*952.4)*G94)),IF(AND(E94="CLIENT S",F94="LAIT"),((S94*952.4)-((S94*952.4)*G94)),IF(AND(F94="HUILE",E94="CLIENT S"),(VLOOKUP(H94,'BASE '!$I$112:$J$142,2,0)+(VLOOKUP(S94,'BASE '!#REF!,2,0)))-(G94*((VLOOKUP(S94,'BASE '!#REF!,2,0)+(VLOOKUP(H94,'BASE '!$I$112:$J$142,2,0))))))))))))))))</f>
        <v>0</v>
      </c>
      <c r="P94" s="52" t="b">
        <f t="shared" si="32"/>
        <v>0</v>
      </c>
      <c r="Q94" s="53" t="b">
        <f t="shared" si="33"/>
        <v>0</v>
      </c>
      <c r="R94" s="152" t="s">
        <v>175</v>
      </c>
      <c r="S94" s="184">
        <f t="shared" si="35"/>
        <v>0</v>
      </c>
      <c r="T94" s="124"/>
      <c r="U94" s="41" t="s">
        <v>175</v>
      </c>
      <c r="V94" s="70" t="e">
        <f>VLOOKUP(U94,'BASE '!$A$4:$H$144,2,0)</f>
        <v>#N/A</v>
      </c>
      <c r="W94" s="159"/>
      <c r="X94" s="159"/>
      <c r="Y94" s="160"/>
      <c r="Z94" s="158" t="e">
        <f>VLOOKUP(U94,'BASE '!$A$4:$H$144,3,0)</f>
        <v>#N/A</v>
      </c>
      <c r="AA94" s="94" t="e">
        <f t="shared" si="34"/>
        <v>#N/A</v>
      </c>
      <c r="AB94" s="95" t="e">
        <f>VLOOKUP(U94,'BASE '!$A$4:$H$144,6,0)*Y94/100</f>
        <v>#N/A</v>
      </c>
      <c r="AC94" s="95" t="e">
        <f>VLOOKUP(U94,'BASE '!$A$4:$H$144,7,0)*Y94/100</f>
        <v>#N/A</v>
      </c>
      <c r="AD94" s="95" t="e">
        <f>VLOOKUP(U94,'BASE '!$A$4:$H$144,8,0)*Y94/100</f>
        <v>#N/A</v>
      </c>
      <c r="AE94" s="96" t="e">
        <f t="shared" si="36"/>
        <v>#N/A</v>
      </c>
      <c r="DN94" s="116" t="e">
        <f>(($I$5*#REF!)/100)+((#REF!*$J$5)/100)+(($K$5*#REF!)/100)+($L$5*#REF!)+($M$5*#REF!)</f>
        <v>#REF!</v>
      </c>
    </row>
    <row r="95" spans="2:118" x14ac:dyDescent="0.3">
      <c r="B95" s="64"/>
      <c r="C95" s="148"/>
      <c r="D95" s="109"/>
      <c r="E95" s="63"/>
      <c r="F95" s="127"/>
      <c r="G95" s="50"/>
      <c r="H95" s="10"/>
      <c r="I95" s="10"/>
      <c r="J95" s="10"/>
      <c r="K95" s="10"/>
      <c r="L95" s="10"/>
      <c r="M95" s="39"/>
      <c r="N95" s="33">
        <f t="shared" si="31"/>
        <v>0</v>
      </c>
      <c r="O95" s="52" t="b">
        <f>IF(AND(E95="CLIENT S+L",F95="HUILE"),(S95*3333.33+(VLOOKUP(H95,'BASE '!$I$112:$J$142,2,0)))-((S95*3333.33)*G95),IF(AND(E95="CLIENT S+L",F95="LAIT"),((S95*952.4)-(S95*952.4)*G95),IF(E95="CLIENT O","OFFERT",IF(AND(F95="HUILE",E95="CLIENT L"),(((VLOOKUP(H95,'BASE '!$I$112:$J$142,2,0))+(VLOOKUP(S95,'BASE '!#REF!,2,0)))),IF(AND(F95="LAIT",E95="CLIENT L"),(S95*952.4),IF(AND(F95="HUILE",E95="CLIENT D"),(S95*3809.53+(VLOOKUP(H95,'BASE '!$I$112:$J$142,2,0))),IF(AND(F95="LAIT",E95="CLIENT D"),(S95*952.4),IF(AND(F95="HUILE",E95="CLIENT S+D"),((S95*3809.53+(VLOOKUP(H95,'BASE '!$I$112:$J$142,2,0)))-((S95*3809.53)*G95)),IF(AND(F95="LAIT",E95="CLIENT S+D"),((S95*952.4)-((S95*952.4)*G95)),IF(AND(E95="CLIENT S",F95="LAIT"),((S95*952.4)-((S95*952.4)*G95)),IF(AND(F95="HUILE",E95="CLIENT S"),(VLOOKUP(H95,'BASE '!$I$112:$J$142,2,0)+(VLOOKUP(S95,'BASE '!#REF!,2,0)))-(G95*((VLOOKUP(S95,'BASE '!#REF!,2,0)+(VLOOKUP(H95,'BASE '!$I$112:$J$142,2,0))))))))))))))))</f>
        <v>0</v>
      </c>
      <c r="P95" s="52" t="b">
        <f t="shared" si="32"/>
        <v>0</v>
      </c>
      <c r="Q95" s="53" t="b">
        <f t="shared" si="33"/>
        <v>0</v>
      </c>
      <c r="R95" s="152" t="s">
        <v>175</v>
      </c>
      <c r="S95" s="184">
        <f t="shared" si="35"/>
        <v>0</v>
      </c>
      <c r="T95" s="124"/>
      <c r="U95" s="41" t="s">
        <v>175</v>
      </c>
      <c r="V95" s="70" t="e">
        <f>VLOOKUP(U95,'BASE '!$A$4:$H$144,2,0)</f>
        <v>#N/A</v>
      </c>
      <c r="W95" s="159"/>
      <c r="X95" s="159"/>
      <c r="Y95" s="160"/>
      <c r="Z95" s="158" t="e">
        <f>VLOOKUP(U95,'BASE '!$A$4:$H$144,3,0)</f>
        <v>#N/A</v>
      </c>
      <c r="AA95" s="94" t="e">
        <f t="shared" si="34"/>
        <v>#N/A</v>
      </c>
      <c r="AB95" s="95" t="e">
        <f>VLOOKUP(U95,'BASE '!$A$4:$H$144,6,0)*Y95/100</f>
        <v>#N/A</v>
      </c>
      <c r="AC95" s="95" t="e">
        <f>VLOOKUP(U95,'BASE '!$A$4:$H$144,7,0)*Y95/100</f>
        <v>#N/A</v>
      </c>
      <c r="AD95" s="95" t="e">
        <f>VLOOKUP(U95,'BASE '!$A$4:$H$144,8,0)*Y95/100</f>
        <v>#N/A</v>
      </c>
      <c r="AE95" s="96" t="e">
        <f t="shared" si="36"/>
        <v>#N/A</v>
      </c>
      <c r="DN95" s="116" t="e">
        <f>(($I$5*#REF!)/100)+((#REF!*$J$5)/100)+(($K$5*#REF!)/100)+($L$5*#REF!)+($M$5*#REF!)</f>
        <v>#REF!</v>
      </c>
    </row>
    <row r="96" spans="2:118" x14ac:dyDescent="0.3">
      <c r="B96" s="64"/>
      <c r="C96" s="148"/>
      <c r="D96" s="109"/>
      <c r="E96" s="63"/>
      <c r="F96" s="127"/>
      <c r="G96" s="50"/>
      <c r="H96" s="10"/>
      <c r="I96" s="10"/>
      <c r="J96" s="10"/>
      <c r="K96" s="10"/>
      <c r="L96" s="10"/>
      <c r="M96" s="39"/>
      <c r="N96" s="33">
        <f t="shared" si="31"/>
        <v>0</v>
      </c>
      <c r="O96" s="52" t="b">
        <f>IF(AND(E96="CLIENT S+L",F96="HUILE"),(S96*3333.33+(VLOOKUP(H96,'BASE '!$I$112:$J$142,2,0)))-((S96*3333.33)*G96),IF(AND(E96="CLIENT S+L",F96="LAIT"),((S96*952.4)-(S96*952.4)*G96),IF(E96="CLIENT O","OFFERT",IF(AND(F96="HUILE",E96="CLIENT L"),(((VLOOKUP(H96,'BASE '!$I$112:$J$142,2,0))+(VLOOKUP(S96,'BASE '!#REF!,2,0)))),IF(AND(F96="LAIT",E96="CLIENT L"),(S96*952.4),IF(AND(F96="HUILE",E96="CLIENT D"),(S96*3809.53+(VLOOKUP(H96,'BASE '!$I$112:$J$142,2,0))),IF(AND(F96="LAIT",E96="CLIENT D"),(S96*952.4),IF(AND(F96="HUILE",E96="CLIENT S+D"),((S96*3809.53+(VLOOKUP(H96,'BASE '!$I$112:$J$142,2,0)))-((S96*3809.53)*G96)),IF(AND(F96="LAIT",E96="CLIENT S+D"),((S96*952.4)-((S96*952.4)*G96)),IF(AND(E96="CLIENT S",F96="LAIT"),((S96*952.4)-((S96*952.4)*G96)),IF(AND(F96="HUILE",E96="CLIENT S"),(VLOOKUP(H96,'BASE '!$I$112:$J$142,2,0)+(VLOOKUP(S96,'BASE '!#REF!,2,0)))-(G96*((VLOOKUP(S96,'BASE '!#REF!,2,0)+(VLOOKUP(H96,'BASE '!$I$112:$J$142,2,0))))))))))))))))</f>
        <v>0</v>
      </c>
      <c r="P96" s="52" t="b">
        <f t="shared" si="32"/>
        <v>0</v>
      </c>
      <c r="Q96" s="53" t="b">
        <f t="shared" si="33"/>
        <v>0</v>
      </c>
      <c r="R96" s="152" t="s">
        <v>175</v>
      </c>
      <c r="S96" s="184">
        <f t="shared" si="35"/>
        <v>0</v>
      </c>
      <c r="T96" s="124"/>
      <c r="U96" s="41" t="s">
        <v>175</v>
      </c>
      <c r="V96" s="70" t="e">
        <f>VLOOKUP(U96,'BASE '!$A$4:$H$144,2,0)</f>
        <v>#N/A</v>
      </c>
      <c r="W96" s="159"/>
      <c r="X96" s="159"/>
      <c r="Y96" s="160"/>
      <c r="Z96" s="158" t="e">
        <f>VLOOKUP(U96,'BASE '!$A$4:$H$144,3,0)</f>
        <v>#N/A</v>
      </c>
      <c r="AA96" s="94" t="e">
        <f t="shared" si="34"/>
        <v>#N/A</v>
      </c>
      <c r="AB96" s="95" t="e">
        <f>VLOOKUP(U96,'BASE '!$A$4:$H$144,6,0)*Y96/100</f>
        <v>#N/A</v>
      </c>
      <c r="AC96" s="95" t="e">
        <f>VLOOKUP(U96,'BASE '!$A$4:$H$144,7,0)*Y96/100</f>
        <v>#N/A</v>
      </c>
      <c r="AD96" s="95" t="e">
        <f>VLOOKUP(U96,'BASE '!$A$4:$H$144,8,0)*Y96/100</f>
        <v>#N/A</v>
      </c>
      <c r="AE96" s="96" t="e">
        <f t="shared" si="36"/>
        <v>#N/A</v>
      </c>
      <c r="DN96" s="116" t="e">
        <f>(($I$5*#REF!)/100)+((#REF!*$J$5)/100)+(($K$5*#REF!)/100)+($L$5*#REF!)+($M$5*#REF!)</f>
        <v>#REF!</v>
      </c>
    </row>
    <row r="97" spans="2:118" x14ac:dyDescent="0.3">
      <c r="B97" s="64"/>
      <c r="C97" s="148"/>
      <c r="D97" s="109"/>
      <c r="E97" s="63"/>
      <c r="F97" s="127"/>
      <c r="G97" s="50"/>
      <c r="H97" s="10"/>
      <c r="I97" s="10"/>
      <c r="J97" s="10"/>
      <c r="K97" s="10"/>
      <c r="L97" s="10"/>
      <c r="M97" s="39"/>
      <c r="N97" s="33">
        <f t="shared" si="31"/>
        <v>0</v>
      </c>
      <c r="O97" s="52" t="b">
        <f>IF(AND(E97="CLIENT S+L",F97="HUILE"),(S97*3333.33+(VLOOKUP(H97,'BASE '!$I$112:$J$142,2,0)))-((S97*3333.33)*G97),IF(AND(E97="CLIENT S+L",F97="LAIT"),((S97*952.4)-(S97*952.4)*G97),IF(E97="CLIENT O","OFFERT",IF(AND(F97="HUILE",E97="CLIENT L"),(((VLOOKUP(H97,'BASE '!$I$112:$J$142,2,0))+(VLOOKUP(S97,'BASE '!#REF!,2,0)))),IF(AND(F97="LAIT",E97="CLIENT L"),(S97*952.4),IF(AND(F97="HUILE",E97="CLIENT D"),(S97*3809.53+(VLOOKUP(H97,'BASE '!$I$112:$J$142,2,0))),IF(AND(F97="LAIT",E97="CLIENT D"),(S97*952.4),IF(AND(F97="HUILE",E97="CLIENT S+D"),((S97*3809.53+(VLOOKUP(H97,'BASE '!$I$112:$J$142,2,0)))-((S97*3809.53)*G97)),IF(AND(F97="LAIT",E97="CLIENT S+D"),((S97*952.4)-((S97*952.4)*G97)),IF(AND(E97="CLIENT S",F97="LAIT"),((S97*952.4)-((S97*952.4)*G97)),IF(AND(F97="HUILE",E97="CLIENT S"),(VLOOKUP(H97,'BASE '!$I$112:$J$142,2,0)+(VLOOKUP(S97,'BASE '!#REF!,2,0)))-(G97*((VLOOKUP(S97,'BASE '!#REF!,2,0)+(VLOOKUP(H97,'BASE '!$I$112:$J$142,2,0))))))))))))))))</f>
        <v>0</v>
      </c>
      <c r="P97" s="52" t="b">
        <f t="shared" si="32"/>
        <v>0</v>
      </c>
      <c r="Q97" s="53" t="b">
        <f t="shared" si="33"/>
        <v>0</v>
      </c>
      <c r="R97" s="152" t="s">
        <v>175</v>
      </c>
      <c r="S97" s="184">
        <f t="shared" si="35"/>
        <v>0</v>
      </c>
      <c r="T97" s="124"/>
      <c r="U97" s="41" t="s">
        <v>175</v>
      </c>
      <c r="V97" s="70" t="e">
        <f>VLOOKUP(U97,'BASE '!$A$4:$H$144,2,0)</f>
        <v>#N/A</v>
      </c>
      <c r="W97" s="159"/>
      <c r="X97" s="159"/>
      <c r="Y97" s="160"/>
      <c r="Z97" s="158" t="e">
        <f>VLOOKUP(U97,'BASE '!$A$4:$H$144,3,0)</f>
        <v>#N/A</v>
      </c>
      <c r="AA97" s="94" t="e">
        <f t="shared" si="34"/>
        <v>#N/A</v>
      </c>
      <c r="AB97" s="95" t="e">
        <f>VLOOKUP(U97,'BASE '!$A$4:$H$144,6,0)*Y97/100</f>
        <v>#N/A</v>
      </c>
      <c r="AC97" s="95" t="e">
        <f>VLOOKUP(U97,'BASE '!$A$4:$H$144,7,0)*Y97/100</f>
        <v>#N/A</v>
      </c>
      <c r="AD97" s="95" t="e">
        <f>VLOOKUP(U97,'BASE '!$A$4:$H$144,8,0)*Y97/100</f>
        <v>#N/A</v>
      </c>
      <c r="AE97" s="96" t="e">
        <f t="shared" si="36"/>
        <v>#N/A</v>
      </c>
      <c r="DN97" s="116" t="e">
        <f>(($I$5*#REF!)/100)+((#REF!*$J$5)/100)+(($K$5*#REF!)/100)+($L$5*#REF!)+($M$5*#REF!)</f>
        <v>#REF!</v>
      </c>
    </row>
    <row r="98" spans="2:118" x14ac:dyDescent="0.3">
      <c r="B98" s="64"/>
      <c r="C98" s="148"/>
      <c r="D98" s="109"/>
      <c r="E98" s="63"/>
      <c r="F98" s="127"/>
      <c r="G98" s="50"/>
      <c r="H98" s="10"/>
      <c r="I98" s="10"/>
      <c r="J98" s="10"/>
      <c r="K98" s="10"/>
      <c r="L98" s="10"/>
      <c r="M98" s="39"/>
      <c r="N98" s="33">
        <f t="shared" si="31"/>
        <v>0</v>
      </c>
      <c r="O98" s="52" t="b">
        <f>IF(AND(E98="CLIENT S+L",F98="HUILE"),(S98*3333.33+(VLOOKUP(H98,'BASE '!$I$112:$J$142,2,0)))-((S98*3333.33)*G98),IF(AND(E98="CLIENT S+L",F98="LAIT"),((S98*952.4)-(S98*952.4)*G98),IF(E98="CLIENT O","OFFERT",IF(AND(F98="HUILE",E98="CLIENT L"),(((VLOOKUP(H98,'BASE '!$I$112:$J$142,2,0))+(VLOOKUP(S98,'BASE '!#REF!,2,0)))),IF(AND(F98="LAIT",E98="CLIENT L"),(S98*952.4),IF(AND(F98="HUILE",E98="CLIENT D"),(S98*3809.53+(VLOOKUP(H98,'BASE '!$I$112:$J$142,2,0))),IF(AND(F98="LAIT",E98="CLIENT D"),(S98*952.4),IF(AND(F98="HUILE",E98="CLIENT S+D"),((S98*3809.53+(VLOOKUP(H98,'BASE '!$I$112:$J$142,2,0)))-((S98*3809.53)*G98)),IF(AND(F98="LAIT",E98="CLIENT S+D"),((S98*952.4)-((S98*952.4)*G98)),IF(AND(E98="CLIENT S",F98="LAIT"),((S98*952.4)-((S98*952.4)*G98)),IF(AND(F98="HUILE",E98="CLIENT S"),(VLOOKUP(H98,'BASE '!$I$112:$J$142,2,0)+(VLOOKUP(S98,'BASE '!#REF!,2,0)))-(G98*((VLOOKUP(S98,'BASE '!#REF!,2,0)+(VLOOKUP(H98,'BASE '!$I$112:$J$142,2,0))))))))))))))))</f>
        <v>0</v>
      </c>
      <c r="P98" s="52" t="b">
        <f t="shared" si="32"/>
        <v>0</v>
      </c>
      <c r="Q98" s="53" t="b">
        <f t="shared" si="33"/>
        <v>0</v>
      </c>
      <c r="R98" s="152" t="s">
        <v>175</v>
      </c>
      <c r="S98" s="184">
        <f t="shared" si="35"/>
        <v>0</v>
      </c>
      <c r="T98" s="124"/>
      <c r="U98" s="41" t="s">
        <v>175</v>
      </c>
      <c r="V98" s="70" t="e">
        <f>VLOOKUP(U98,'BASE '!$A$4:$H$144,2,0)</f>
        <v>#N/A</v>
      </c>
      <c r="W98" s="159"/>
      <c r="X98" s="159"/>
      <c r="Y98" s="160"/>
      <c r="Z98" s="158" t="e">
        <f>VLOOKUP(U98,'BASE '!$A$4:$H$144,3,0)</f>
        <v>#N/A</v>
      </c>
      <c r="AA98" s="94" t="e">
        <f t="shared" si="34"/>
        <v>#N/A</v>
      </c>
      <c r="AB98" s="95" t="e">
        <f>VLOOKUP(U98,'BASE '!$A$4:$H$144,6,0)*Y98/100</f>
        <v>#N/A</v>
      </c>
      <c r="AC98" s="95" t="e">
        <f>VLOOKUP(U98,'BASE '!$A$4:$H$144,7,0)*Y98/100</f>
        <v>#N/A</v>
      </c>
      <c r="AD98" s="95" t="e">
        <f>VLOOKUP(U98,'BASE '!$A$4:$H$144,8,0)*Y98/100</f>
        <v>#N/A</v>
      </c>
      <c r="AE98" s="96" t="e">
        <f t="shared" si="36"/>
        <v>#N/A</v>
      </c>
      <c r="DN98" s="116" t="e">
        <f>(($I$5*#REF!)/100)+((#REF!*$J$5)/100)+(($K$5*#REF!)/100)+($L$5*#REF!)+($M$5*#REF!)</f>
        <v>#REF!</v>
      </c>
    </row>
    <row r="99" spans="2:118" x14ac:dyDescent="0.3">
      <c r="B99" s="64"/>
      <c r="C99" s="148"/>
      <c r="D99" s="109"/>
      <c r="E99" s="63"/>
      <c r="F99" s="127"/>
      <c r="G99" s="50"/>
      <c r="H99" s="10"/>
      <c r="I99" s="10"/>
      <c r="J99" s="10"/>
      <c r="K99" s="10"/>
      <c r="L99" s="10"/>
      <c r="M99" s="39"/>
      <c r="N99" s="33">
        <f t="shared" si="31"/>
        <v>0</v>
      </c>
      <c r="O99" s="52" t="b">
        <f>IF(AND(E99="CLIENT S+L",F99="HUILE"),(S99*3333.33+(VLOOKUP(H99,'BASE '!$I$112:$J$142,2,0)))-((S99*3333.33)*G99),IF(AND(E99="CLIENT S+L",F99="LAIT"),((S99*952.4)-(S99*952.4)*G99),IF(E99="CLIENT O","OFFERT",IF(AND(F99="HUILE",E99="CLIENT L"),(((VLOOKUP(H99,'BASE '!$I$112:$J$142,2,0))+(VLOOKUP(S99,'BASE '!#REF!,2,0)))),IF(AND(F99="LAIT",E99="CLIENT L"),(S99*952.4),IF(AND(F99="HUILE",E99="CLIENT D"),(S99*3809.53+(VLOOKUP(H99,'BASE '!$I$112:$J$142,2,0))),IF(AND(F99="LAIT",E99="CLIENT D"),(S99*952.4),IF(AND(F99="HUILE",E99="CLIENT S+D"),((S99*3809.53+(VLOOKUP(H99,'BASE '!$I$112:$J$142,2,0)))-((S99*3809.53)*G99)),IF(AND(F99="LAIT",E99="CLIENT S+D"),((S99*952.4)-((S99*952.4)*G99)),IF(AND(E99="CLIENT S",F99="LAIT"),((S99*952.4)-((S99*952.4)*G99)),IF(AND(F99="HUILE",E99="CLIENT S"),(VLOOKUP(H99,'BASE '!$I$112:$J$142,2,0)+(VLOOKUP(S99,'BASE '!#REF!,2,0)))-(G99*((VLOOKUP(S99,'BASE '!#REF!,2,0)+(VLOOKUP(H99,'BASE '!$I$112:$J$142,2,0))))))))))))))))</f>
        <v>0</v>
      </c>
      <c r="P99" s="52" t="b">
        <f t="shared" si="32"/>
        <v>0</v>
      </c>
      <c r="Q99" s="53" t="b">
        <f t="shared" si="33"/>
        <v>0</v>
      </c>
      <c r="R99" s="152" t="s">
        <v>175</v>
      </c>
      <c r="S99" s="184">
        <f t="shared" si="35"/>
        <v>0</v>
      </c>
      <c r="T99" s="124"/>
      <c r="U99" s="41" t="s">
        <v>175</v>
      </c>
      <c r="V99" s="70" t="e">
        <f>VLOOKUP(U99,'BASE '!$A$4:$H$144,2,0)</f>
        <v>#N/A</v>
      </c>
      <c r="W99" s="159"/>
      <c r="X99" s="159"/>
      <c r="Y99" s="160"/>
      <c r="Z99" s="158" t="e">
        <f>VLOOKUP(U99,'BASE '!$A$4:$H$144,3,0)</f>
        <v>#N/A</v>
      </c>
      <c r="AA99" s="94" t="e">
        <f t="shared" si="34"/>
        <v>#N/A</v>
      </c>
      <c r="AB99" s="95" t="e">
        <f>VLOOKUP(U99,'BASE '!$A$4:$H$144,6,0)*Y99/100</f>
        <v>#N/A</v>
      </c>
      <c r="AC99" s="95" t="e">
        <f>VLOOKUP(U99,'BASE '!$A$4:$H$144,7,0)*Y99/100</f>
        <v>#N/A</v>
      </c>
      <c r="AD99" s="95" t="e">
        <f>VLOOKUP(U99,'BASE '!$A$4:$H$144,8,0)*Y99/100</f>
        <v>#N/A</v>
      </c>
      <c r="AE99" s="96" t="e">
        <f t="shared" si="36"/>
        <v>#N/A</v>
      </c>
      <c r="DN99" s="116" t="e">
        <f>(($I$5*#REF!)/100)+((#REF!*$J$5)/100)+(($K$5*#REF!)/100)+($L$5*#REF!)+($M$5*#REF!)</f>
        <v>#REF!</v>
      </c>
    </row>
    <row r="100" spans="2:118" x14ac:dyDescent="0.3">
      <c r="B100" s="64"/>
      <c r="C100" s="148"/>
      <c r="D100" s="109"/>
      <c r="E100" s="63"/>
      <c r="F100" s="127"/>
      <c r="G100" s="50"/>
      <c r="H100" s="10"/>
      <c r="I100" s="10"/>
      <c r="J100" s="10"/>
      <c r="K100" s="10"/>
      <c r="L100" s="10"/>
      <c r="M100" s="39"/>
      <c r="N100" s="33">
        <f t="shared" si="31"/>
        <v>0</v>
      </c>
      <c r="O100" s="52" t="b">
        <f>IF(AND(E100="CLIENT S+L",F100="HUILE"),(S100*3333.33+(VLOOKUP(H100,'BASE '!$I$112:$J$142,2,0)))-((S100*3333.33)*G100),IF(AND(E100="CLIENT S+L",F100="LAIT"),((S100*952.4)-(S100*952.4)*G100),IF(E100="CLIENT O","OFFERT",IF(AND(F100="HUILE",E100="CLIENT L"),(((VLOOKUP(H100,'BASE '!$I$112:$J$142,2,0))+(VLOOKUP(S100,'BASE '!#REF!,2,0)))),IF(AND(F100="LAIT",E100="CLIENT L"),(S100*952.4),IF(AND(F100="HUILE",E100="CLIENT D"),(S100*3809.53+(VLOOKUP(H100,'BASE '!$I$112:$J$142,2,0))),IF(AND(F100="LAIT",E100="CLIENT D"),(S100*952.4),IF(AND(F100="HUILE",E100="CLIENT S+D"),((S100*3809.53+(VLOOKUP(H100,'BASE '!$I$112:$J$142,2,0)))-((S100*3809.53)*G100)),IF(AND(F100="LAIT",E100="CLIENT S+D"),((S100*952.4)-((S100*952.4)*G100)),IF(AND(E100="CLIENT S",F100="LAIT"),((S100*952.4)-((S100*952.4)*G100)),IF(AND(F100="HUILE",E100="CLIENT S"),(VLOOKUP(H100,'BASE '!$I$112:$J$142,2,0)+(VLOOKUP(S100,'BASE '!#REF!,2,0)))-(G100*((VLOOKUP(S100,'BASE '!#REF!,2,0)+(VLOOKUP(H100,'BASE '!$I$112:$J$142,2,0))))))))))))))))</f>
        <v>0</v>
      </c>
      <c r="P100" s="52" t="b">
        <f t="shared" si="32"/>
        <v>0</v>
      </c>
      <c r="Q100" s="53" t="b">
        <f t="shared" si="33"/>
        <v>0</v>
      </c>
      <c r="R100" s="152" t="s">
        <v>175</v>
      </c>
      <c r="S100" s="184">
        <f t="shared" si="35"/>
        <v>0</v>
      </c>
      <c r="T100" s="124"/>
      <c r="U100" s="41" t="s">
        <v>175</v>
      </c>
      <c r="V100" s="70" t="e">
        <f>VLOOKUP(U100,'BASE '!$A$4:$H$144,2,0)</f>
        <v>#N/A</v>
      </c>
      <c r="W100" s="159"/>
      <c r="X100" s="159"/>
      <c r="Y100" s="160"/>
      <c r="Z100" s="158" t="e">
        <f>VLOOKUP(U100,'BASE '!$A$4:$H$144,3,0)</f>
        <v>#N/A</v>
      </c>
      <c r="AA100" s="94" t="e">
        <f t="shared" si="34"/>
        <v>#N/A</v>
      </c>
      <c r="AB100" s="95" t="e">
        <f>VLOOKUP(U100,'BASE '!$A$4:$H$144,6,0)*Y100/100</f>
        <v>#N/A</v>
      </c>
      <c r="AC100" s="95" t="e">
        <f>VLOOKUP(U100,'BASE '!$A$4:$H$144,7,0)*Y100/100</f>
        <v>#N/A</v>
      </c>
      <c r="AD100" s="95" t="e">
        <f>VLOOKUP(U100,'BASE '!$A$4:$H$144,8,0)*Y100/100</f>
        <v>#N/A</v>
      </c>
      <c r="AE100" s="96" t="e">
        <f t="shared" si="36"/>
        <v>#N/A</v>
      </c>
      <c r="DN100" s="116" t="e">
        <f>(($I$5*#REF!)/100)+((#REF!*$J$5)/100)+(($K$5*#REF!)/100)+($L$5*#REF!)+($M$5*#REF!)</f>
        <v>#REF!</v>
      </c>
    </row>
    <row r="101" spans="2:118" x14ac:dyDescent="0.3">
      <c r="B101" s="64"/>
      <c r="C101" s="148"/>
      <c r="D101" s="109"/>
      <c r="E101" s="63"/>
      <c r="F101" s="127"/>
      <c r="G101" s="50"/>
      <c r="H101" s="10"/>
      <c r="I101" s="10"/>
      <c r="J101" s="10"/>
      <c r="K101" s="10"/>
      <c r="L101" s="10"/>
      <c r="M101" s="39"/>
      <c r="N101" s="33">
        <f t="shared" si="31"/>
        <v>0</v>
      </c>
      <c r="O101" s="52" t="b">
        <f>IF(AND(E101="CLIENT S+L",F101="HUILE"),(S101*3333.33+(VLOOKUP(H101,'BASE '!$I$112:$J$142,2,0)))-((S101*3333.33)*G101),IF(AND(E101="CLIENT S+L",F101="LAIT"),((S101*952.4)-(S101*952.4)*G101),IF(E101="CLIENT O","OFFERT",IF(AND(F101="HUILE",E101="CLIENT L"),(((VLOOKUP(H101,'BASE '!$I$112:$J$142,2,0))+(VLOOKUP(S101,'BASE '!#REF!,2,0)))),IF(AND(F101="LAIT",E101="CLIENT L"),(S101*952.4),IF(AND(F101="HUILE",E101="CLIENT D"),(S101*3809.53+(VLOOKUP(H101,'BASE '!$I$112:$J$142,2,0))),IF(AND(F101="LAIT",E101="CLIENT D"),(S101*952.4),IF(AND(F101="HUILE",E101="CLIENT S+D"),((S101*3809.53+(VLOOKUP(H101,'BASE '!$I$112:$J$142,2,0)))-((S101*3809.53)*G101)),IF(AND(F101="LAIT",E101="CLIENT S+D"),((S101*952.4)-((S101*952.4)*G101)),IF(AND(E101="CLIENT S",F101="LAIT"),((S101*952.4)-((S101*952.4)*G101)),IF(AND(F101="HUILE",E101="CLIENT S"),(VLOOKUP(H101,'BASE '!$I$112:$J$142,2,0)+(VLOOKUP(S101,'BASE '!#REF!,2,0)))-(G101*((VLOOKUP(S101,'BASE '!#REF!,2,0)+(VLOOKUP(H101,'BASE '!$I$112:$J$142,2,0))))))))))))))))</f>
        <v>0</v>
      </c>
      <c r="P101" s="52" t="b">
        <f t="shared" si="32"/>
        <v>0</v>
      </c>
      <c r="Q101" s="53" t="b">
        <f t="shared" si="33"/>
        <v>0</v>
      </c>
      <c r="R101" s="152" t="s">
        <v>175</v>
      </c>
      <c r="S101" s="184">
        <f t="shared" si="35"/>
        <v>0</v>
      </c>
      <c r="T101" s="124"/>
      <c r="U101" s="41" t="s">
        <v>175</v>
      </c>
      <c r="V101" s="70" t="e">
        <f>VLOOKUP(U101,'BASE '!$A$4:$H$144,2,0)</f>
        <v>#N/A</v>
      </c>
      <c r="W101" s="159"/>
      <c r="X101" s="159"/>
      <c r="Y101" s="160"/>
      <c r="Z101" s="158" t="e">
        <f>VLOOKUP(U101,'BASE '!$A$4:$H$144,3,0)</f>
        <v>#N/A</v>
      </c>
      <c r="AA101" s="94" t="e">
        <f t="shared" si="34"/>
        <v>#N/A</v>
      </c>
      <c r="AB101" s="95" t="e">
        <f>VLOOKUP(U101,'BASE '!$A$4:$H$144,6,0)*Y101/100</f>
        <v>#N/A</v>
      </c>
      <c r="AC101" s="95" t="e">
        <f>VLOOKUP(U101,'BASE '!$A$4:$H$144,7,0)*Y101/100</f>
        <v>#N/A</v>
      </c>
      <c r="AD101" s="95" t="e">
        <f>VLOOKUP(U101,'BASE '!$A$4:$H$144,8,0)*Y101/100</f>
        <v>#N/A</v>
      </c>
      <c r="AE101" s="96" t="e">
        <f t="shared" si="36"/>
        <v>#N/A</v>
      </c>
      <c r="DN101" s="116" t="e">
        <f>(($I$5*#REF!)/100)+((#REF!*$J$5)/100)+(($K$5*#REF!)/100)+($L$5*#REF!)+($M$5*#REF!)</f>
        <v>#REF!</v>
      </c>
    </row>
    <row r="102" spans="2:118" x14ac:dyDescent="0.3">
      <c r="B102" s="64"/>
      <c r="C102" s="148"/>
      <c r="D102" s="109"/>
      <c r="E102" s="63"/>
      <c r="F102" s="127"/>
      <c r="G102" s="50"/>
      <c r="H102" s="10"/>
      <c r="I102" s="10"/>
      <c r="J102" s="10"/>
      <c r="K102" s="10"/>
      <c r="L102" s="10"/>
      <c r="M102" s="39"/>
      <c r="N102" s="33">
        <f t="shared" si="31"/>
        <v>0</v>
      </c>
      <c r="O102" s="52" t="b">
        <f>IF(AND(E102="CLIENT S+L",F102="HUILE"),(S102*3333.33+(VLOOKUP(H102,'BASE '!$I$112:$J$142,2,0)))-((S102*3333.33)*G102),IF(AND(E102="CLIENT S+L",F102="LAIT"),((S102*952.4)-(S102*952.4)*G102),IF(E102="CLIENT O","OFFERT",IF(AND(F102="HUILE",E102="CLIENT L"),(((VLOOKUP(H102,'BASE '!$I$112:$J$142,2,0))+(VLOOKUP(S102,'BASE '!#REF!,2,0)))),IF(AND(F102="LAIT",E102="CLIENT L"),(S102*952.4),IF(AND(F102="HUILE",E102="CLIENT D"),(S102*3809.53+(VLOOKUP(H102,'BASE '!$I$112:$J$142,2,0))),IF(AND(F102="LAIT",E102="CLIENT D"),(S102*952.4),IF(AND(F102="HUILE",E102="CLIENT S+D"),((S102*3809.53+(VLOOKUP(H102,'BASE '!$I$112:$J$142,2,0)))-((S102*3809.53)*G102)),IF(AND(F102="LAIT",E102="CLIENT S+D"),((S102*952.4)-((S102*952.4)*G102)),IF(AND(E102="CLIENT S",F102="LAIT"),((S102*952.4)-((S102*952.4)*G102)),IF(AND(F102="HUILE",E102="CLIENT S"),(VLOOKUP(H102,'BASE '!$I$112:$J$142,2,0)+(VLOOKUP(S102,'BASE '!#REF!,2,0)))-(G102*((VLOOKUP(S102,'BASE '!#REF!,2,0)+(VLOOKUP(H102,'BASE '!$I$112:$J$142,2,0))))))))))))))))</f>
        <v>0</v>
      </c>
      <c r="P102" s="52" t="b">
        <f t="shared" si="32"/>
        <v>0</v>
      </c>
      <c r="Q102" s="53" t="b">
        <f t="shared" si="33"/>
        <v>0</v>
      </c>
      <c r="R102" s="152" t="s">
        <v>175</v>
      </c>
      <c r="S102" s="184">
        <f t="shared" si="35"/>
        <v>0</v>
      </c>
      <c r="T102" s="124"/>
      <c r="U102" s="41" t="s">
        <v>175</v>
      </c>
      <c r="V102" s="70" t="e">
        <f>VLOOKUP(U102,'BASE '!$A$4:$H$144,2,0)</f>
        <v>#N/A</v>
      </c>
      <c r="W102" s="159"/>
      <c r="X102" s="159"/>
      <c r="Y102" s="160"/>
      <c r="Z102" s="158" t="e">
        <f>VLOOKUP(U102,'BASE '!$A$4:$H$144,3,0)</f>
        <v>#N/A</v>
      </c>
      <c r="AA102" s="94" t="e">
        <f t="shared" si="34"/>
        <v>#N/A</v>
      </c>
      <c r="AB102" s="95" t="e">
        <f>VLOOKUP(U102,'BASE '!$A$4:$H$144,6,0)*Y102/100</f>
        <v>#N/A</v>
      </c>
      <c r="AC102" s="95" t="e">
        <f>VLOOKUP(U102,'BASE '!$A$4:$H$144,7,0)*Y102/100</f>
        <v>#N/A</v>
      </c>
      <c r="AD102" s="95" t="e">
        <f>VLOOKUP(U102,'BASE '!$A$4:$H$144,8,0)*Y102/100</f>
        <v>#N/A</v>
      </c>
      <c r="AE102" s="96" t="e">
        <f t="shared" si="36"/>
        <v>#N/A</v>
      </c>
      <c r="DN102" s="116" t="e">
        <f>(($I$5*#REF!)/100)+((#REF!*$J$5)/100)+(($K$5*#REF!)/100)+($L$5*#REF!)+($M$5*#REF!)</f>
        <v>#REF!</v>
      </c>
    </row>
    <row r="103" spans="2:118" x14ac:dyDescent="0.3">
      <c r="B103" s="64"/>
      <c r="C103" s="148"/>
      <c r="D103" s="109"/>
      <c r="E103" s="63"/>
      <c r="F103" s="127"/>
      <c r="G103" s="50"/>
      <c r="H103" s="10"/>
      <c r="I103" s="10"/>
      <c r="J103" s="10"/>
      <c r="K103" s="10"/>
      <c r="L103" s="10"/>
      <c r="M103" s="39"/>
      <c r="N103" s="33">
        <f t="shared" si="31"/>
        <v>0</v>
      </c>
      <c r="O103" s="52" t="b">
        <f>IF(AND(E103="CLIENT S+L",F103="HUILE"),(S103*3333.33+(VLOOKUP(H103,'BASE '!$I$112:$J$142,2,0)))-((S103*3333.33)*G103),IF(AND(E103="CLIENT S+L",F103="LAIT"),((S103*952.4)-(S103*952.4)*G103),IF(E103="CLIENT O","OFFERT",IF(AND(F103="HUILE",E103="CLIENT L"),(((VLOOKUP(H103,'BASE '!$I$112:$J$142,2,0))+(VLOOKUP(S103,'BASE '!#REF!,2,0)))),IF(AND(F103="LAIT",E103="CLIENT L"),(S103*952.4),IF(AND(F103="HUILE",E103="CLIENT D"),(S103*3809.53+(VLOOKUP(H103,'BASE '!$I$112:$J$142,2,0))),IF(AND(F103="LAIT",E103="CLIENT D"),(S103*952.4),IF(AND(F103="HUILE",E103="CLIENT S+D"),((S103*3809.53+(VLOOKUP(H103,'BASE '!$I$112:$J$142,2,0)))-((S103*3809.53)*G103)),IF(AND(F103="LAIT",E103="CLIENT S+D"),((S103*952.4)-((S103*952.4)*G103)),IF(AND(E103="CLIENT S",F103="LAIT"),((S103*952.4)-((S103*952.4)*G103)),IF(AND(F103="HUILE",E103="CLIENT S"),(VLOOKUP(H103,'BASE '!$I$112:$J$142,2,0)+(VLOOKUP(S103,'BASE '!#REF!,2,0)))-(G103*((VLOOKUP(S103,'BASE '!#REF!,2,0)+(VLOOKUP(H103,'BASE '!$I$112:$J$142,2,0))))))))))))))))</f>
        <v>0</v>
      </c>
      <c r="P103" s="52" t="b">
        <f t="shared" si="32"/>
        <v>0</v>
      </c>
      <c r="Q103" s="53" t="b">
        <f t="shared" si="33"/>
        <v>0</v>
      </c>
      <c r="R103" s="152" t="s">
        <v>175</v>
      </c>
      <c r="S103" s="184">
        <f t="shared" si="35"/>
        <v>0</v>
      </c>
      <c r="T103" s="124"/>
      <c r="U103" s="41" t="s">
        <v>175</v>
      </c>
      <c r="V103" s="70" t="e">
        <f>VLOOKUP(U103,'BASE '!$A$4:$H$144,2,0)</f>
        <v>#N/A</v>
      </c>
      <c r="W103" s="159"/>
      <c r="X103" s="159"/>
      <c r="Y103" s="160"/>
      <c r="Z103" s="158" t="e">
        <f>VLOOKUP(U103,'BASE '!$A$4:$H$144,3,0)</f>
        <v>#N/A</v>
      </c>
      <c r="AA103" s="94" t="e">
        <f t="shared" si="34"/>
        <v>#N/A</v>
      </c>
      <c r="AB103" s="95" t="e">
        <f>VLOOKUP(U103,'BASE '!$A$4:$H$144,6,0)*Y103/100</f>
        <v>#N/A</v>
      </c>
      <c r="AC103" s="95" t="e">
        <f>VLOOKUP(U103,'BASE '!$A$4:$H$144,7,0)*Y103/100</f>
        <v>#N/A</v>
      </c>
      <c r="AD103" s="95" t="e">
        <f>VLOOKUP(U103,'BASE '!$A$4:$H$144,8,0)*Y103/100</f>
        <v>#N/A</v>
      </c>
      <c r="AE103" s="96" t="e">
        <f t="shared" si="36"/>
        <v>#N/A</v>
      </c>
      <c r="DN103" s="116" t="e">
        <f>(($I$5*#REF!)/100)+((#REF!*$J$5)/100)+(($K$5*#REF!)/100)+($L$5*#REF!)+($M$5*#REF!)</f>
        <v>#REF!</v>
      </c>
    </row>
    <row r="104" spans="2:118" x14ac:dyDescent="0.3">
      <c r="B104" s="64"/>
      <c r="C104" s="148"/>
      <c r="D104" s="109"/>
      <c r="E104" s="63"/>
      <c r="F104" s="127"/>
      <c r="G104" s="50"/>
      <c r="H104" s="10"/>
      <c r="I104" s="10"/>
      <c r="J104" s="10"/>
      <c r="K104" s="10"/>
      <c r="L104" s="10"/>
      <c r="M104" s="39"/>
      <c r="N104" s="33">
        <f t="shared" si="31"/>
        <v>0</v>
      </c>
      <c r="O104" s="52" t="b">
        <f>IF(AND(E104="CLIENT S+L",F104="HUILE"),(S104*3333.33+(VLOOKUP(H104,'BASE '!$I$112:$J$142,2,0)))-((S104*3333.33)*G104),IF(AND(E104="CLIENT S+L",F104="LAIT"),((S104*952.4)-(S104*952.4)*G104),IF(E104="CLIENT O","OFFERT",IF(AND(F104="HUILE",E104="CLIENT L"),(((VLOOKUP(H104,'BASE '!$I$112:$J$142,2,0))+(VLOOKUP(S104,'BASE '!#REF!,2,0)))),IF(AND(F104="LAIT",E104="CLIENT L"),(S104*952.4),IF(AND(F104="HUILE",E104="CLIENT D"),(S104*3809.53+(VLOOKUP(H104,'BASE '!$I$112:$J$142,2,0))),IF(AND(F104="LAIT",E104="CLIENT D"),(S104*952.4),IF(AND(F104="HUILE",E104="CLIENT S+D"),((S104*3809.53+(VLOOKUP(H104,'BASE '!$I$112:$J$142,2,0)))-((S104*3809.53)*G104)),IF(AND(F104="LAIT",E104="CLIENT S+D"),((S104*952.4)-((S104*952.4)*G104)),IF(AND(E104="CLIENT S",F104="LAIT"),((S104*952.4)-((S104*952.4)*G104)),IF(AND(F104="HUILE",E104="CLIENT S"),(VLOOKUP(H104,'BASE '!$I$112:$J$142,2,0)+(VLOOKUP(S104,'BASE '!#REF!,2,0)))-(G104*((VLOOKUP(S104,'BASE '!#REF!,2,0)+(VLOOKUP(H104,'BASE '!$I$112:$J$142,2,0))))))))))))))))</f>
        <v>0</v>
      </c>
      <c r="P104" s="52" t="b">
        <f t="shared" si="32"/>
        <v>0</v>
      </c>
      <c r="Q104" s="53" t="b">
        <f t="shared" si="33"/>
        <v>0</v>
      </c>
      <c r="R104" s="152" t="s">
        <v>175</v>
      </c>
      <c r="S104" s="184">
        <f t="shared" si="35"/>
        <v>0</v>
      </c>
      <c r="T104" s="124"/>
      <c r="U104" s="41" t="s">
        <v>175</v>
      </c>
      <c r="V104" s="70" t="e">
        <f>VLOOKUP(U104,'BASE '!$A$4:$H$144,2,0)</f>
        <v>#N/A</v>
      </c>
      <c r="W104" s="159"/>
      <c r="X104" s="159"/>
      <c r="Y104" s="160"/>
      <c r="Z104" s="158" t="e">
        <f>VLOOKUP(U104,'BASE '!$A$4:$H$144,3,0)</f>
        <v>#N/A</v>
      </c>
      <c r="AA104" s="94" t="e">
        <f t="shared" si="34"/>
        <v>#N/A</v>
      </c>
      <c r="AB104" s="95" t="e">
        <f>VLOOKUP(U104,'BASE '!$A$4:$H$144,6,0)*Y104/100</f>
        <v>#N/A</v>
      </c>
      <c r="AC104" s="95" t="e">
        <f>VLOOKUP(U104,'BASE '!$A$4:$H$144,7,0)*Y104/100</f>
        <v>#N/A</v>
      </c>
      <c r="AD104" s="95" t="e">
        <f>VLOOKUP(U104,'BASE '!$A$4:$H$144,8,0)*Y104/100</f>
        <v>#N/A</v>
      </c>
      <c r="AE104" s="96" t="e">
        <f t="shared" si="36"/>
        <v>#N/A</v>
      </c>
      <c r="DN104" s="116" t="e">
        <f>(($I$5*#REF!)/100)+((#REF!*$J$5)/100)+(($K$5*#REF!)/100)+($L$5*#REF!)+($M$5*#REF!)</f>
        <v>#REF!</v>
      </c>
    </row>
    <row r="105" spans="2:118" x14ac:dyDescent="0.3">
      <c r="B105" s="64"/>
      <c r="C105" s="148"/>
      <c r="D105" s="109"/>
      <c r="E105" s="63"/>
      <c r="F105" s="127"/>
      <c r="G105" s="50"/>
      <c r="H105" s="10"/>
      <c r="I105" s="10"/>
      <c r="J105" s="10"/>
      <c r="K105" s="10"/>
      <c r="L105" s="10"/>
      <c r="M105" s="39"/>
      <c r="N105" s="33">
        <f t="shared" si="31"/>
        <v>0</v>
      </c>
      <c r="O105" s="52" t="b">
        <f>IF(AND(E105="CLIENT S+L",F105="HUILE"),(S105*3333.33+(VLOOKUP(H105,'BASE '!$I$112:$J$142,2,0)))-((S105*3333.33)*G105),IF(AND(E105="CLIENT S+L",F105="LAIT"),((S105*952.4)-(S105*952.4)*G105),IF(E105="CLIENT O","OFFERT",IF(AND(F105="HUILE",E105="CLIENT L"),(((VLOOKUP(H105,'BASE '!$I$112:$J$142,2,0))+(VLOOKUP(S105,'BASE '!#REF!,2,0)))),IF(AND(F105="LAIT",E105="CLIENT L"),(S105*952.4),IF(AND(F105="HUILE",E105="CLIENT D"),(S105*3809.53+(VLOOKUP(H105,'BASE '!$I$112:$J$142,2,0))),IF(AND(F105="LAIT",E105="CLIENT D"),(S105*952.4),IF(AND(F105="HUILE",E105="CLIENT S+D"),((S105*3809.53+(VLOOKUP(H105,'BASE '!$I$112:$J$142,2,0)))-((S105*3809.53)*G105)),IF(AND(F105="LAIT",E105="CLIENT S+D"),((S105*952.4)-((S105*952.4)*G105)),IF(AND(E105="CLIENT S",F105="LAIT"),((S105*952.4)-((S105*952.4)*G105)),IF(AND(F105="HUILE",E105="CLIENT S"),(VLOOKUP(H105,'BASE '!$I$112:$J$142,2,0)+(VLOOKUP(S105,'BASE '!#REF!,2,0)))-(G105*((VLOOKUP(S105,'BASE '!#REF!,2,0)+(VLOOKUP(H105,'BASE '!$I$112:$J$142,2,0))))))))))))))))</f>
        <v>0</v>
      </c>
      <c r="P105" s="52" t="b">
        <f t="shared" si="32"/>
        <v>0</v>
      </c>
      <c r="Q105" s="53" t="b">
        <f t="shared" si="33"/>
        <v>0</v>
      </c>
      <c r="R105" s="152" t="s">
        <v>175</v>
      </c>
      <c r="S105" s="184">
        <f t="shared" si="35"/>
        <v>0</v>
      </c>
      <c r="T105" s="124"/>
      <c r="U105" s="41" t="s">
        <v>175</v>
      </c>
      <c r="V105" s="70" t="e">
        <f>VLOOKUP(U105,'BASE '!$A$4:$H$144,2,0)</f>
        <v>#N/A</v>
      </c>
      <c r="W105" s="159"/>
      <c r="X105" s="159"/>
      <c r="Y105" s="160"/>
      <c r="Z105" s="158" t="e">
        <f>VLOOKUP(U105,'BASE '!$A$4:$H$144,3,0)</f>
        <v>#N/A</v>
      </c>
      <c r="AA105" s="94" t="e">
        <f t="shared" si="34"/>
        <v>#N/A</v>
      </c>
      <c r="AB105" s="95" t="e">
        <f>VLOOKUP(U105,'BASE '!$A$4:$H$144,6,0)*Y105/100</f>
        <v>#N/A</v>
      </c>
      <c r="AC105" s="95" t="e">
        <f>VLOOKUP(U105,'BASE '!$A$4:$H$144,7,0)*Y105/100</f>
        <v>#N/A</v>
      </c>
      <c r="AD105" s="95" t="e">
        <f>VLOOKUP(U105,'BASE '!$A$4:$H$144,8,0)*Y105/100</f>
        <v>#N/A</v>
      </c>
      <c r="AE105" s="96" t="e">
        <f t="shared" si="36"/>
        <v>#N/A</v>
      </c>
      <c r="DN105" s="116" t="e">
        <f>(($I$5*#REF!)/100)+((#REF!*$J$5)/100)+(($K$5*#REF!)/100)+($L$5*#REF!)+($M$5*#REF!)</f>
        <v>#REF!</v>
      </c>
    </row>
    <row r="106" spans="2:118" x14ac:dyDescent="0.3">
      <c r="B106" s="64"/>
      <c r="C106" s="148"/>
      <c r="D106" s="109"/>
      <c r="E106" s="63"/>
      <c r="F106" s="127"/>
      <c r="G106" s="50"/>
      <c r="H106" s="10"/>
      <c r="I106" s="10"/>
      <c r="J106" s="10"/>
      <c r="K106" s="10"/>
      <c r="L106" s="10"/>
      <c r="M106" s="39"/>
      <c r="N106" s="33">
        <f t="shared" si="31"/>
        <v>0</v>
      </c>
      <c r="O106" s="52" t="b">
        <f>IF(AND(E106="CLIENT S+L",F106="HUILE"),(S106*3333.33+(VLOOKUP(H106,'BASE '!$I$112:$J$142,2,0)))-((S106*3333.33)*G106),IF(AND(E106="CLIENT S+L",F106="LAIT"),((S106*952.4)-(S106*952.4)*G106),IF(E106="CLIENT O","OFFERT",IF(AND(F106="HUILE",E106="CLIENT L"),(((VLOOKUP(H106,'BASE '!$I$112:$J$142,2,0))+(VLOOKUP(S106,'BASE '!#REF!,2,0)))),IF(AND(F106="LAIT",E106="CLIENT L"),(S106*952.4),IF(AND(F106="HUILE",E106="CLIENT D"),(S106*3809.53+(VLOOKUP(H106,'BASE '!$I$112:$J$142,2,0))),IF(AND(F106="LAIT",E106="CLIENT D"),(S106*952.4),IF(AND(F106="HUILE",E106="CLIENT S+D"),((S106*3809.53+(VLOOKUP(H106,'BASE '!$I$112:$J$142,2,0)))-((S106*3809.53)*G106)),IF(AND(F106="LAIT",E106="CLIENT S+D"),((S106*952.4)-((S106*952.4)*G106)),IF(AND(E106="CLIENT S",F106="LAIT"),((S106*952.4)-((S106*952.4)*G106)),IF(AND(F106="HUILE",E106="CLIENT S"),(VLOOKUP(H106,'BASE '!$I$112:$J$142,2,0)+(VLOOKUP(S106,'BASE '!#REF!,2,0)))-(G106*((VLOOKUP(S106,'BASE '!#REF!,2,0)+(VLOOKUP(H106,'BASE '!$I$112:$J$142,2,0))))))))))))))))</f>
        <v>0</v>
      </c>
      <c r="P106" s="52" t="b">
        <f t="shared" si="32"/>
        <v>0</v>
      </c>
      <c r="Q106" s="53" t="b">
        <f t="shared" si="33"/>
        <v>0</v>
      </c>
      <c r="R106" s="152" t="s">
        <v>175</v>
      </c>
      <c r="S106" s="184">
        <f t="shared" si="35"/>
        <v>0</v>
      </c>
      <c r="T106" s="124"/>
      <c r="U106" s="41" t="s">
        <v>175</v>
      </c>
      <c r="V106" s="70" t="e">
        <f>VLOOKUP(U106,'BASE '!$A$4:$H$144,2,0)</f>
        <v>#N/A</v>
      </c>
      <c r="W106" s="159"/>
      <c r="X106" s="159"/>
      <c r="Y106" s="160"/>
      <c r="Z106" s="158" t="e">
        <f>VLOOKUP(U106,'BASE '!$A$4:$H$144,3,0)</f>
        <v>#N/A</v>
      </c>
      <c r="AA106" s="94" t="e">
        <f t="shared" si="34"/>
        <v>#N/A</v>
      </c>
      <c r="AB106" s="95" t="e">
        <f>VLOOKUP(U106,'BASE '!$A$4:$H$144,6,0)*Y106/100</f>
        <v>#N/A</v>
      </c>
      <c r="AC106" s="95" t="e">
        <f>VLOOKUP(U106,'BASE '!$A$4:$H$144,7,0)*Y106/100</f>
        <v>#N/A</v>
      </c>
      <c r="AD106" s="95" t="e">
        <f>VLOOKUP(U106,'BASE '!$A$4:$H$144,8,0)*Y106/100</f>
        <v>#N/A</v>
      </c>
      <c r="AE106" s="96" t="e">
        <f t="shared" si="36"/>
        <v>#N/A</v>
      </c>
      <c r="DN106" s="116" t="e">
        <f>(($I$5*#REF!)/100)+((#REF!*$J$5)/100)+(($K$5*#REF!)/100)+($L$5*#REF!)+($M$5*#REF!)</f>
        <v>#REF!</v>
      </c>
    </row>
    <row r="107" spans="2:118" x14ac:dyDescent="0.3">
      <c r="B107" s="64"/>
      <c r="C107" s="148"/>
      <c r="D107" s="109"/>
      <c r="E107" s="63"/>
      <c r="F107" s="127"/>
      <c r="G107" s="50"/>
      <c r="H107" s="10"/>
      <c r="I107" s="10"/>
      <c r="J107" s="10"/>
      <c r="K107" s="10"/>
      <c r="L107" s="10"/>
      <c r="M107" s="39"/>
      <c r="N107" s="33">
        <f t="shared" si="31"/>
        <v>0</v>
      </c>
      <c r="O107" s="52" t="b">
        <f>IF(AND(E107="CLIENT S+L",F107="HUILE"),(S107*3333.33+(VLOOKUP(H107,'BASE '!$I$112:$J$142,2,0)))-((S107*3333.33)*G107),IF(AND(E107="CLIENT S+L",F107="LAIT"),((S107*952.4)-(S107*952.4)*G107),IF(E107="CLIENT O","OFFERT",IF(AND(F107="HUILE",E107="CLIENT L"),(((VLOOKUP(H107,'BASE '!$I$112:$J$142,2,0))+(VLOOKUP(S107,'BASE '!#REF!,2,0)))),IF(AND(F107="LAIT",E107="CLIENT L"),(S107*952.4),IF(AND(F107="HUILE",E107="CLIENT D"),(S107*3809.53+(VLOOKUP(H107,'BASE '!$I$112:$J$142,2,0))),IF(AND(F107="LAIT",E107="CLIENT D"),(S107*952.4),IF(AND(F107="HUILE",E107="CLIENT S+D"),((S107*3809.53+(VLOOKUP(H107,'BASE '!$I$112:$J$142,2,0)))-((S107*3809.53)*G107)),IF(AND(F107="LAIT",E107="CLIENT S+D"),((S107*952.4)-((S107*952.4)*G107)),IF(AND(E107="CLIENT S",F107="LAIT"),((S107*952.4)-((S107*952.4)*G107)),IF(AND(F107="HUILE",E107="CLIENT S"),(VLOOKUP(H107,'BASE '!$I$112:$J$142,2,0)+(VLOOKUP(S107,'BASE '!#REF!,2,0)))-(G107*((VLOOKUP(S107,'BASE '!#REF!,2,0)+(VLOOKUP(H107,'BASE '!$I$112:$J$142,2,0))))))))))))))))</f>
        <v>0</v>
      </c>
      <c r="P107" s="52" t="b">
        <f t="shared" si="32"/>
        <v>0</v>
      </c>
      <c r="Q107" s="53" t="b">
        <f t="shared" si="33"/>
        <v>0</v>
      </c>
      <c r="R107" s="152" t="s">
        <v>175</v>
      </c>
      <c r="S107" s="184">
        <f t="shared" si="35"/>
        <v>0</v>
      </c>
      <c r="T107" s="124"/>
      <c r="U107" s="41" t="s">
        <v>175</v>
      </c>
      <c r="V107" s="70" t="e">
        <f>VLOOKUP(U107,'BASE '!$A$4:$H$144,2,0)</f>
        <v>#N/A</v>
      </c>
      <c r="W107" s="159"/>
      <c r="X107" s="159"/>
      <c r="Y107" s="160"/>
      <c r="Z107" s="158" t="e">
        <f>VLOOKUP(U107,'BASE '!$A$4:$H$144,3,0)</f>
        <v>#N/A</v>
      </c>
      <c r="AA107" s="94" t="e">
        <f t="shared" si="34"/>
        <v>#N/A</v>
      </c>
      <c r="AB107" s="95" t="e">
        <f>VLOOKUP(U107,'BASE '!$A$4:$H$144,6,0)*Y107/100</f>
        <v>#N/A</v>
      </c>
      <c r="AC107" s="95" t="e">
        <f>VLOOKUP(U107,'BASE '!$A$4:$H$144,7,0)*Y107/100</f>
        <v>#N/A</v>
      </c>
      <c r="AD107" s="95" t="e">
        <f>VLOOKUP(U107,'BASE '!$A$4:$H$144,8,0)*Y107/100</f>
        <v>#N/A</v>
      </c>
      <c r="AE107" s="96" t="e">
        <f t="shared" si="36"/>
        <v>#N/A</v>
      </c>
      <c r="DN107" s="116" t="e">
        <f>(($I$5*#REF!)/100)+((#REF!*$J$5)/100)+(($K$5*#REF!)/100)+($L$5*#REF!)+($M$5*#REF!)</f>
        <v>#REF!</v>
      </c>
    </row>
    <row r="108" spans="2:118" x14ac:dyDescent="0.3">
      <c r="B108" s="64"/>
      <c r="C108" s="148"/>
      <c r="D108" s="109"/>
      <c r="E108" s="63"/>
      <c r="F108" s="127"/>
      <c r="G108" s="50"/>
      <c r="H108" s="10"/>
      <c r="I108" s="10"/>
      <c r="J108" s="10"/>
      <c r="K108" s="10"/>
      <c r="L108" s="10"/>
      <c r="M108" s="39"/>
      <c r="N108" s="33">
        <f t="shared" si="31"/>
        <v>0</v>
      </c>
      <c r="O108" s="52" t="b">
        <f>IF(AND(E108="CLIENT S+L",F108="HUILE"),(S108*3333.33+(VLOOKUP(H108,'BASE '!$I$112:$J$142,2,0)))-((S108*3333.33)*G108),IF(AND(E108="CLIENT S+L",F108="LAIT"),((S108*952.4)-(S108*952.4)*G108),IF(E108="CLIENT O","OFFERT",IF(AND(F108="HUILE",E108="CLIENT L"),(((VLOOKUP(H108,'BASE '!$I$112:$J$142,2,0))+(VLOOKUP(S108,'BASE '!#REF!,2,0)))),IF(AND(F108="LAIT",E108="CLIENT L"),(S108*952.4),IF(AND(F108="HUILE",E108="CLIENT D"),(S108*3809.53+(VLOOKUP(H108,'BASE '!$I$112:$J$142,2,0))),IF(AND(F108="LAIT",E108="CLIENT D"),(S108*952.4),IF(AND(F108="HUILE",E108="CLIENT S+D"),((S108*3809.53+(VLOOKUP(H108,'BASE '!$I$112:$J$142,2,0)))-((S108*3809.53)*G108)),IF(AND(F108="LAIT",E108="CLIENT S+D"),((S108*952.4)-((S108*952.4)*G108)),IF(AND(E108="CLIENT S",F108="LAIT"),((S108*952.4)-((S108*952.4)*G108)),IF(AND(F108="HUILE",E108="CLIENT S"),(VLOOKUP(H108,'BASE '!$I$112:$J$142,2,0)+(VLOOKUP(S108,'BASE '!#REF!,2,0)))-(G108*((VLOOKUP(S108,'BASE '!#REF!,2,0)+(VLOOKUP(H108,'BASE '!$I$112:$J$142,2,0))))))))))))))))</f>
        <v>0</v>
      </c>
      <c r="P108" s="52" t="b">
        <f t="shared" si="32"/>
        <v>0</v>
      </c>
      <c r="Q108" s="53" t="b">
        <f t="shared" si="33"/>
        <v>0</v>
      </c>
      <c r="R108" s="152" t="s">
        <v>175</v>
      </c>
      <c r="S108" s="184">
        <f t="shared" si="35"/>
        <v>0</v>
      </c>
      <c r="T108" s="124"/>
      <c r="U108" s="41" t="s">
        <v>175</v>
      </c>
      <c r="V108" s="70" t="e">
        <f>VLOOKUP(U108,'BASE '!$A$4:$H$144,2,0)</f>
        <v>#N/A</v>
      </c>
      <c r="W108" s="159"/>
      <c r="X108" s="159"/>
      <c r="Y108" s="160"/>
      <c r="Z108" s="158" t="e">
        <f>VLOOKUP(U108,'BASE '!$A$4:$H$144,3,0)</f>
        <v>#N/A</v>
      </c>
      <c r="AA108" s="94" t="e">
        <f t="shared" si="34"/>
        <v>#N/A</v>
      </c>
      <c r="AB108" s="95" t="e">
        <f>VLOOKUP(U108,'BASE '!$A$4:$H$144,6,0)*Y108/100</f>
        <v>#N/A</v>
      </c>
      <c r="AC108" s="95" t="e">
        <f>VLOOKUP(U108,'BASE '!$A$4:$H$144,7,0)*Y108/100</f>
        <v>#N/A</v>
      </c>
      <c r="AD108" s="95" t="e">
        <f>VLOOKUP(U108,'BASE '!$A$4:$H$144,8,0)*Y108/100</f>
        <v>#N/A</v>
      </c>
      <c r="AE108" s="96" t="e">
        <f t="shared" si="36"/>
        <v>#N/A</v>
      </c>
      <c r="DN108" s="116" t="e">
        <f>(($I$5*#REF!)/100)+((#REF!*$J$5)/100)+(($K$5*#REF!)/100)+($L$5*#REF!)+($M$5*#REF!)</f>
        <v>#REF!</v>
      </c>
    </row>
    <row r="109" spans="2:118" x14ac:dyDescent="0.3">
      <c r="B109" s="64"/>
      <c r="C109" s="148"/>
      <c r="D109" s="109"/>
      <c r="E109" s="63"/>
      <c r="F109" s="127"/>
      <c r="G109" s="50"/>
      <c r="H109" s="10"/>
      <c r="I109" s="10"/>
      <c r="J109" s="10"/>
      <c r="K109" s="10"/>
      <c r="L109" s="10"/>
      <c r="M109" s="39"/>
      <c r="N109" s="33">
        <f t="shared" si="31"/>
        <v>0</v>
      </c>
      <c r="O109" s="52" t="b">
        <f>IF(AND(E109="CLIENT S+L",F109="HUILE"),(S109*3333.33+(VLOOKUP(H109,'BASE '!$I$112:$J$142,2,0)))-((S109*3333.33)*G109),IF(AND(E109="CLIENT S+L",F109="LAIT"),((S109*952.4)-(S109*952.4)*G109),IF(E109="CLIENT O","OFFERT",IF(AND(F109="HUILE",E109="CLIENT L"),(((VLOOKUP(H109,'BASE '!$I$112:$J$142,2,0))+(VLOOKUP(S109,'BASE '!#REF!,2,0)))),IF(AND(F109="LAIT",E109="CLIENT L"),(S109*952.4),IF(AND(F109="HUILE",E109="CLIENT D"),(S109*3809.53+(VLOOKUP(H109,'BASE '!$I$112:$J$142,2,0))),IF(AND(F109="LAIT",E109="CLIENT D"),(S109*952.4),IF(AND(F109="HUILE",E109="CLIENT S+D"),((S109*3809.53+(VLOOKUP(H109,'BASE '!$I$112:$J$142,2,0)))-((S109*3809.53)*G109)),IF(AND(F109="LAIT",E109="CLIENT S+D"),((S109*952.4)-((S109*952.4)*G109)),IF(AND(E109="CLIENT S",F109="LAIT"),((S109*952.4)-((S109*952.4)*G109)),IF(AND(F109="HUILE",E109="CLIENT S"),(VLOOKUP(H109,'BASE '!$I$112:$J$142,2,0)+(VLOOKUP(S109,'BASE '!#REF!,2,0)))-(G109*((VLOOKUP(S109,'BASE '!#REF!,2,0)+(VLOOKUP(H109,'BASE '!$I$112:$J$142,2,0))))))))))))))))</f>
        <v>0</v>
      </c>
      <c r="P109" s="52" t="b">
        <f t="shared" si="32"/>
        <v>0</v>
      </c>
      <c r="Q109" s="53" t="b">
        <f t="shared" si="33"/>
        <v>0</v>
      </c>
      <c r="R109" s="152" t="s">
        <v>175</v>
      </c>
      <c r="S109" s="184">
        <f t="shared" si="35"/>
        <v>0</v>
      </c>
      <c r="T109" s="124"/>
      <c r="U109" s="41" t="s">
        <v>175</v>
      </c>
      <c r="V109" s="70" t="e">
        <f>VLOOKUP(U109,'BASE '!$A$4:$H$144,2,0)</f>
        <v>#N/A</v>
      </c>
      <c r="W109" s="159"/>
      <c r="X109" s="159"/>
      <c r="Y109" s="160"/>
      <c r="Z109" s="158" t="e">
        <f>VLOOKUP(U109,'BASE '!$A$4:$H$144,3,0)</f>
        <v>#N/A</v>
      </c>
      <c r="AA109" s="94" t="e">
        <f t="shared" si="34"/>
        <v>#N/A</v>
      </c>
      <c r="AB109" s="95" t="e">
        <f>VLOOKUP(U109,'BASE '!$A$4:$H$144,6,0)*Y109/100</f>
        <v>#N/A</v>
      </c>
      <c r="AC109" s="95" t="e">
        <f>VLOOKUP(U109,'BASE '!$A$4:$H$144,7,0)*Y109/100</f>
        <v>#N/A</v>
      </c>
      <c r="AD109" s="95" t="e">
        <f>VLOOKUP(U109,'BASE '!$A$4:$H$144,8,0)*Y109/100</f>
        <v>#N/A</v>
      </c>
      <c r="AE109" s="96" t="e">
        <f t="shared" si="36"/>
        <v>#N/A</v>
      </c>
      <c r="DN109" s="116" t="e">
        <f>(($I$5*#REF!)/100)+((#REF!*$J$5)/100)+(($K$5*#REF!)/100)+($L$5*#REF!)+($M$5*#REF!)</f>
        <v>#REF!</v>
      </c>
    </row>
    <row r="110" spans="2:118" x14ac:dyDescent="0.3">
      <c r="B110" s="64"/>
      <c r="C110" s="148"/>
      <c r="D110" s="109"/>
      <c r="E110" s="63"/>
      <c r="F110" s="127"/>
      <c r="G110" s="50"/>
      <c r="H110" s="10"/>
      <c r="I110" s="10"/>
      <c r="J110" s="10"/>
      <c r="K110" s="10"/>
      <c r="L110" s="10"/>
      <c r="M110" s="39"/>
      <c r="N110" s="33">
        <f t="shared" si="31"/>
        <v>0</v>
      </c>
      <c r="O110" s="52" t="b">
        <f>IF(AND(E110="CLIENT S+L",F110="HUILE"),(S110*3333.33+(VLOOKUP(H110,'BASE '!$I$112:$J$142,2,0)))-((S110*3333.33)*G110),IF(AND(E110="CLIENT S+L",F110="LAIT"),((S110*952.4)-(S110*952.4)*G110),IF(E110="CLIENT O","OFFERT",IF(AND(F110="HUILE",E110="CLIENT L"),(((VLOOKUP(H110,'BASE '!$I$112:$J$142,2,0))+(VLOOKUP(S110,'BASE '!#REF!,2,0)))),IF(AND(F110="LAIT",E110="CLIENT L"),(S110*952.4),IF(AND(F110="HUILE",E110="CLIENT D"),(S110*3809.53+(VLOOKUP(H110,'BASE '!$I$112:$J$142,2,0))),IF(AND(F110="LAIT",E110="CLIENT D"),(S110*952.4),IF(AND(F110="HUILE",E110="CLIENT S+D"),((S110*3809.53+(VLOOKUP(H110,'BASE '!$I$112:$J$142,2,0)))-((S110*3809.53)*G110)),IF(AND(F110="LAIT",E110="CLIENT S+D"),((S110*952.4)-((S110*952.4)*G110)),IF(AND(E110="CLIENT S",F110="LAIT"),((S110*952.4)-((S110*952.4)*G110)),IF(AND(F110="HUILE",E110="CLIENT S"),(VLOOKUP(H110,'BASE '!$I$112:$J$142,2,0)+(VLOOKUP(S110,'BASE '!#REF!,2,0)))-(G110*((VLOOKUP(S110,'BASE '!#REF!,2,0)+(VLOOKUP(H110,'BASE '!$I$112:$J$142,2,0))))))))))))))))</f>
        <v>0</v>
      </c>
      <c r="P110" s="52" t="b">
        <f t="shared" si="32"/>
        <v>0</v>
      </c>
      <c r="Q110" s="53" t="b">
        <f t="shared" si="33"/>
        <v>0</v>
      </c>
      <c r="R110" s="152" t="s">
        <v>175</v>
      </c>
      <c r="S110" s="184">
        <f t="shared" si="35"/>
        <v>0</v>
      </c>
      <c r="T110" s="124"/>
      <c r="U110" s="41" t="s">
        <v>175</v>
      </c>
      <c r="V110" s="70" t="e">
        <f>VLOOKUP(U110,'BASE '!$A$4:$H$144,2,0)</f>
        <v>#N/A</v>
      </c>
      <c r="W110" s="159"/>
      <c r="X110" s="159"/>
      <c r="Y110" s="160"/>
      <c r="Z110" s="158" t="e">
        <f>VLOOKUP(U110,'BASE '!$A$4:$H$144,3,0)</f>
        <v>#N/A</v>
      </c>
      <c r="AA110" s="94" t="e">
        <f t="shared" si="34"/>
        <v>#N/A</v>
      </c>
      <c r="AB110" s="95" t="e">
        <f>VLOOKUP(U110,'BASE '!$A$4:$H$144,6,0)*Y110/100</f>
        <v>#N/A</v>
      </c>
      <c r="AC110" s="95" t="e">
        <f>VLOOKUP(U110,'BASE '!$A$4:$H$144,7,0)*Y110/100</f>
        <v>#N/A</v>
      </c>
      <c r="AD110" s="95" t="e">
        <f>VLOOKUP(U110,'BASE '!$A$4:$H$144,8,0)*Y110/100</f>
        <v>#N/A</v>
      </c>
      <c r="AE110" s="96" t="e">
        <f t="shared" si="36"/>
        <v>#N/A</v>
      </c>
      <c r="DN110" s="116" t="e">
        <f>(($I$5*#REF!)/100)+((#REF!*$J$5)/100)+(($K$5*#REF!)/100)+($L$5*#REF!)+($M$5*#REF!)</f>
        <v>#REF!</v>
      </c>
    </row>
    <row r="111" spans="2:118" x14ac:dyDescent="0.3">
      <c r="B111" s="64"/>
      <c r="C111" s="148"/>
      <c r="D111" s="109"/>
      <c r="E111" s="63"/>
      <c r="F111" s="127"/>
      <c r="G111" s="50"/>
      <c r="H111" s="10"/>
      <c r="I111" s="10"/>
      <c r="J111" s="10"/>
      <c r="K111" s="10"/>
      <c r="L111" s="10"/>
      <c r="M111" s="39"/>
      <c r="N111" s="33">
        <f t="shared" si="31"/>
        <v>0</v>
      </c>
      <c r="O111" s="52" t="b">
        <f>IF(AND(E111="CLIENT S+L",F111="HUILE"),(S111*3333.33+(VLOOKUP(H111,'BASE '!$I$112:$J$142,2,0)))-((S111*3333.33)*G111),IF(AND(E111="CLIENT S+L",F111="LAIT"),((S111*952.4)-(S111*952.4)*G111),IF(E111="CLIENT O","OFFERT",IF(AND(F111="HUILE",E111="CLIENT L"),(((VLOOKUP(H111,'BASE '!$I$112:$J$142,2,0))+(VLOOKUP(S111,'BASE '!#REF!,2,0)))),IF(AND(F111="LAIT",E111="CLIENT L"),(S111*952.4),IF(AND(F111="HUILE",E111="CLIENT D"),(S111*3809.53+(VLOOKUP(H111,'BASE '!$I$112:$J$142,2,0))),IF(AND(F111="LAIT",E111="CLIENT D"),(S111*952.4),IF(AND(F111="HUILE",E111="CLIENT S+D"),((S111*3809.53+(VLOOKUP(H111,'BASE '!$I$112:$J$142,2,0)))-((S111*3809.53)*G111)),IF(AND(F111="LAIT",E111="CLIENT S+D"),((S111*952.4)-((S111*952.4)*G111)),IF(AND(E111="CLIENT S",F111="LAIT"),((S111*952.4)-((S111*952.4)*G111)),IF(AND(F111="HUILE",E111="CLIENT S"),(VLOOKUP(H111,'BASE '!$I$112:$J$142,2,0)+(VLOOKUP(S111,'BASE '!#REF!,2,0)))-(G111*((VLOOKUP(S111,'BASE '!#REF!,2,0)+(VLOOKUP(H111,'BASE '!$I$112:$J$142,2,0))))))))))))))))</f>
        <v>0</v>
      </c>
      <c r="P111" s="52" t="b">
        <f t="shared" si="32"/>
        <v>0</v>
      </c>
      <c r="Q111" s="53" t="b">
        <f t="shared" si="33"/>
        <v>0</v>
      </c>
      <c r="R111" s="152" t="s">
        <v>175</v>
      </c>
      <c r="S111" s="184">
        <f t="shared" si="35"/>
        <v>0</v>
      </c>
      <c r="T111" s="124"/>
      <c r="U111" s="41" t="s">
        <v>175</v>
      </c>
      <c r="V111" s="70" t="e">
        <f>VLOOKUP(U111,'BASE '!$A$4:$H$144,2,0)</f>
        <v>#N/A</v>
      </c>
      <c r="W111" s="159"/>
      <c r="X111" s="159"/>
      <c r="Y111" s="160"/>
      <c r="Z111" s="158" t="e">
        <f>VLOOKUP(U111,'BASE '!$A$4:$H$144,3,0)</f>
        <v>#N/A</v>
      </c>
      <c r="AA111" s="94" t="e">
        <f t="shared" si="34"/>
        <v>#N/A</v>
      </c>
      <c r="AB111" s="95" t="e">
        <f>VLOOKUP(U111,'BASE '!$A$4:$H$144,6,0)*Y111/100</f>
        <v>#N/A</v>
      </c>
      <c r="AC111" s="95" t="e">
        <f>VLOOKUP(U111,'BASE '!$A$4:$H$144,7,0)*Y111/100</f>
        <v>#N/A</v>
      </c>
      <c r="AD111" s="95" t="e">
        <f>VLOOKUP(U111,'BASE '!$A$4:$H$144,8,0)*Y111/100</f>
        <v>#N/A</v>
      </c>
      <c r="AE111" s="96" t="e">
        <f t="shared" si="36"/>
        <v>#N/A</v>
      </c>
      <c r="DN111" s="116" t="e">
        <f>(($I$5*#REF!)/100)+((#REF!*$J$5)/100)+(($K$5*#REF!)/100)+($L$5*#REF!)+($M$5*#REF!)</f>
        <v>#REF!</v>
      </c>
    </row>
    <row r="112" spans="2:118" x14ac:dyDescent="0.3">
      <c r="B112" s="64"/>
      <c r="C112" s="148"/>
      <c r="D112" s="109"/>
      <c r="E112" s="63"/>
      <c r="F112" s="127"/>
      <c r="G112" s="50"/>
      <c r="H112" s="10"/>
      <c r="I112" s="10"/>
      <c r="J112" s="10"/>
      <c r="K112" s="10"/>
      <c r="L112" s="10"/>
      <c r="M112" s="39"/>
      <c r="N112" s="33">
        <f t="shared" si="31"/>
        <v>0</v>
      </c>
      <c r="O112" s="52" t="b">
        <f>IF(AND(E112="CLIENT S+L",F112="HUILE"),(S112*3333.33+(VLOOKUP(H112,'BASE '!$I$112:$J$142,2,0)))-((S112*3333.33)*G112),IF(AND(E112="CLIENT S+L",F112="LAIT"),((S112*952.4)-(S112*952.4)*G112),IF(E112="CLIENT O","OFFERT",IF(AND(F112="HUILE",E112="CLIENT L"),(((VLOOKUP(H112,'BASE '!$I$112:$J$142,2,0))+(VLOOKUP(S112,'BASE '!#REF!,2,0)))),IF(AND(F112="LAIT",E112="CLIENT L"),(S112*952.4),IF(AND(F112="HUILE",E112="CLIENT D"),(S112*3809.53+(VLOOKUP(H112,'BASE '!$I$112:$J$142,2,0))),IF(AND(F112="LAIT",E112="CLIENT D"),(S112*952.4),IF(AND(F112="HUILE",E112="CLIENT S+D"),((S112*3809.53+(VLOOKUP(H112,'BASE '!$I$112:$J$142,2,0)))-((S112*3809.53)*G112)),IF(AND(F112="LAIT",E112="CLIENT S+D"),((S112*952.4)-((S112*952.4)*G112)),IF(AND(E112="CLIENT S",F112="LAIT"),((S112*952.4)-((S112*952.4)*G112)),IF(AND(F112="HUILE",E112="CLIENT S"),(VLOOKUP(H112,'BASE '!$I$112:$J$142,2,0)+(VLOOKUP(S112,'BASE '!#REF!,2,0)))-(G112*((VLOOKUP(S112,'BASE '!#REF!,2,0)+(VLOOKUP(H112,'BASE '!$I$112:$J$142,2,0))))))))))))))))</f>
        <v>0</v>
      </c>
      <c r="P112" s="52" t="b">
        <f t="shared" si="32"/>
        <v>0</v>
      </c>
      <c r="Q112" s="53" t="b">
        <f t="shared" si="33"/>
        <v>0</v>
      </c>
      <c r="R112" s="152" t="s">
        <v>175</v>
      </c>
      <c r="S112" s="184">
        <f t="shared" si="35"/>
        <v>0</v>
      </c>
      <c r="T112" s="124"/>
      <c r="U112" s="41" t="s">
        <v>175</v>
      </c>
      <c r="V112" s="70" t="e">
        <f>VLOOKUP(U112,'BASE '!$A$4:$H$144,2,0)</f>
        <v>#N/A</v>
      </c>
      <c r="W112" s="159"/>
      <c r="X112" s="159"/>
      <c r="Y112" s="160"/>
      <c r="Z112" s="158" t="e">
        <f>VLOOKUP(U112,'BASE '!$A$4:$H$144,3,0)</f>
        <v>#N/A</v>
      </c>
      <c r="AA112" s="94" t="e">
        <f t="shared" si="34"/>
        <v>#N/A</v>
      </c>
      <c r="AB112" s="95" t="e">
        <f>VLOOKUP(U112,'BASE '!$A$4:$H$144,6,0)*Y112/100</f>
        <v>#N/A</v>
      </c>
      <c r="AC112" s="95" t="e">
        <f>VLOOKUP(U112,'BASE '!$A$4:$H$144,7,0)*Y112/100</f>
        <v>#N/A</v>
      </c>
      <c r="AD112" s="95" t="e">
        <f>VLOOKUP(U112,'BASE '!$A$4:$H$144,8,0)*Y112/100</f>
        <v>#N/A</v>
      </c>
      <c r="AE112" s="96" t="e">
        <f t="shared" si="36"/>
        <v>#N/A</v>
      </c>
      <c r="DN112" s="116" t="e">
        <f>(($I$5*#REF!)/100)+((#REF!*$J$5)/100)+(($K$5*#REF!)/100)+($L$5*#REF!)+($M$5*#REF!)</f>
        <v>#REF!</v>
      </c>
    </row>
    <row r="113" spans="2:118" x14ac:dyDescent="0.3">
      <c r="B113" s="64"/>
      <c r="C113" s="148"/>
      <c r="D113" s="109"/>
      <c r="E113" s="63"/>
      <c r="F113" s="127"/>
      <c r="G113" s="50"/>
      <c r="H113" s="10"/>
      <c r="I113" s="10"/>
      <c r="J113" s="10"/>
      <c r="K113" s="10"/>
      <c r="L113" s="10"/>
      <c r="M113" s="39"/>
      <c r="N113" s="33">
        <f t="shared" si="31"/>
        <v>0</v>
      </c>
      <c r="O113" s="52" t="b">
        <f>IF(AND(E113="CLIENT S+L",F113="HUILE"),(S113*3333.33+(VLOOKUP(H113,'BASE '!$I$112:$J$142,2,0)))-((S113*3333.33)*G113),IF(AND(E113="CLIENT S+L",F113="LAIT"),((S113*952.4)-(S113*952.4)*G113),IF(E113="CLIENT O","OFFERT",IF(AND(F113="HUILE",E113="CLIENT L"),(((VLOOKUP(H113,'BASE '!$I$112:$J$142,2,0))+(VLOOKUP(S113,'BASE '!#REF!,2,0)))),IF(AND(F113="LAIT",E113="CLIENT L"),(S113*952.4),IF(AND(F113="HUILE",E113="CLIENT D"),(S113*3809.53+(VLOOKUP(H113,'BASE '!$I$112:$J$142,2,0))),IF(AND(F113="LAIT",E113="CLIENT D"),(S113*952.4),IF(AND(F113="HUILE",E113="CLIENT S+D"),((S113*3809.53+(VLOOKUP(H113,'BASE '!$I$112:$J$142,2,0)))-((S113*3809.53)*G113)),IF(AND(F113="LAIT",E113="CLIENT S+D"),((S113*952.4)-((S113*952.4)*G113)),IF(AND(E113="CLIENT S",F113="LAIT"),((S113*952.4)-((S113*952.4)*G113)),IF(AND(F113="HUILE",E113="CLIENT S"),(VLOOKUP(H113,'BASE '!$I$112:$J$142,2,0)+(VLOOKUP(S113,'BASE '!#REF!,2,0)))-(G113*((VLOOKUP(S113,'BASE '!#REF!,2,0)+(VLOOKUP(H113,'BASE '!$I$112:$J$142,2,0))))))))))))))))</f>
        <v>0</v>
      </c>
      <c r="P113" s="52" t="b">
        <f t="shared" si="32"/>
        <v>0</v>
      </c>
      <c r="Q113" s="53" t="b">
        <f t="shared" si="33"/>
        <v>0</v>
      </c>
      <c r="R113" s="152" t="s">
        <v>175</v>
      </c>
      <c r="S113" s="184">
        <f t="shared" si="35"/>
        <v>0</v>
      </c>
      <c r="T113" s="124"/>
      <c r="U113" s="41" t="s">
        <v>175</v>
      </c>
      <c r="V113" s="70" t="e">
        <f>VLOOKUP(U113,'BASE '!$A$4:$H$144,2,0)</f>
        <v>#N/A</v>
      </c>
      <c r="W113" s="159"/>
      <c r="X113" s="159"/>
      <c r="Y113" s="160"/>
      <c r="Z113" s="158" t="e">
        <f>VLOOKUP(U113,'BASE '!$A$4:$H$144,3,0)</f>
        <v>#N/A</v>
      </c>
      <c r="AA113" s="94" t="e">
        <f t="shared" si="34"/>
        <v>#N/A</v>
      </c>
      <c r="AB113" s="95" t="e">
        <f>VLOOKUP(U113,'BASE '!$A$4:$H$144,6,0)*Y113/100</f>
        <v>#N/A</v>
      </c>
      <c r="AC113" s="95" t="e">
        <f>VLOOKUP(U113,'BASE '!$A$4:$H$144,7,0)*Y113/100</f>
        <v>#N/A</v>
      </c>
      <c r="AD113" s="95" t="e">
        <f>VLOOKUP(U113,'BASE '!$A$4:$H$144,8,0)*Y113/100</f>
        <v>#N/A</v>
      </c>
      <c r="AE113" s="96" t="e">
        <f t="shared" si="36"/>
        <v>#N/A</v>
      </c>
      <c r="DN113" s="116" t="e">
        <f>(($I$5*#REF!)/100)+((#REF!*$J$5)/100)+(($K$5*#REF!)/100)+($L$5*#REF!)+($M$5*#REF!)</f>
        <v>#REF!</v>
      </c>
    </row>
    <row r="114" spans="2:118" x14ac:dyDescent="0.3">
      <c r="B114" s="64"/>
      <c r="C114" s="148"/>
      <c r="D114" s="109"/>
      <c r="E114" s="63"/>
      <c r="F114" s="127"/>
      <c r="G114" s="50"/>
      <c r="H114" s="10"/>
      <c r="I114" s="10"/>
      <c r="J114" s="10"/>
      <c r="K114" s="10"/>
      <c r="L114" s="10"/>
      <c r="M114" s="39"/>
      <c r="N114" s="33">
        <f t="shared" si="31"/>
        <v>0</v>
      </c>
      <c r="O114" s="52" t="b">
        <f>IF(AND(E114="CLIENT S+L",F114="HUILE"),(S114*3333.33+(VLOOKUP(H114,'BASE '!$I$112:$J$142,2,0)))-((S114*3333.33)*G114),IF(AND(E114="CLIENT S+L",F114="LAIT"),((S114*952.4)-(S114*952.4)*G114),IF(E114="CLIENT O","OFFERT",IF(AND(F114="HUILE",E114="CLIENT L"),(((VLOOKUP(H114,'BASE '!$I$112:$J$142,2,0))+(VLOOKUP(S114,'BASE '!#REF!,2,0)))),IF(AND(F114="LAIT",E114="CLIENT L"),(S114*952.4),IF(AND(F114="HUILE",E114="CLIENT D"),(S114*3809.53+(VLOOKUP(H114,'BASE '!$I$112:$J$142,2,0))),IF(AND(F114="LAIT",E114="CLIENT D"),(S114*952.4),IF(AND(F114="HUILE",E114="CLIENT S+D"),((S114*3809.53+(VLOOKUP(H114,'BASE '!$I$112:$J$142,2,0)))-((S114*3809.53)*G114)),IF(AND(F114="LAIT",E114="CLIENT S+D"),((S114*952.4)-((S114*952.4)*G114)),IF(AND(E114="CLIENT S",F114="LAIT"),((S114*952.4)-((S114*952.4)*G114)),IF(AND(F114="HUILE",E114="CLIENT S"),(VLOOKUP(H114,'BASE '!$I$112:$J$142,2,0)+(VLOOKUP(S114,'BASE '!#REF!,2,0)))-(G114*((VLOOKUP(S114,'BASE '!#REF!,2,0)+(VLOOKUP(H114,'BASE '!$I$112:$J$142,2,0))))))))))))))))</f>
        <v>0</v>
      </c>
      <c r="P114" s="52" t="b">
        <f t="shared" si="32"/>
        <v>0</v>
      </c>
      <c r="Q114" s="53" t="b">
        <f t="shared" si="33"/>
        <v>0</v>
      </c>
      <c r="R114" s="152" t="s">
        <v>175</v>
      </c>
      <c r="S114" s="184">
        <f t="shared" si="35"/>
        <v>0</v>
      </c>
      <c r="T114" s="124"/>
      <c r="U114" s="41" t="s">
        <v>175</v>
      </c>
      <c r="V114" s="70" t="e">
        <f>VLOOKUP(U114,'BASE '!$A$4:$H$144,2,0)</f>
        <v>#N/A</v>
      </c>
      <c r="W114" s="159"/>
      <c r="X114" s="159"/>
      <c r="Y114" s="160"/>
      <c r="Z114" s="158" t="e">
        <f>VLOOKUP(U114,'BASE '!$A$4:$H$144,3,0)</f>
        <v>#N/A</v>
      </c>
      <c r="AA114" s="94" t="e">
        <f t="shared" si="34"/>
        <v>#N/A</v>
      </c>
      <c r="AB114" s="95" t="e">
        <f>VLOOKUP(U114,'BASE '!$A$4:$H$144,6,0)*Y114/100</f>
        <v>#N/A</v>
      </c>
      <c r="AC114" s="95" t="e">
        <f>VLOOKUP(U114,'BASE '!$A$4:$H$144,7,0)*Y114/100</f>
        <v>#N/A</v>
      </c>
      <c r="AD114" s="95" t="e">
        <f>VLOOKUP(U114,'BASE '!$A$4:$H$144,8,0)*Y114/100</f>
        <v>#N/A</v>
      </c>
      <c r="AE114" s="96" t="e">
        <f t="shared" si="36"/>
        <v>#N/A</v>
      </c>
      <c r="DN114" s="116" t="e">
        <f>(($I$5*#REF!)/100)+((#REF!*$J$5)/100)+(($K$5*#REF!)/100)+($L$5*#REF!)+($M$5*#REF!)</f>
        <v>#REF!</v>
      </c>
    </row>
    <row r="115" spans="2:118" x14ac:dyDescent="0.3">
      <c r="B115" s="64"/>
      <c r="C115" s="148"/>
      <c r="D115" s="109"/>
      <c r="E115" s="63"/>
      <c r="F115" s="127"/>
      <c r="G115" s="50"/>
      <c r="H115" s="10"/>
      <c r="I115" s="10"/>
      <c r="J115" s="10"/>
      <c r="K115" s="10"/>
      <c r="L115" s="10"/>
      <c r="M115" s="39"/>
      <c r="N115" s="33">
        <f t="shared" si="31"/>
        <v>0</v>
      </c>
      <c r="O115" s="52" t="b">
        <f>IF(AND(E115="CLIENT S+L",F115="HUILE"),(S115*3333.33+(VLOOKUP(H115,'BASE '!$I$112:$J$142,2,0)))-((S115*3333.33)*G115),IF(AND(E115="CLIENT S+L",F115="LAIT"),((S115*952.4)-(S115*952.4)*G115),IF(E115="CLIENT O","OFFERT",IF(AND(F115="HUILE",E115="CLIENT L"),(((VLOOKUP(H115,'BASE '!$I$112:$J$142,2,0))+(VLOOKUP(S115,'BASE '!#REF!,2,0)))),IF(AND(F115="LAIT",E115="CLIENT L"),(S115*952.4),IF(AND(F115="HUILE",E115="CLIENT D"),(S115*3809.53+(VLOOKUP(H115,'BASE '!$I$112:$J$142,2,0))),IF(AND(F115="LAIT",E115="CLIENT D"),(S115*952.4),IF(AND(F115="HUILE",E115="CLIENT S+D"),((S115*3809.53+(VLOOKUP(H115,'BASE '!$I$112:$J$142,2,0)))-((S115*3809.53)*G115)),IF(AND(F115="LAIT",E115="CLIENT S+D"),((S115*952.4)-((S115*952.4)*G115)),IF(AND(E115="CLIENT S",F115="LAIT"),((S115*952.4)-((S115*952.4)*G115)),IF(AND(F115="HUILE",E115="CLIENT S"),(VLOOKUP(H115,'BASE '!$I$112:$J$142,2,0)+(VLOOKUP(S115,'BASE '!#REF!,2,0)))-(G115*((VLOOKUP(S115,'BASE '!#REF!,2,0)+(VLOOKUP(H115,'BASE '!$I$112:$J$142,2,0))))))))))))))))</f>
        <v>0</v>
      </c>
      <c r="P115" s="52" t="b">
        <f t="shared" si="32"/>
        <v>0</v>
      </c>
      <c r="Q115" s="53" t="b">
        <f t="shared" si="33"/>
        <v>0</v>
      </c>
      <c r="R115" s="152" t="s">
        <v>175</v>
      </c>
      <c r="S115" s="184">
        <f t="shared" si="35"/>
        <v>0</v>
      </c>
      <c r="T115" s="124"/>
      <c r="U115" s="41" t="s">
        <v>175</v>
      </c>
      <c r="V115" s="70" t="e">
        <f>VLOOKUP(U115,'BASE '!$A$4:$H$144,2,0)</f>
        <v>#N/A</v>
      </c>
      <c r="W115" s="159"/>
      <c r="X115" s="159"/>
      <c r="Y115" s="160"/>
      <c r="Z115" s="158" t="e">
        <f>VLOOKUP(U115,'BASE '!$A$4:$H$144,3,0)</f>
        <v>#N/A</v>
      </c>
      <c r="AA115" s="94" t="e">
        <f t="shared" si="34"/>
        <v>#N/A</v>
      </c>
      <c r="AB115" s="95" t="e">
        <f>VLOOKUP(U115,'BASE '!$A$4:$H$144,6,0)*Y115/100</f>
        <v>#N/A</v>
      </c>
      <c r="AC115" s="95" t="e">
        <f>VLOOKUP(U115,'BASE '!$A$4:$H$144,7,0)*Y115/100</f>
        <v>#N/A</v>
      </c>
      <c r="AD115" s="95" t="e">
        <f>VLOOKUP(U115,'BASE '!$A$4:$H$144,8,0)*Y115/100</f>
        <v>#N/A</v>
      </c>
      <c r="AE115" s="96" t="e">
        <f t="shared" si="36"/>
        <v>#N/A</v>
      </c>
      <c r="DN115" s="116" t="e">
        <f>(($I$5*#REF!)/100)+((#REF!*$J$5)/100)+(($K$5*#REF!)/100)+($L$5*#REF!)+($M$5*#REF!)</f>
        <v>#REF!</v>
      </c>
    </row>
    <row r="116" spans="2:118" x14ac:dyDescent="0.3">
      <c r="B116" s="64"/>
      <c r="C116" s="148"/>
      <c r="D116" s="109"/>
      <c r="E116" s="63"/>
      <c r="F116" s="127"/>
      <c r="G116" s="50"/>
      <c r="H116" s="10"/>
      <c r="I116" s="10"/>
      <c r="J116" s="10"/>
      <c r="K116" s="10"/>
      <c r="L116" s="10"/>
      <c r="M116" s="39"/>
      <c r="N116" s="33">
        <f t="shared" si="31"/>
        <v>0</v>
      </c>
      <c r="O116" s="52" t="b">
        <f>IF(AND(E116="CLIENT S+L",F116="HUILE"),(S116*3333.33+(VLOOKUP(H116,'BASE '!$I$112:$J$142,2,0)))-((S116*3333.33)*G116),IF(AND(E116="CLIENT S+L",F116="LAIT"),((S116*952.4)-(S116*952.4)*G116),IF(E116="CLIENT O","OFFERT",IF(AND(F116="HUILE",E116="CLIENT L"),(((VLOOKUP(H116,'BASE '!$I$112:$J$142,2,0))+(VLOOKUP(S116,'BASE '!#REF!,2,0)))),IF(AND(F116="LAIT",E116="CLIENT L"),(S116*952.4),IF(AND(F116="HUILE",E116="CLIENT D"),(S116*3809.53+(VLOOKUP(H116,'BASE '!$I$112:$J$142,2,0))),IF(AND(F116="LAIT",E116="CLIENT D"),(S116*952.4),IF(AND(F116="HUILE",E116="CLIENT S+D"),((S116*3809.53+(VLOOKUP(H116,'BASE '!$I$112:$J$142,2,0)))-((S116*3809.53)*G116)),IF(AND(F116="LAIT",E116="CLIENT S+D"),((S116*952.4)-((S116*952.4)*G116)),IF(AND(E116="CLIENT S",F116="LAIT"),((S116*952.4)-((S116*952.4)*G116)),IF(AND(F116="HUILE",E116="CLIENT S"),(VLOOKUP(H116,'BASE '!$I$112:$J$142,2,0)+(VLOOKUP(S116,'BASE '!#REF!,2,0)))-(G116*((VLOOKUP(S116,'BASE '!#REF!,2,0)+(VLOOKUP(H116,'BASE '!$I$112:$J$142,2,0))))))))))))))))</f>
        <v>0</v>
      </c>
      <c r="P116" s="52" t="b">
        <f t="shared" si="32"/>
        <v>0</v>
      </c>
      <c r="Q116" s="53" t="b">
        <f t="shared" si="33"/>
        <v>0</v>
      </c>
      <c r="R116" s="152" t="s">
        <v>175</v>
      </c>
      <c r="S116" s="184">
        <f t="shared" si="35"/>
        <v>0</v>
      </c>
      <c r="T116" s="124"/>
      <c r="U116" s="41" t="s">
        <v>175</v>
      </c>
      <c r="V116" s="70" t="e">
        <f>VLOOKUP(U116,'BASE '!$A$4:$H$144,2,0)</f>
        <v>#N/A</v>
      </c>
      <c r="W116" s="159"/>
      <c r="X116" s="159"/>
      <c r="Y116" s="160"/>
      <c r="Z116" s="158" t="e">
        <f>VLOOKUP(U116,'BASE '!$A$4:$H$144,3,0)</f>
        <v>#N/A</v>
      </c>
      <c r="AA116" s="94" t="e">
        <f t="shared" si="34"/>
        <v>#N/A</v>
      </c>
      <c r="AB116" s="95" t="e">
        <f>VLOOKUP(U116,'BASE '!$A$4:$H$144,6,0)*Y116/100</f>
        <v>#N/A</v>
      </c>
      <c r="AC116" s="95" t="e">
        <f>VLOOKUP(U116,'BASE '!$A$4:$H$144,7,0)*Y116/100</f>
        <v>#N/A</v>
      </c>
      <c r="AD116" s="95" t="e">
        <f>VLOOKUP(U116,'BASE '!$A$4:$H$144,8,0)*Y116/100</f>
        <v>#N/A</v>
      </c>
      <c r="AE116" s="96" t="e">
        <f t="shared" si="36"/>
        <v>#N/A</v>
      </c>
      <c r="DN116" s="116" t="e">
        <f>(($I$5*#REF!)/100)+((#REF!*$J$5)/100)+(($K$5*#REF!)/100)+($L$5*#REF!)+($M$5*#REF!)</f>
        <v>#REF!</v>
      </c>
    </row>
    <row r="117" spans="2:118" x14ac:dyDescent="0.3">
      <c r="B117" s="64"/>
      <c r="C117" s="148"/>
      <c r="D117" s="109"/>
      <c r="E117" s="63"/>
      <c r="F117" s="127"/>
      <c r="G117" s="50"/>
      <c r="H117" s="10"/>
      <c r="I117" s="10"/>
      <c r="J117" s="10"/>
      <c r="K117" s="10"/>
      <c r="L117" s="10"/>
      <c r="M117" s="39"/>
      <c r="N117" s="33">
        <f t="shared" si="31"/>
        <v>0</v>
      </c>
      <c r="O117" s="52" t="b">
        <f>IF(AND(E117="CLIENT S+L",F117="HUILE"),(S117*3333.33+(VLOOKUP(H117,'BASE '!$I$112:$J$142,2,0)))-((S117*3333.33)*G117),IF(AND(E117="CLIENT S+L",F117="LAIT"),((S117*952.4)-(S117*952.4)*G117),IF(E117="CLIENT O","OFFERT",IF(AND(F117="HUILE",E117="CLIENT L"),(((VLOOKUP(H117,'BASE '!$I$112:$J$142,2,0))+(VLOOKUP(S117,'BASE '!#REF!,2,0)))),IF(AND(F117="LAIT",E117="CLIENT L"),(S117*952.4),IF(AND(F117="HUILE",E117="CLIENT D"),(S117*3809.53+(VLOOKUP(H117,'BASE '!$I$112:$J$142,2,0))),IF(AND(F117="LAIT",E117="CLIENT D"),(S117*952.4),IF(AND(F117="HUILE",E117="CLIENT S+D"),((S117*3809.53+(VLOOKUP(H117,'BASE '!$I$112:$J$142,2,0)))-((S117*3809.53)*G117)),IF(AND(F117="LAIT",E117="CLIENT S+D"),((S117*952.4)-((S117*952.4)*G117)),IF(AND(E117="CLIENT S",F117="LAIT"),((S117*952.4)-((S117*952.4)*G117)),IF(AND(F117="HUILE",E117="CLIENT S"),(VLOOKUP(H117,'BASE '!$I$112:$J$142,2,0)+(VLOOKUP(S117,'BASE '!#REF!,2,0)))-(G117*((VLOOKUP(S117,'BASE '!#REF!,2,0)+(VLOOKUP(H117,'BASE '!$I$112:$J$142,2,0))))))))))))))))</f>
        <v>0</v>
      </c>
      <c r="P117" s="52" t="b">
        <f t="shared" si="32"/>
        <v>0</v>
      </c>
      <c r="Q117" s="53" t="b">
        <f t="shared" si="33"/>
        <v>0</v>
      </c>
      <c r="R117" s="152" t="s">
        <v>175</v>
      </c>
      <c r="S117" s="184">
        <f t="shared" si="35"/>
        <v>0</v>
      </c>
      <c r="T117" s="124"/>
      <c r="U117" s="41" t="s">
        <v>175</v>
      </c>
      <c r="V117" s="70" t="e">
        <f>VLOOKUP(U117,'BASE '!$A$4:$H$144,2,0)</f>
        <v>#N/A</v>
      </c>
      <c r="W117" s="159"/>
      <c r="X117" s="159"/>
      <c r="Y117" s="160"/>
      <c r="Z117" s="158" t="e">
        <f>VLOOKUP(U117,'BASE '!$A$4:$H$144,3,0)</f>
        <v>#N/A</v>
      </c>
      <c r="AA117" s="94" t="e">
        <f t="shared" si="34"/>
        <v>#N/A</v>
      </c>
      <c r="AB117" s="95" t="e">
        <f>VLOOKUP(U117,'BASE '!$A$4:$H$144,6,0)*Y117/100</f>
        <v>#N/A</v>
      </c>
      <c r="AC117" s="95" t="e">
        <f>VLOOKUP(U117,'BASE '!$A$4:$H$144,7,0)*Y117/100</f>
        <v>#N/A</v>
      </c>
      <c r="AD117" s="95" t="e">
        <f>VLOOKUP(U117,'BASE '!$A$4:$H$144,8,0)*Y117/100</f>
        <v>#N/A</v>
      </c>
      <c r="AE117" s="96" t="e">
        <f t="shared" si="36"/>
        <v>#N/A</v>
      </c>
      <c r="DN117" s="116" t="e">
        <f>(($I$5*#REF!)/100)+((#REF!*$J$5)/100)+(($K$5*#REF!)/100)+($L$5*#REF!)+($M$5*#REF!)</f>
        <v>#REF!</v>
      </c>
    </row>
    <row r="118" spans="2:118" x14ac:dyDescent="0.3">
      <c r="B118" s="64"/>
      <c r="C118" s="148"/>
      <c r="D118" s="109"/>
      <c r="E118" s="63"/>
      <c r="F118" s="127"/>
      <c r="G118" s="50"/>
      <c r="H118" s="10"/>
      <c r="I118" s="10"/>
      <c r="J118" s="10"/>
      <c r="K118" s="10"/>
      <c r="L118" s="10"/>
      <c r="M118" s="39"/>
      <c r="N118" s="33">
        <f t="shared" si="31"/>
        <v>0</v>
      </c>
      <c r="O118" s="52" t="b">
        <f>IF(AND(E118="CLIENT S+L",F118="HUILE"),(S118*3333.33+(VLOOKUP(H118,'BASE '!$I$112:$J$142,2,0)))-((S118*3333.33)*G118),IF(AND(E118="CLIENT S+L",F118="LAIT"),((S118*952.4)-(S118*952.4)*G118),IF(E118="CLIENT O","OFFERT",IF(AND(F118="HUILE",E118="CLIENT L"),(((VLOOKUP(H118,'BASE '!$I$112:$J$142,2,0))+(VLOOKUP(S118,'BASE '!#REF!,2,0)))),IF(AND(F118="LAIT",E118="CLIENT L"),(S118*952.4),IF(AND(F118="HUILE",E118="CLIENT D"),(S118*3809.53+(VLOOKUP(H118,'BASE '!$I$112:$J$142,2,0))),IF(AND(F118="LAIT",E118="CLIENT D"),(S118*952.4),IF(AND(F118="HUILE",E118="CLIENT S+D"),((S118*3809.53+(VLOOKUP(H118,'BASE '!$I$112:$J$142,2,0)))-((S118*3809.53)*G118)),IF(AND(F118="LAIT",E118="CLIENT S+D"),((S118*952.4)-((S118*952.4)*G118)),IF(AND(E118="CLIENT S",F118="LAIT"),((S118*952.4)-((S118*952.4)*G118)),IF(AND(F118="HUILE",E118="CLIENT S"),(VLOOKUP(H118,'BASE '!$I$112:$J$142,2,0)+(VLOOKUP(S118,'BASE '!#REF!,2,0)))-(G118*((VLOOKUP(S118,'BASE '!#REF!,2,0)+(VLOOKUP(H118,'BASE '!$I$112:$J$142,2,0))))))))))))))))</f>
        <v>0</v>
      </c>
      <c r="P118" s="52" t="b">
        <f t="shared" si="32"/>
        <v>0</v>
      </c>
      <c r="Q118" s="53" t="b">
        <f t="shared" si="33"/>
        <v>0</v>
      </c>
      <c r="R118" s="152" t="s">
        <v>175</v>
      </c>
      <c r="S118" s="184">
        <f t="shared" si="35"/>
        <v>0</v>
      </c>
      <c r="T118" s="124"/>
      <c r="U118" s="41" t="s">
        <v>175</v>
      </c>
      <c r="V118" s="70" t="e">
        <f>VLOOKUP(U118,'BASE '!$A$4:$H$144,2,0)</f>
        <v>#N/A</v>
      </c>
      <c r="W118" s="159"/>
      <c r="X118" s="159"/>
      <c r="Y118" s="160"/>
      <c r="Z118" s="158" t="e">
        <f>VLOOKUP(U118,'BASE '!$A$4:$H$144,3,0)</f>
        <v>#N/A</v>
      </c>
      <c r="AA118" s="94" t="e">
        <f t="shared" si="34"/>
        <v>#N/A</v>
      </c>
      <c r="AB118" s="95" t="e">
        <f>VLOOKUP(U118,'BASE '!$A$4:$H$144,6,0)*Y118/100</f>
        <v>#N/A</v>
      </c>
      <c r="AC118" s="95" t="e">
        <f>VLOOKUP(U118,'BASE '!$A$4:$H$144,7,0)*Y118/100</f>
        <v>#N/A</v>
      </c>
      <c r="AD118" s="95" t="e">
        <f>VLOOKUP(U118,'BASE '!$A$4:$H$144,8,0)*Y118/100</f>
        <v>#N/A</v>
      </c>
      <c r="AE118" s="96" t="e">
        <f t="shared" si="36"/>
        <v>#N/A</v>
      </c>
      <c r="DN118" s="116" t="e">
        <f>(($I$5*#REF!)/100)+((#REF!*$J$5)/100)+(($K$5*#REF!)/100)+($L$5*#REF!)+($M$5*#REF!)</f>
        <v>#REF!</v>
      </c>
    </row>
    <row r="119" spans="2:118" x14ac:dyDescent="0.3">
      <c r="B119" s="64"/>
      <c r="C119" s="148"/>
      <c r="D119" s="109"/>
      <c r="E119" s="63"/>
      <c r="F119" s="127"/>
      <c r="G119" s="50"/>
      <c r="H119" s="10"/>
      <c r="I119" s="10"/>
      <c r="J119" s="10"/>
      <c r="K119" s="10"/>
      <c r="L119" s="10"/>
      <c r="M119" s="39"/>
      <c r="N119" s="33">
        <f t="shared" si="31"/>
        <v>0</v>
      </c>
      <c r="O119" s="52" t="b">
        <f>IF(AND(E119="CLIENT S+L",F119="HUILE"),(S119*3333.33+(VLOOKUP(H119,'BASE '!$I$112:$J$142,2,0)))-((S119*3333.33)*G119),IF(AND(E119="CLIENT S+L",F119="LAIT"),((S119*952.4)-(S119*952.4)*G119),IF(E119="CLIENT O","OFFERT",IF(AND(F119="HUILE",E119="CLIENT L"),(((VLOOKUP(H119,'BASE '!$I$112:$J$142,2,0))+(VLOOKUP(S119,'BASE '!#REF!,2,0)))),IF(AND(F119="LAIT",E119="CLIENT L"),(S119*952.4),IF(AND(F119="HUILE",E119="CLIENT D"),(S119*3809.53+(VLOOKUP(H119,'BASE '!$I$112:$J$142,2,0))),IF(AND(F119="LAIT",E119="CLIENT D"),(S119*952.4),IF(AND(F119="HUILE",E119="CLIENT S+D"),((S119*3809.53+(VLOOKUP(H119,'BASE '!$I$112:$J$142,2,0)))-((S119*3809.53)*G119)),IF(AND(F119="LAIT",E119="CLIENT S+D"),((S119*952.4)-((S119*952.4)*G119)),IF(AND(E119="CLIENT S",F119="LAIT"),((S119*952.4)-((S119*952.4)*G119)),IF(AND(F119="HUILE",E119="CLIENT S"),(VLOOKUP(H119,'BASE '!$I$112:$J$142,2,0)+(VLOOKUP(S119,'BASE '!#REF!,2,0)))-(G119*((VLOOKUP(S119,'BASE '!#REF!,2,0)+(VLOOKUP(H119,'BASE '!$I$112:$J$142,2,0))))))))))))))))</f>
        <v>0</v>
      </c>
      <c r="P119" s="52" t="b">
        <f t="shared" si="32"/>
        <v>0</v>
      </c>
      <c r="Q119" s="53" t="b">
        <f t="shared" si="33"/>
        <v>0</v>
      </c>
      <c r="R119" s="152" t="s">
        <v>175</v>
      </c>
      <c r="S119" s="184">
        <f t="shared" si="35"/>
        <v>0</v>
      </c>
      <c r="T119" s="124"/>
      <c r="U119" s="41" t="s">
        <v>175</v>
      </c>
      <c r="V119" s="70" t="e">
        <f>VLOOKUP(U119,'BASE '!$A$4:$H$144,2,0)</f>
        <v>#N/A</v>
      </c>
      <c r="W119" s="159"/>
      <c r="X119" s="159"/>
      <c r="Y119" s="160"/>
      <c r="Z119" s="158" t="e">
        <f>VLOOKUP(U119,'BASE '!$A$4:$H$144,3,0)</f>
        <v>#N/A</v>
      </c>
      <c r="AA119" s="94" t="e">
        <f t="shared" si="34"/>
        <v>#N/A</v>
      </c>
      <c r="AB119" s="95" t="e">
        <f>VLOOKUP(U119,'BASE '!$A$4:$H$144,6,0)*Y119/100</f>
        <v>#N/A</v>
      </c>
      <c r="AC119" s="95" t="e">
        <f>VLOOKUP(U119,'BASE '!$A$4:$H$144,7,0)*Y119/100</f>
        <v>#N/A</v>
      </c>
      <c r="AD119" s="95" t="e">
        <f>VLOOKUP(U119,'BASE '!$A$4:$H$144,8,0)*Y119/100</f>
        <v>#N/A</v>
      </c>
      <c r="AE119" s="96" t="e">
        <f t="shared" si="36"/>
        <v>#N/A</v>
      </c>
      <c r="DN119" s="116" t="e">
        <f>(($I$5*#REF!)/100)+((#REF!*$J$5)/100)+(($K$5*#REF!)/100)+($L$5*#REF!)+($M$5*#REF!)</f>
        <v>#REF!</v>
      </c>
    </row>
    <row r="120" spans="2:118" x14ac:dyDescent="0.3">
      <c r="B120" s="64"/>
      <c r="C120" s="148"/>
      <c r="D120" s="109"/>
      <c r="E120" s="63"/>
      <c r="F120" s="127"/>
      <c r="G120" s="50"/>
      <c r="H120" s="10"/>
      <c r="I120" s="10"/>
      <c r="J120" s="10"/>
      <c r="K120" s="10"/>
      <c r="L120" s="10"/>
      <c r="M120" s="39"/>
      <c r="N120" s="33">
        <f t="shared" si="31"/>
        <v>0</v>
      </c>
      <c r="O120" s="52" t="b">
        <f>IF(AND(E120="CLIENT S+L",F120="HUILE"),(S120*3333.33+(VLOOKUP(H120,'BASE '!$I$112:$J$142,2,0)))-((S120*3333.33)*G120),IF(AND(E120="CLIENT S+L",F120="LAIT"),((S120*952.4)-(S120*952.4)*G120),IF(E120="CLIENT O","OFFERT",IF(AND(F120="HUILE",E120="CLIENT L"),(((VLOOKUP(H120,'BASE '!$I$112:$J$142,2,0))+(VLOOKUP(S120,'BASE '!#REF!,2,0)))),IF(AND(F120="LAIT",E120="CLIENT L"),(S120*952.4),IF(AND(F120="HUILE",E120="CLIENT D"),(S120*3809.53+(VLOOKUP(H120,'BASE '!$I$112:$J$142,2,0))),IF(AND(F120="LAIT",E120="CLIENT D"),(S120*952.4),IF(AND(F120="HUILE",E120="CLIENT S+D"),((S120*3809.53+(VLOOKUP(H120,'BASE '!$I$112:$J$142,2,0)))-((S120*3809.53)*G120)),IF(AND(F120="LAIT",E120="CLIENT S+D"),((S120*952.4)-((S120*952.4)*G120)),IF(AND(E120="CLIENT S",F120="LAIT"),((S120*952.4)-((S120*952.4)*G120)),IF(AND(F120="HUILE",E120="CLIENT S"),(VLOOKUP(H120,'BASE '!$I$112:$J$142,2,0)+(VLOOKUP(S120,'BASE '!#REF!,2,0)))-(G120*((VLOOKUP(S120,'BASE '!#REF!,2,0)+(VLOOKUP(H120,'BASE '!$I$112:$J$142,2,0))))))))))))))))</f>
        <v>0</v>
      </c>
      <c r="P120" s="52" t="b">
        <f t="shared" si="32"/>
        <v>0</v>
      </c>
      <c r="Q120" s="53" t="b">
        <f t="shared" si="33"/>
        <v>0</v>
      </c>
      <c r="R120" s="152" t="s">
        <v>175</v>
      </c>
      <c r="S120" s="184">
        <f t="shared" si="35"/>
        <v>0</v>
      </c>
      <c r="T120" s="124"/>
      <c r="U120" s="41" t="s">
        <v>175</v>
      </c>
      <c r="V120" s="70" t="e">
        <f>VLOOKUP(U120,'BASE '!$A$4:$H$144,2,0)</f>
        <v>#N/A</v>
      </c>
      <c r="W120" s="159"/>
      <c r="X120" s="159"/>
      <c r="Y120" s="160"/>
      <c r="Z120" s="158" t="e">
        <f>VLOOKUP(U120,'BASE '!$A$4:$H$144,3,0)</f>
        <v>#N/A</v>
      </c>
      <c r="AA120" s="94" t="e">
        <f t="shared" si="34"/>
        <v>#N/A</v>
      </c>
      <c r="AB120" s="95" t="e">
        <f>VLOOKUP(U120,'BASE '!$A$4:$H$144,6,0)*Y120/100</f>
        <v>#N/A</v>
      </c>
      <c r="AC120" s="95" t="e">
        <f>VLOOKUP(U120,'BASE '!$A$4:$H$144,7,0)*Y120/100</f>
        <v>#N/A</v>
      </c>
      <c r="AD120" s="95" t="e">
        <f>VLOOKUP(U120,'BASE '!$A$4:$H$144,8,0)*Y120/100</f>
        <v>#N/A</v>
      </c>
      <c r="AE120" s="96" t="e">
        <f t="shared" si="36"/>
        <v>#N/A</v>
      </c>
      <c r="DN120" s="116" t="e">
        <f>(($I$5*#REF!)/100)+((#REF!*$J$5)/100)+(($K$5*#REF!)/100)+($L$5*#REF!)+($M$5*#REF!)</f>
        <v>#REF!</v>
      </c>
    </row>
    <row r="121" spans="2:118" x14ac:dyDescent="0.3">
      <c r="B121" s="64"/>
      <c r="C121" s="148"/>
      <c r="D121" s="109"/>
      <c r="E121" s="63"/>
      <c r="F121" s="127"/>
      <c r="G121" s="50"/>
      <c r="H121" s="10"/>
      <c r="I121" s="10"/>
      <c r="J121" s="10"/>
      <c r="K121" s="10"/>
      <c r="L121" s="10"/>
      <c r="M121" s="39"/>
      <c r="N121" s="33">
        <f t="shared" si="31"/>
        <v>0</v>
      </c>
      <c r="O121" s="52" t="b">
        <f>IF(AND(E121="CLIENT S+L",F121="HUILE"),(S121*3333.33+(VLOOKUP(H121,'BASE '!$I$112:$J$142,2,0)))-((S121*3333.33)*G121),IF(AND(E121="CLIENT S+L",F121="LAIT"),((S121*952.4)-(S121*952.4)*G121),IF(E121="CLIENT O","OFFERT",IF(AND(F121="HUILE",E121="CLIENT L"),(((VLOOKUP(H121,'BASE '!$I$112:$J$142,2,0))+(VLOOKUP(S121,'BASE '!#REF!,2,0)))),IF(AND(F121="LAIT",E121="CLIENT L"),(S121*952.4),IF(AND(F121="HUILE",E121="CLIENT D"),(S121*3809.53+(VLOOKUP(H121,'BASE '!$I$112:$J$142,2,0))),IF(AND(F121="LAIT",E121="CLIENT D"),(S121*952.4),IF(AND(F121="HUILE",E121="CLIENT S+D"),((S121*3809.53+(VLOOKUP(H121,'BASE '!$I$112:$J$142,2,0)))-((S121*3809.53)*G121)),IF(AND(F121="LAIT",E121="CLIENT S+D"),((S121*952.4)-((S121*952.4)*G121)),IF(AND(E121="CLIENT S",F121="LAIT"),((S121*952.4)-((S121*952.4)*G121)),IF(AND(F121="HUILE",E121="CLIENT S"),(VLOOKUP(H121,'BASE '!$I$112:$J$142,2,0)+(VLOOKUP(S121,'BASE '!#REF!,2,0)))-(G121*((VLOOKUP(S121,'BASE '!#REF!,2,0)+(VLOOKUP(H121,'BASE '!$I$112:$J$142,2,0))))))))))))))))</f>
        <v>0</v>
      </c>
      <c r="P121" s="52" t="b">
        <f t="shared" si="32"/>
        <v>0</v>
      </c>
      <c r="Q121" s="53" t="b">
        <f t="shared" si="33"/>
        <v>0</v>
      </c>
      <c r="R121" s="152" t="s">
        <v>175</v>
      </c>
      <c r="S121" s="184">
        <f t="shared" si="35"/>
        <v>0</v>
      </c>
      <c r="T121" s="124"/>
      <c r="U121" s="41" t="s">
        <v>175</v>
      </c>
      <c r="V121" s="70" t="e">
        <f>VLOOKUP(U121,'BASE '!$A$4:$H$144,2,0)</f>
        <v>#N/A</v>
      </c>
      <c r="W121" s="159"/>
      <c r="X121" s="159"/>
      <c r="Y121" s="160"/>
      <c r="Z121" s="158" t="e">
        <f>VLOOKUP(U121,'BASE '!$A$4:$H$144,3,0)</f>
        <v>#N/A</v>
      </c>
      <c r="AA121" s="94" t="e">
        <f t="shared" si="34"/>
        <v>#N/A</v>
      </c>
      <c r="AB121" s="95" t="e">
        <f>VLOOKUP(U121,'BASE '!$A$4:$H$144,6,0)*Y121/100</f>
        <v>#N/A</v>
      </c>
      <c r="AC121" s="95" t="e">
        <f>VLOOKUP(U121,'BASE '!$A$4:$H$144,7,0)*Y121/100</f>
        <v>#N/A</v>
      </c>
      <c r="AD121" s="95" t="e">
        <f>VLOOKUP(U121,'BASE '!$A$4:$H$144,8,0)*Y121/100</f>
        <v>#N/A</v>
      </c>
      <c r="AE121" s="96" t="e">
        <f t="shared" si="36"/>
        <v>#N/A</v>
      </c>
      <c r="DN121" s="116" t="e">
        <f>(($I$5*#REF!)/100)+((#REF!*$J$5)/100)+(($K$5*#REF!)/100)+($L$5*#REF!)+($M$5*#REF!)</f>
        <v>#REF!</v>
      </c>
    </row>
    <row r="122" spans="2:118" x14ac:dyDescent="0.3">
      <c r="B122" s="64"/>
      <c r="C122" s="148"/>
      <c r="D122" s="109"/>
      <c r="E122" s="63"/>
      <c r="F122" s="127"/>
      <c r="G122" s="50"/>
      <c r="H122" s="10"/>
      <c r="I122" s="10"/>
      <c r="J122" s="10"/>
      <c r="K122" s="10"/>
      <c r="L122" s="10"/>
      <c r="M122" s="39"/>
      <c r="N122" s="33">
        <f t="shared" si="31"/>
        <v>0</v>
      </c>
      <c r="O122" s="52" t="b">
        <f>IF(AND(E122="CLIENT S+L",F122="HUILE"),(S122*3333.33+(VLOOKUP(H122,'BASE '!$I$112:$J$142,2,0)))-((S122*3333.33)*G122),IF(AND(E122="CLIENT S+L",F122="LAIT"),((S122*952.4)-(S122*952.4)*G122),IF(E122="CLIENT O","OFFERT",IF(AND(F122="HUILE",E122="CLIENT L"),(((VLOOKUP(H122,'BASE '!$I$112:$J$142,2,0))+(VLOOKUP(S122,'BASE '!#REF!,2,0)))),IF(AND(F122="LAIT",E122="CLIENT L"),(S122*952.4),IF(AND(F122="HUILE",E122="CLIENT D"),(S122*3809.53+(VLOOKUP(H122,'BASE '!$I$112:$J$142,2,0))),IF(AND(F122="LAIT",E122="CLIENT D"),(S122*952.4),IF(AND(F122="HUILE",E122="CLIENT S+D"),((S122*3809.53+(VLOOKUP(H122,'BASE '!$I$112:$J$142,2,0)))-((S122*3809.53)*G122)),IF(AND(F122="LAIT",E122="CLIENT S+D"),((S122*952.4)-((S122*952.4)*G122)),IF(AND(E122="CLIENT S",F122="LAIT"),((S122*952.4)-((S122*952.4)*G122)),IF(AND(F122="HUILE",E122="CLIENT S"),(VLOOKUP(H122,'BASE '!$I$112:$J$142,2,0)+(VLOOKUP(S122,'BASE '!#REF!,2,0)))-(G122*((VLOOKUP(S122,'BASE '!#REF!,2,0)+(VLOOKUP(H122,'BASE '!$I$112:$J$142,2,0))))))))))))))))</f>
        <v>0</v>
      </c>
      <c r="P122" s="52" t="b">
        <f t="shared" si="32"/>
        <v>0</v>
      </c>
      <c r="Q122" s="53" t="b">
        <f t="shared" si="33"/>
        <v>0</v>
      </c>
      <c r="R122" s="152" t="s">
        <v>175</v>
      </c>
      <c r="S122" s="184">
        <f t="shared" si="35"/>
        <v>0</v>
      </c>
      <c r="T122" s="124"/>
      <c r="U122" s="41" t="s">
        <v>175</v>
      </c>
      <c r="V122" s="70" t="e">
        <f>VLOOKUP(U122,'BASE '!$A$4:$H$144,2,0)</f>
        <v>#N/A</v>
      </c>
      <c r="W122" s="159"/>
      <c r="X122" s="159"/>
      <c r="Y122" s="160"/>
      <c r="Z122" s="158" t="e">
        <f>VLOOKUP(U122,'BASE '!$A$4:$H$144,3,0)</f>
        <v>#N/A</v>
      </c>
      <c r="AA122" s="94" t="e">
        <f t="shared" si="34"/>
        <v>#N/A</v>
      </c>
      <c r="AB122" s="95" t="e">
        <f>VLOOKUP(U122,'BASE '!$A$4:$H$144,6,0)*Y122/100</f>
        <v>#N/A</v>
      </c>
      <c r="AC122" s="95" t="e">
        <f>VLOOKUP(U122,'BASE '!$A$4:$H$144,7,0)*Y122/100</f>
        <v>#N/A</v>
      </c>
      <c r="AD122" s="95" t="e">
        <f>VLOOKUP(U122,'BASE '!$A$4:$H$144,8,0)*Y122/100</f>
        <v>#N/A</v>
      </c>
      <c r="AE122" s="96" t="e">
        <f t="shared" si="36"/>
        <v>#N/A</v>
      </c>
      <c r="DN122" s="116" t="e">
        <f>(($I$5*#REF!)/100)+((#REF!*$J$5)/100)+(($K$5*#REF!)/100)+($L$5*#REF!)+($M$5*#REF!)</f>
        <v>#REF!</v>
      </c>
    </row>
    <row r="123" spans="2:118" x14ac:dyDescent="0.3">
      <c r="B123" s="64"/>
      <c r="C123" s="148"/>
      <c r="D123" s="109"/>
      <c r="E123" s="63"/>
      <c r="F123" s="127"/>
      <c r="G123" s="50"/>
      <c r="H123" s="10"/>
      <c r="I123" s="10"/>
      <c r="J123" s="10"/>
      <c r="K123" s="10"/>
      <c r="L123" s="10"/>
      <c r="M123" s="39"/>
      <c r="N123" s="33">
        <f t="shared" si="31"/>
        <v>0</v>
      </c>
      <c r="O123" s="52" t="b">
        <f>IF(AND(E123="CLIENT S+L",F123="HUILE"),(S123*3333.33+(VLOOKUP(H123,'BASE '!$I$112:$J$142,2,0)))-((S123*3333.33)*G123),IF(AND(E123="CLIENT S+L",F123="LAIT"),((S123*952.4)-(S123*952.4)*G123),IF(E123="CLIENT O","OFFERT",IF(AND(F123="HUILE",E123="CLIENT L"),(((VLOOKUP(H123,'BASE '!$I$112:$J$142,2,0))+(VLOOKUP(S123,'BASE '!#REF!,2,0)))),IF(AND(F123="LAIT",E123="CLIENT L"),(S123*952.4),IF(AND(F123="HUILE",E123="CLIENT D"),(S123*3809.53+(VLOOKUP(H123,'BASE '!$I$112:$J$142,2,0))),IF(AND(F123="LAIT",E123="CLIENT D"),(S123*952.4),IF(AND(F123="HUILE",E123="CLIENT S+D"),((S123*3809.53+(VLOOKUP(H123,'BASE '!$I$112:$J$142,2,0)))-((S123*3809.53)*G123)),IF(AND(F123="LAIT",E123="CLIENT S+D"),((S123*952.4)-((S123*952.4)*G123)),IF(AND(E123="CLIENT S",F123="LAIT"),((S123*952.4)-((S123*952.4)*G123)),IF(AND(F123="HUILE",E123="CLIENT S"),(VLOOKUP(H123,'BASE '!$I$112:$J$142,2,0)+(VLOOKUP(S123,'BASE '!#REF!,2,0)))-(G123*((VLOOKUP(S123,'BASE '!#REF!,2,0)+(VLOOKUP(H123,'BASE '!$I$112:$J$142,2,0))))))))))))))))</f>
        <v>0</v>
      </c>
      <c r="P123" s="52" t="b">
        <f t="shared" si="32"/>
        <v>0</v>
      </c>
      <c r="Q123" s="53" t="b">
        <f t="shared" si="33"/>
        <v>0</v>
      </c>
      <c r="R123" s="152" t="s">
        <v>175</v>
      </c>
      <c r="S123" s="184">
        <f t="shared" si="35"/>
        <v>0</v>
      </c>
      <c r="T123" s="124"/>
      <c r="U123" s="41" t="s">
        <v>175</v>
      </c>
      <c r="V123" s="70" t="e">
        <f>VLOOKUP(U123,'BASE '!$A$4:$H$144,2,0)</f>
        <v>#N/A</v>
      </c>
      <c r="W123" s="159"/>
      <c r="X123" s="159"/>
      <c r="Y123" s="160"/>
      <c r="Z123" s="158" t="e">
        <f>VLOOKUP(U123,'BASE '!$A$4:$H$144,3,0)</f>
        <v>#N/A</v>
      </c>
      <c r="AA123" s="94" t="e">
        <f t="shared" si="34"/>
        <v>#N/A</v>
      </c>
      <c r="AB123" s="95" t="e">
        <f>VLOOKUP(U123,'BASE '!$A$4:$H$144,6,0)*Y123/100</f>
        <v>#N/A</v>
      </c>
      <c r="AC123" s="95" t="e">
        <f>VLOOKUP(U123,'BASE '!$A$4:$H$144,7,0)*Y123/100</f>
        <v>#N/A</v>
      </c>
      <c r="AD123" s="95" t="e">
        <f>VLOOKUP(U123,'BASE '!$A$4:$H$144,8,0)*Y123/100</f>
        <v>#N/A</v>
      </c>
      <c r="AE123" s="96" t="e">
        <f t="shared" si="36"/>
        <v>#N/A</v>
      </c>
      <c r="DN123" s="116" t="e">
        <f>(($I$5*#REF!)/100)+((#REF!*$J$5)/100)+(($K$5*#REF!)/100)+($L$5*#REF!)+($M$5*#REF!)</f>
        <v>#REF!</v>
      </c>
    </row>
    <row r="124" spans="2:118" x14ac:dyDescent="0.3">
      <c r="B124" s="64"/>
      <c r="C124" s="148"/>
      <c r="D124" s="109"/>
      <c r="E124" s="63"/>
      <c r="F124" s="127"/>
      <c r="G124" s="50"/>
      <c r="H124" s="10"/>
      <c r="I124" s="10"/>
      <c r="J124" s="10"/>
      <c r="K124" s="10"/>
      <c r="L124" s="10"/>
      <c r="M124" s="39"/>
      <c r="N124" s="33">
        <f t="shared" si="31"/>
        <v>0</v>
      </c>
      <c r="O124" s="52" t="b">
        <f>IF(AND(E124="CLIENT S+L",F124="HUILE"),(S124*3333.33+(VLOOKUP(H124,'BASE '!$I$112:$J$142,2,0)))-((S124*3333.33)*G124),IF(AND(E124="CLIENT S+L",F124="LAIT"),((S124*952.4)-(S124*952.4)*G124),IF(E124="CLIENT O","OFFERT",IF(AND(F124="HUILE",E124="CLIENT L"),(((VLOOKUP(H124,'BASE '!$I$112:$J$142,2,0))+(VLOOKUP(S124,'BASE '!#REF!,2,0)))),IF(AND(F124="LAIT",E124="CLIENT L"),(S124*952.4),IF(AND(F124="HUILE",E124="CLIENT D"),(S124*3809.53+(VLOOKUP(H124,'BASE '!$I$112:$J$142,2,0))),IF(AND(F124="LAIT",E124="CLIENT D"),(S124*952.4),IF(AND(F124="HUILE",E124="CLIENT S+D"),((S124*3809.53+(VLOOKUP(H124,'BASE '!$I$112:$J$142,2,0)))-((S124*3809.53)*G124)),IF(AND(F124="LAIT",E124="CLIENT S+D"),((S124*952.4)-((S124*952.4)*G124)),IF(AND(E124="CLIENT S",F124="LAIT"),((S124*952.4)-((S124*952.4)*G124)),IF(AND(F124="HUILE",E124="CLIENT S"),(VLOOKUP(H124,'BASE '!$I$112:$J$142,2,0)+(VLOOKUP(S124,'BASE '!#REF!,2,0)))-(G124*((VLOOKUP(S124,'BASE '!#REF!,2,0)+(VLOOKUP(H124,'BASE '!$I$112:$J$142,2,0))))))))))))))))</f>
        <v>0</v>
      </c>
      <c r="P124" s="52" t="b">
        <f t="shared" si="32"/>
        <v>0</v>
      </c>
      <c r="Q124" s="53" t="b">
        <f t="shared" si="33"/>
        <v>0</v>
      </c>
      <c r="R124" s="152" t="s">
        <v>175</v>
      </c>
      <c r="S124" s="184">
        <f t="shared" si="35"/>
        <v>0</v>
      </c>
      <c r="T124" s="124"/>
      <c r="U124" s="41" t="s">
        <v>175</v>
      </c>
      <c r="V124" s="70" t="e">
        <f>VLOOKUP(U124,'BASE '!$A$4:$H$144,2,0)</f>
        <v>#N/A</v>
      </c>
      <c r="W124" s="159"/>
      <c r="X124" s="159"/>
      <c r="Y124" s="160"/>
      <c r="Z124" s="158" t="e">
        <f>VLOOKUP(U124,'BASE '!$A$4:$H$144,3,0)</f>
        <v>#N/A</v>
      </c>
      <c r="AA124" s="94" t="e">
        <f t="shared" si="34"/>
        <v>#N/A</v>
      </c>
      <c r="AB124" s="95" t="e">
        <f>VLOOKUP(U124,'BASE '!$A$4:$H$144,6,0)*Y124/100</f>
        <v>#N/A</v>
      </c>
      <c r="AC124" s="95" t="e">
        <f>VLOOKUP(U124,'BASE '!$A$4:$H$144,7,0)*Y124/100</f>
        <v>#N/A</v>
      </c>
      <c r="AD124" s="95" t="e">
        <f>VLOOKUP(U124,'BASE '!$A$4:$H$144,8,0)*Y124/100</f>
        <v>#N/A</v>
      </c>
      <c r="AE124" s="96" t="e">
        <f t="shared" si="36"/>
        <v>#N/A</v>
      </c>
      <c r="DN124" s="116" t="e">
        <f>(($I$5*#REF!)/100)+((#REF!*$J$5)/100)+(($K$5*#REF!)/100)+($L$5*#REF!)+($M$5*#REF!)</f>
        <v>#REF!</v>
      </c>
    </row>
    <row r="125" spans="2:118" x14ac:dyDescent="0.3">
      <c r="B125" s="64"/>
      <c r="C125" s="148"/>
      <c r="D125" s="109"/>
      <c r="E125" s="63"/>
      <c r="F125" s="127"/>
      <c r="G125" s="50"/>
      <c r="H125" s="10"/>
      <c r="I125" s="10"/>
      <c r="J125" s="10"/>
      <c r="K125" s="10"/>
      <c r="L125" s="10"/>
      <c r="M125" s="39"/>
      <c r="N125" s="33">
        <f t="shared" si="31"/>
        <v>0</v>
      </c>
      <c r="O125" s="52" t="b">
        <f>IF(AND(E125="CLIENT S+L",F125="HUILE"),(S125*3333.33+(VLOOKUP(H125,'BASE '!$I$112:$J$142,2,0)))-((S125*3333.33)*G125),IF(AND(E125="CLIENT S+L",F125="LAIT"),((S125*952.4)-(S125*952.4)*G125),IF(E125="CLIENT O","OFFERT",IF(AND(F125="HUILE",E125="CLIENT L"),(((VLOOKUP(H125,'BASE '!$I$112:$J$142,2,0))+(VLOOKUP(S125,'BASE '!#REF!,2,0)))),IF(AND(F125="LAIT",E125="CLIENT L"),(S125*952.4),IF(AND(F125="HUILE",E125="CLIENT D"),(S125*3809.53+(VLOOKUP(H125,'BASE '!$I$112:$J$142,2,0))),IF(AND(F125="LAIT",E125="CLIENT D"),(S125*952.4),IF(AND(F125="HUILE",E125="CLIENT S+D"),((S125*3809.53+(VLOOKUP(H125,'BASE '!$I$112:$J$142,2,0)))-((S125*3809.53)*G125)),IF(AND(F125="LAIT",E125="CLIENT S+D"),((S125*952.4)-((S125*952.4)*G125)),IF(AND(E125="CLIENT S",F125="LAIT"),((S125*952.4)-((S125*952.4)*G125)),IF(AND(F125="HUILE",E125="CLIENT S"),(VLOOKUP(H125,'BASE '!$I$112:$J$142,2,0)+(VLOOKUP(S125,'BASE '!#REF!,2,0)))-(G125*((VLOOKUP(S125,'BASE '!#REF!,2,0)+(VLOOKUP(H125,'BASE '!$I$112:$J$142,2,0))))))))))))))))</f>
        <v>0</v>
      </c>
      <c r="P125" s="52" t="b">
        <f t="shared" si="32"/>
        <v>0</v>
      </c>
      <c r="Q125" s="53" t="b">
        <f t="shared" si="33"/>
        <v>0</v>
      </c>
      <c r="R125" s="152" t="s">
        <v>175</v>
      </c>
      <c r="S125" s="184">
        <f t="shared" si="35"/>
        <v>0</v>
      </c>
      <c r="T125" s="124"/>
      <c r="U125" s="41" t="s">
        <v>175</v>
      </c>
      <c r="V125" s="70" t="e">
        <f>VLOOKUP(U125,'BASE '!$A$4:$H$144,2,0)</f>
        <v>#N/A</v>
      </c>
      <c r="W125" s="159"/>
      <c r="X125" s="159"/>
      <c r="Y125" s="160"/>
      <c r="Z125" s="158" t="e">
        <f>VLOOKUP(U125,'BASE '!$A$4:$H$144,3,0)</f>
        <v>#N/A</v>
      </c>
      <c r="AA125" s="94" t="e">
        <f t="shared" si="34"/>
        <v>#N/A</v>
      </c>
      <c r="AB125" s="95" t="e">
        <f>VLOOKUP(U125,'BASE '!$A$4:$H$144,6,0)*Y125/100</f>
        <v>#N/A</v>
      </c>
      <c r="AC125" s="95" t="e">
        <f>VLOOKUP(U125,'BASE '!$A$4:$H$144,7,0)*Y125/100</f>
        <v>#N/A</v>
      </c>
      <c r="AD125" s="95" t="e">
        <f>VLOOKUP(U125,'BASE '!$A$4:$H$144,8,0)*Y125/100</f>
        <v>#N/A</v>
      </c>
      <c r="AE125" s="96" t="e">
        <f t="shared" si="36"/>
        <v>#N/A</v>
      </c>
      <c r="DN125" s="116" t="e">
        <f>(($I$5*#REF!)/100)+((#REF!*$J$5)/100)+(($K$5*#REF!)/100)+($L$5*#REF!)+($M$5*#REF!)</f>
        <v>#REF!</v>
      </c>
    </row>
    <row r="126" spans="2:118" x14ac:dyDescent="0.3">
      <c r="B126" s="64"/>
      <c r="C126" s="148"/>
      <c r="D126" s="109"/>
      <c r="E126" s="63"/>
      <c r="F126" s="127"/>
      <c r="G126" s="50"/>
      <c r="H126" s="10"/>
      <c r="I126" s="10"/>
      <c r="J126" s="10"/>
      <c r="K126" s="10"/>
      <c r="L126" s="10"/>
      <c r="M126" s="39"/>
      <c r="N126" s="33">
        <f t="shared" si="31"/>
        <v>0</v>
      </c>
      <c r="O126" s="52" t="b">
        <f>IF(AND(E126="CLIENT S+L",F126="HUILE"),(S126*3333.33+(VLOOKUP(H126,'BASE '!$I$112:$J$142,2,0)))-((S126*3333.33)*G126),IF(AND(E126="CLIENT S+L",F126="LAIT"),((S126*952.4)-(S126*952.4)*G126),IF(E126="CLIENT O","OFFERT",IF(AND(F126="HUILE",E126="CLIENT L"),(((VLOOKUP(H126,'BASE '!$I$112:$J$142,2,0))+(VLOOKUP(S126,'BASE '!#REF!,2,0)))),IF(AND(F126="LAIT",E126="CLIENT L"),(S126*952.4),IF(AND(F126="HUILE",E126="CLIENT D"),(S126*3809.53+(VLOOKUP(H126,'BASE '!$I$112:$J$142,2,0))),IF(AND(F126="LAIT",E126="CLIENT D"),(S126*952.4),IF(AND(F126="HUILE",E126="CLIENT S+D"),((S126*3809.53+(VLOOKUP(H126,'BASE '!$I$112:$J$142,2,0)))-((S126*3809.53)*G126)),IF(AND(F126="LAIT",E126="CLIENT S+D"),((S126*952.4)-((S126*952.4)*G126)),IF(AND(E126="CLIENT S",F126="LAIT"),((S126*952.4)-((S126*952.4)*G126)),IF(AND(F126="HUILE",E126="CLIENT S"),(VLOOKUP(H126,'BASE '!$I$112:$J$142,2,0)+(VLOOKUP(S126,'BASE '!#REF!,2,0)))-(G126*((VLOOKUP(S126,'BASE '!#REF!,2,0)+(VLOOKUP(H126,'BASE '!$I$112:$J$142,2,0))))))))))))))))</f>
        <v>0</v>
      </c>
      <c r="P126" s="52" t="b">
        <f t="shared" si="32"/>
        <v>0</v>
      </c>
      <c r="Q126" s="53" t="b">
        <f t="shared" si="33"/>
        <v>0</v>
      </c>
      <c r="R126" s="152" t="s">
        <v>175</v>
      </c>
      <c r="S126" s="184">
        <f t="shared" si="35"/>
        <v>0</v>
      </c>
      <c r="T126" s="124"/>
      <c r="U126" s="41" t="s">
        <v>175</v>
      </c>
      <c r="V126" s="70" t="e">
        <f>VLOOKUP(U126,'BASE '!$A$4:$H$144,2,0)</f>
        <v>#N/A</v>
      </c>
      <c r="W126" s="159"/>
      <c r="X126" s="159"/>
      <c r="Y126" s="160"/>
      <c r="Z126" s="158" t="e">
        <f>VLOOKUP(U126,'BASE '!$A$4:$H$144,3,0)</f>
        <v>#N/A</v>
      </c>
      <c r="AA126" s="94" t="e">
        <f t="shared" si="34"/>
        <v>#N/A</v>
      </c>
      <c r="AB126" s="95" t="e">
        <f>VLOOKUP(U126,'BASE '!$A$4:$H$144,6,0)*Y126/100</f>
        <v>#N/A</v>
      </c>
      <c r="AC126" s="95" t="e">
        <f>VLOOKUP(U126,'BASE '!$A$4:$H$144,7,0)*Y126/100</f>
        <v>#N/A</v>
      </c>
      <c r="AD126" s="95" t="e">
        <f>VLOOKUP(U126,'BASE '!$A$4:$H$144,8,0)*Y126/100</f>
        <v>#N/A</v>
      </c>
      <c r="AE126" s="96" t="e">
        <f t="shared" si="36"/>
        <v>#N/A</v>
      </c>
      <c r="DN126" s="116" t="e">
        <f>(($I$5*#REF!)/100)+((#REF!*$J$5)/100)+(($K$5*#REF!)/100)+($L$5*#REF!)+($M$5*#REF!)</f>
        <v>#REF!</v>
      </c>
    </row>
    <row r="127" spans="2:118" x14ac:dyDescent="0.3">
      <c r="B127" s="64"/>
      <c r="C127" s="148"/>
      <c r="D127" s="109"/>
      <c r="E127" s="63"/>
      <c r="F127" s="127"/>
      <c r="G127" s="50"/>
      <c r="H127" s="10"/>
      <c r="I127" s="10"/>
      <c r="J127" s="10"/>
      <c r="K127" s="10"/>
      <c r="L127" s="10"/>
      <c r="M127" s="39"/>
      <c r="N127" s="33">
        <f t="shared" si="31"/>
        <v>0</v>
      </c>
      <c r="O127" s="52" t="b">
        <f>IF(AND(E127="CLIENT S+L",F127="HUILE"),(S127*3333.33+(VLOOKUP(H127,'BASE '!$I$112:$J$142,2,0)))-((S127*3333.33)*G127),IF(AND(E127="CLIENT S+L",F127="LAIT"),((S127*952.4)-(S127*952.4)*G127),IF(E127="CLIENT O","OFFERT",IF(AND(F127="HUILE",E127="CLIENT L"),(((VLOOKUP(H127,'BASE '!$I$112:$J$142,2,0))+(VLOOKUP(S127,'BASE '!#REF!,2,0)))),IF(AND(F127="LAIT",E127="CLIENT L"),(S127*952.4),IF(AND(F127="HUILE",E127="CLIENT D"),(S127*3809.53+(VLOOKUP(H127,'BASE '!$I$112:$J$142,2,0))),IF(AND(F127="LAIT",E127="CLIENT D"),(S127*952.4),IF(AND(F127="HUILE",E127="CLIENT S+D"),((S127*3809.53+(VLOOKUP(H127,'BASE '!$I$112:$J$142,2,0)))-((S127*3809.53)*G127)),IF(AND(F127="LAIT",E127="CLIENT S+D"),((S127*952.4)-((S127*952.4)*G127)),IF(AND(E127="CLIENT S",F127="LAIT"),((S127*952.4)-((S127*952.4)*G127)),IF(AND(F127="HUILE",E127="CLIENT S"),(VLOOKUP(H127,'BASE '!$I$112:$J$142,2,0)+(VLOOKUP(S127,'BASE '!#REF!,2,0)))-(G127*((VLOOKUP(S127,'BASE '!#REF!,2,0)+(VLOOKUP(H127,'BASE '!$I$112:$J$142,2,0))))))))))))))))</f>
        <v>0</v>
      </c>
      <c r="P127" s="52" t="b">
        <f t="shared" si="32"/>
        <v>0</v>
      </c>
      <c r="Q127" s="53" t="b">
        <f t="shared" si="33"/>
        <v>0</v>
      </c>
      <c r="R127" s="152" t="s">
        <v>175</v>
      </c>
      <c r="S127" s="184">
        <f t="shared" si="35"/>
        <v>0</v>
      </c>
      <c r="T127" s="124"/>
      <c r="U127" s="41" t="s">
        <v>175</v>
      </c>
      <c r="V127" s="70" t="e">
        <f>VLOOKUP(U127,'BASE '!$A$4:$H$144,2,0)</f>
        <v>#N/A</v>
      </c>
      <c r="W127" s="159"/>
      <c r="X127" s="159"/>
      <c r="Y127" s="160"/>
      <c r="Z127" s="158" t="e">
        <f>VLOOKUP(U127,'BASE '!$A$4:$H$144,3,0)</f>
        <v>#N/A</v>
      </c>
      <c r="AA127" s="94" t="e">
        <f t="shared" si="34"/>
        <v>#N/A</v>
      </c>
      <c r="AB127" s="95" t="e">
        <f>VLOOKUP(U127,'BASE '!$A$4:$H$144,6,0)*Y127/100</f>
        <v>#N/A</v>
      </c>
      <c r="AC127" s="95" t="e">
        <f>VLOOKUP(U127,'BASE '!$A$4:$H$144,7,0)*Y127/100</f>
        <v>#N/A</v>
      </c>
      <c r="AD127" s="95" t="e">
        <f>VLOOKUP(U127,'BASE '!$A$4:$H$144,8,0)*Y127/100</f>
        <v>#N/A</v>
      </c>
      <c r="AE127" s="96" t="e">
        <f t="shared" si="36"/>
        <v>#N/A</v>
      </c>
      <c r="DN127" s="116" t="e">
        <f>(($I$5*#REF!)/100)+((#REF!*$J$5)/100)+(($K$5*#REF!)/100)+($L$5*#REF!)+($M$5*#REF!)</f>
        <v>#REF!</v>
      </c>
    </row>
    <row r="128" spans="2:118" x14ac:dyDescent="0.3">
      <c r="B128" s="64"/>
      <c r="C128" s="148"/>
      <c r="D128" s="109"/>
      <c r="E128" s="63"/>
      <c r="F128" s="127"/>
      <c r="G128" s="50"/>
      <c r="H128" s="10"/>
      <c r="I128" s="10"/>
      <c r="J128" s="10"/>
      <c r="K128" s="10"/>
      <c r="L128" s="10"/>
      <c r="M128" s="39"/>
      <c r="N128" s="33">
        <f t="shared" si="31"/>
        <v>0</v>
      </c>
      <c r="O128" s="52" t="b">
        <f>IF(AND(E128="CLIENT S+L",F128="HUILE"),(S128*3333.33+(VLOOKUP(H128,'BASE '!$I$112:$J$142,2,0)))-((S128*3333.33)*G128),IF(AND(E128="CLIENT S+L",F128="LAIT"),((S128*952.4)-(S128*952.4)*G128),IF(E128="CLIENT O","OFFERT",IF(AND(F128="HUILE",E128="CLIENT L"),(((VLOOKUP(H128,'BASE '!$I$112:$J$142,2,0))+(VLOOKUP(S128,'BASE '!#REF!,2,0)))),IF(AND(F128="LAIT",E128="CLIENT L"),(S128*952.4),IF(AND(F128="HUILE",E128="CLIENT D"),(S128*3809.53+(VLOOKUP(H128,'BASE '!$I$112:$J$142,2,0))),IF(AND(F128="LAIT",E128="CLIENT D"),(S128*952.4),IF(AND(F128="HUILE",E128="CLIENT S+D"),((S128*3809.53+(VLOOKUP(H128,'BASE '!$I$112:$J$142,2,0)))-((S128*3809.53)*G128)),IF(AND(F128="LAIT",E128="CLIENT S+D"),((S128*952.4)-((S128*952.4)*G128)),IF(AND(E128="CLIENT S",F128="LAIT"),((S128*952.4)-((S128*952.4)*G128)),IF(AND(F128="HUILE",E128="CLIENT S"),(VLOOKUP(H128,'BASE '!$I$112:$J$142,2,0)+(VLOOKUP(S128,'BASE '!#REF!,2,0)))-(G128*((VLOOKUP(S128,'BASE '!#REF!,2,0)+(VLOOKUP(H128,'BASE '!$I$112:$J$142,2,0))))))))))))))))</f>
        <v>0</v>
      </c>
      <c r="P128" s="52" t="b">
        <f t="shared" si="32"/>
        <v>0</v>
      </c>
      <c r="Q128" s="53" t="b">
        <f t="shared" si="33"/>
        <v>0</v>
      </c>
      <c r="R128" s="152" t="s">
        <v>175</v>
      </c>
      <c r="S128" s="184">
        <f t="shared" si="35"/>
        <v>0</v>
      </c>
      <c r="T128" s="124"/>
      <c r="U128" s="41" t="s">
        <v>175</v>
      </c>
      <c r="V128" s="70" t="e">
        <f>VLOOKUP(U128,'BASE '!$A$4:$H$144,2,0)</f>
        <v>#N/A</v>
      </c>
      <c r="W128" s="159"/>
      <c r="X128" s="159"/>
      <c r="Y128" s="160"/>
      <c r="Z128" s="158" t="e">
        <f>VLOOKUP(U128,'BASE '!$A$4:$H$144,3,0)</f>
        <v>#N/A</v>
      </c>
      <c r="AA128" s="94" t="e">
        <f t="shared" si="34"/>
        <v>#N/A</v>
      </c>
      <c r="AB128" s="95" t="e">
        <f>VLOOKUP(U128,'BASE '!$A$4:$H$144,6,0)*Y128/100</f>
        <v>#N/A</v>
      </c>
      <c r="AC128" s="95" t="e">
        <f>VLOOKUP(U128,'BASE '!$A$4:$H$144,7,0)*Y128/100</f>
        <v>#N/A</v>
      </c>
      <c r="AD128" s="95" t="e">
        <f>VLOOKUP(U128,'BASE '!$A$4:$H$144,8,0)*Y128/100</f>
        <v>#N/A</v>
      </c>
      <c r="AE128" s="96" t="e">
        <f t="shared" si="36"/>
        <v>#N/A</v>
      </c>
      <c r="DN128" s="116" t="e">
        <f>(($I$5*#REF!)/100)+((#REF!*$J$5)/100)+(($K$5*#REF!)/100)+($L$5*#REF!)+($M$5*#REF!)</f>
        <v>#REF!</v>
      </c>
    </row>
    <row r="129" spans="2:118" x14ac:dyDescent="0.3">
      <c r="B129" s="64"/>
      <c r="C129" s="148"/>
      <c r="D129" s="109"/>
      <c r="E129" s="63"/>
      <c r="F129" s="127"/>
      <c r="G129" s="50"/>
      <c r="H129" s="10"/>
      <c r="I129" s="10"/>
      <c r="J129" s="10"/>
      <c r="K129" s="10"/>
      <c r="L129" s="10"/>
      <c r="M129" s="39"/>
      <c r="N129" s="33">
        <f t="shared" si="31"/>
        <v>0</v>
      </c>
      <c r="O129" s="52" t="b">
        <f>IF(AND(E129="CLIENT S+L",F129="HUILE"),(S129*3333.33+(VLOOKUP(H129,'BASE '!$I$112:$J$142,2,0)))-((S129*3333.33)*G129),IF(AND(E129="CLIENT S+L",F129="LAIT"),((S129*952.4)-(S129*952.4)*G129),IF(E129="CLIENT O","OFFERT",IF(AND(F129="HUILE",E129="CLIENT L"),(((VLOOKUP(H129,'BASE '!$I$112:$J$142,2,0))+(VLOOKUP(S129,'BASE '!#REF!,2,0)))),IF(AND(F129="LAIT",E129="CLIENT L"),(S129*952.4),IF(AND(F129="HUILE",E129="CLIENT D"),(S129*3809.53+(VLOOKUP(H129,'BASE '!$I$112:$J$142,2,0))),IF(AND(F129="LAIT",E129="CLIENT D"),(S129*952.4),IF(AND(F129="HUILE",E129="CLIENT S+D"),((S129*3809.53+(VLOOKUP(H129,'BASE '!$I$112:$J$142,2,0)))-((S129*3809.53)*G129)),IF(AND(F129="LAIT",E129="CLIENT S+D"),((S129*952.4)-((S129*952.4)*G129)),IF(AND(E129="CLIENT S",F129="LAIT"),((S129*952.4)-((S129*952.4)*G129)),IF(AND(F129="HUILE",E129="CLIENT S"),(VLOOKUP(H129,'BASE '!$I$112:$J$142,2,0)+(VLOOKUP(S129,'BASE '!#REF!,2,0)))-(G129*((VLOOKUP(S129,'BASE '!#REF!,2,0)+(VLOOKUP(H129,'BASE '!$I$112:$J$142,2,0))))))))))))))))</f>
        <v>0</v>
      </c>
      <c r="P129" s="52" t="b">
        <f t="shared" si="32"/>
        <v>0</v>
      </c>
      <c r="Q129" s="53" t="b">
        <f t="shared" si="33"/>
        <v>0</v>
      </c>
      <c r="R129" s="152" t="s">
        <v>175</v>
      </c>
      <c r="S129" s="184">
        <f t="shared" si="35"/>
        <v>0</v>
      </c>
      <c r="T129" s="124"/>
      <c r="U129" s="41" t="s">
        <v>175</v>
      </c>
      <c r="V129" s="70" t="e">
        <f>VLOOKUP(U129,'BASE '!$A$4:$H$144,2,0)</f>
        <v>#N/A</v>
      </c>
      <c r="W129" s="159"/>
      <c r="X129" s="159"/>
      <c r="Y129" s="160"/>
      <c r="Z129" s="158" t="e">
        <f>VLOOKUP(U129,'BASE '!$A$4:$H$144,3,0)</f>
        <v>#N/A</v>
      </c>
      <c r="AA129" s="94" t="e">
        <f t="shared" si="34"/>
        <v>#N/A</v>
      </c>
      <c r="AB129" s="95" t="e">
        <f>VLOOKUP(U129,'BASE '!$A$4:$H$144,6,0)*Y129/100</f>
        <v>#N/A</v>
      </c>
      <c r="AC129" s="95" t="e">
        <f>VLOOKUP(U129,'BASE '!$A$4:$H$144,7,0)*Y129/100</f>
        <v>#N/A</v>
      </c>
      <c r="AD129" s="95" t="e">
        <f>VLOOKUP(U129,'BASE '!$A$4:$H$144,8,0)*Y129/100</f>
        <v>#N/A</v>
      </c>
      <c r="AE129" s="96" t="e">
        <f t="shared" si="36"/>
        <v>#N/A</v>
      </c>
      <c r="DN129" s="116" t="e">
        <f>(($I$5*#REF!)/100)+((#REF!*$J$5)/100)+(($K$5*#REF!)/100)+($L$5*#REF!)+($M$5*#REF!)</f>
        <v>#REF!</v>
      </c>
    </row>
    <row r="130" spans="2:118" x14ac:dyDescent="0.3">
      <c r="B130" s="64"/>
      <c r="C130" s="148"/>
      <c r="D130" s="109"/>
      <c r="E130" s="63"/>
      <c r="F130" s="127"/>
      <c r="G130" s="50"/>
      <c r="H130" s="10"/>
      <c r="I130" s="10"/>
      <c r="J130" s="10"/>
      <c r="K130" s="10"/>
      <c r="L130" s="10"/>
      <c r="M130" s="39"/>
      <c r="N130" s="33">
        <f t="shared" si="31"/>
        <v>0</v>
      </c>
      <c r="O130" s="52" t="b">
        <f>IF(AND(E130="CLIENT S+L",F130="HUILE"),(S130*3333.33+(VLOOKUP(H130,'BASE '!$I$112:$J$142,2,0)))-((S130*3333.33)*G130),IF(AND(E130="CLIENT S+L",F130="LAIT"),((S130*952.4)-(S130*952.4)*G130),IF(E130="CLIENT O","OFFERT",IF(AND(F130="HUILE",E130="CLIENT L"),(((VLOOKUP(H130,'BASE '!$I$112:$J$142,2,0))+(VLOOKUP(S130,'BASE '!#REF!,2,0)))),IF(AND(F130="LAIT",E130="CLIENT L"),(S130*952.4),IF(AND(F130="HUILE",E130="CLIENT D"),(S130*3809.53+(VLOOKUP(H130,'BASE '!$I$112:$J$142,2,0))),IF(AND(F130="LAIT",E130="CLIENT D"),(S130*952.4),IF(AND(F130="HUILE",E130="CLIENT S+D"),((S130*3809.53+(VLOOKUP(H130,'BASE '!$I$112:$J$142,2,0)))-((S130*3809.53)*G130)),IF(AND(F130="LAIT",E130="CLIENT S+D"),((S130*952.4)-((S130*952.4)*G130)),IF(AND(E130="CLIENT S",F130="LAIT"),((S130*952.4)-((S130*952.4)*G130)),IF(AND(F130="HUILE",E130="CLIENT S"),(VLOOKUP(H130,'BASE '!$I$112:$J$142,2,0)+(VLOOKUP(S130,'BASE '!#REF!,2,0)))-(G130*((VLOOKUP(S130,'BASE '!#REF!,2,0)+(VLOOKUP(H130,'BASE '!$I$112:$J$142,2,0))))))))))))))))</f>
        <v>0</v>
      </c>
      <c r="P130" s="52" t="b">
        <f t="shared" si="32"/>
        <v>0</v>
      </c>
      <c r="Q130" s="53" t="b">
        <f t="shared" si="33"/>
        <v>0</v>
      </c>
      <c r="R130" s="152" t="s">
        <v>175</v>
      </c>
      <c r="S130" s="184">
        <f t="shared" si="35"/>
        <v>0</v>
      </c>
      <c r="T130" s="124"/>
      <c r="U130" s="41" t="s">
        <v>175</v>
      </c>
      <c r="V130" s="70" t="e">
        <f>VLOOKUP(U130,'BASE '!$A$4:$H$144,2,0)</f>
        <v>#N/A</v>
      </c>
      <c r="W130" s="159"/>
      <c r="X130" s="159"/>
      <c r="Y130" s="160"/>
      <c r="Z130" s="158" t="e">
        <f>VLOOKUP(U130,'BASE '!$A$4:$H$144,3,0)</f>
        <v>#N/A</v>
      </c>
      <c r="AA130" s="94" t="e">
        <f t="shared" si="34"/>
        <v>#N/A</v>
      </c>
      <c r="AB130" s="95" t="e">
        <f>VLOOKUP(U130,'BASE '!$A$4:$H$144,6,0)*Y130/100</f>
        <v>#N/A</v>
      </c>
      <c r="AC130" s="95" t="e">
        <f>VLOOKUP(U130,'BASE '!$A$4:$H$144,7,0)*Y130/100</f>
        <v>#N/A</v>
      </c>
      <c r="AD130" s="95" t="e">
        <f>VLOOKUP(U130,'BASE '!$A$4:$H$144,8,0)*Y130/100</f>
        <v>#N/A</v>
      </c>
      <c r="AE130" s="96" t="e">
        <f t="shared" si="36"/>
        <v>#N/A</v>
      </c>
      <c r="DN130" s="116" t="e">
        <f>(($I$5*#REF!)/100)+((#REF!*$J$5)/100)+(($K$5*#REF!)/100)+($L$5*#REF!)+($M$5*#REF!)</f>
        <v>#REF!</v>
      </c>
    </row>
    <row r="131" spans="2:118" x14ac:dyDescent="0.3">
      <c r="B131" s="64"/>
      <c r="C131" s="148"/>
      <c r="D131" s="109"/>
      <c r="E131" s="63"/>
      <c r="F131" s="127"/>
      <c r="G131" s="50"/>
      <c r="H131" s="10"/>
      <c r="I131" s="10"/>
      <c r="J131" s="10"/>
      <c r="K131" s="10"/>
      <c r="L131" s="10"/>
      <c r="M131" s="39"/>
      <c r="N131" s="33">
        <f t="shared" si="31"/>
        <v>0</v>
      </c>
      <c r="O131" s="52" t="b">
        <f>IF(AND(E131="CLIENT S+L",F131="HUILE"),(S131*3333.33+(VLOOKUP(H131,'BASE '!$I$112:$J$142,2,0)))-((S131*3333.33)*G131),IF(AND(E131="CLIENT S+L",F131="LAIT"),((S131*952.4)-(S131*952.4)*G131),IF(E131="CLIENT O","OFFERT",IF(AND(F131="HUILE",E131="CLIENT L"),(((VLOOKUP(H131,'BASE '!$I$112:$J$142,2,0))+(VLOOKUP(S131,'BASE '!#REF!,2,0)))),IF(AND(F131="LAIT",E131="CLIENT L"),(S131*952.4),IF(AND(F131="HUILE",E131="CLIENT D"),(S131*3809.53+(VLOOKUP(H131,'BASE '!$I$112:$J$142,2,0))),IF(AND(F131="LAIT",E131="CLIENT D"),(S131*952.4),IF(AND(F131="HUILE",E131="CLIENT S+D"),((S131*3809.53+(VLOOKUP(H131,'BASE '!$I$112:$J$142,2,0)))-((S131*3809.53)*G131)),IF(AND(F131="LAIT",E131="CLIENT S+D"),((S131*952.4)-((S131*952.4)*G131)),IF(AND(E131="CLIENT S",F131="LAIT"),((S131*952.4)-((S131*952.4)*G131)),IF(AND(F131="HUILE",E131="CLIENT S"),(VLOOKUP(H131,'BASE '!$I$112:$J$142,2,0)+(VLOOKUP(S131,'BASE '!#REF!,2,0)))-(G131*((VLOOKUP(S131,'BASE '!#REF!,2,0)+(VLOOKUP(H131,'BASE '!$I$112:$J$142,2,0))))))))))))))))</f>
        <v>0</v>
      </c>
      <c r="P131" s="52" t="b">
        <f t="shared" si="32"/>
        <v>0</v>
      </c>
      <c r="Q131" s="53" t="b">
        <f t="shared" si="33"/>
        <v>0</v>
      </c>
      <c r="R131" s="152" t="s">
        <v>175</v>
      </c>
      <c r="S131" s="184">
        <f t="shared" si="35"/>
        <v>0</v>
      </c>
      <c r="T131" s="124"/>
      <c r="U131" s="41" t="s">
        <v>175</v>
      </c>
      <c r="V131" s="70" t="e">
        <f>VLOOKUP(U131,'BASE '!$A$4:$H$144,2,0)</f>
        <v>#N/A</v>
      </c>
      <c r="W131" s="159"/>
      <c r="X131" s="159"/>
      <c r="Y131" s="160"/>
      <c r="Z131" s="158" t="e">
        <f>VLOOKUP(U131,'BASE '!$A$4:$H$144,3,0)</f>
        <v>#N/A</v>
      </c>
      <c r="AA131" s="94" t="e">
        <f t="shared" si="34"/>
        <v>#N/A</v>
      </c>
      <c r="AB131" s="95" t="e">
        <f>VLOOKUP(U131,'BASE '!$A$4:$H$144,6,0)*Y131/100</f>
        <v>#N/A</v>
      </c>
      <c r="AC131" s="95" t="e">
        <f>VLOOKUP(U131,'BASE '!$A$4:$H$144,7,0)*Y131/100</f>
        <v>#N/A</v>
      </c>
      <c r="AD131" s="95" t="e">
        <f>VLOOKUP(U131,'BASE '!$A$4:$H$144,8,0)*Y131/100</f>
        <v>#N/A</v>
      </c>
      <c r="AE131" s="96" t="e">
        <f t="shared" si="36"/>
        <v>#N/A</v>
      </c>
      <c r="DN131" s="116" t="e">
        <f>(($I$5*#REF!)/100)+((#REF!*$J$5)/100)+(($K$5*#REF!)/100)+($L$5*#REF!)+($M$5*#REF!)</f>
        <v>#REF!</v>
      </c>
    </row>
    <row r="132" spans="2:118" x14ac:dyDescent="0.3">
      <c r="B132" s="64"/>
      <c r="C132" s="148"/>
      <c r="D132" s="109"/>
      <c r="E132" s="63"/>
      <c r="F132" s="127"/>
      <c r="G132" s="50"/>
      <c r="H132" s="10"/>
      <c r="I132" s="10"/>
      <c r="J132" s="10"/>
      <c r="K132" s="10"/>
      <c r="L132" s="10"/>
      <c r="M132" s="39"/>
      <c r="N132" s="33">
        <f t="shared" si="31"/>
        <v>0</v>
      </c>
      <c r="O132" s="52" t="b">
        <f>IF(AND(E132="CLIENT S+L",F132="HUILE"),(S132*3333.33+(VLOOKUP(H132,'BASE '!$I$112:$J$142,2,0)))-((S132*3333.33)*G132),IF(AND(E132="CLIENT S+L",F132="LAIT"),((S132*952.4)-(S132*952.4)*G132),IF(E132="CLIENT O","OFFERT",IF(AND(F132="HUILE",E132="CLIENT L"),(((VLOOKUP(H132,'BASE '!$I$112:$J$142,2,0))+(VLOOKUP(S132,'BASE '!#REF!,2,0)))),IF(AND(F132="LAIT",E132="CLIENT L"),(S132*952.4),IF(AND(F132="HUILE",E132="CLIENT D"),(S132*3809.53+(VLOOKUP(H132,'BASE '!$I$112:$J$142,2,0))),IF(AND(F132="LAIT",E132="CLIENT D"),(S132*952.4),IF(AND(F132="HUILE",E132="CLIENT S+D"),((S132*3809.53+(VLOOKUP(H132,'BASE '!$I$112:$J$142,2,0)))-((S132*3809.53)*G132)),IF(AND(F132="LAIT",E132="CLIENT S+D"),((S132*952.4)-((S132*952.4)*G132)),IF(AND(E132="CLIENT S",F132="LAIT"),((S132*952.4)-((S132*952.4)*G132)),IF(AND(F132="HUILE",E132="CLIENT S"),(VLOOKUP(H132,'BASE '!$I$112:$J$142,2,0)+(VLOOKUP(S132,'BASE '!#REF!,2,0)))-(G132*((VLOOKUP(S132,'BASE '!#REF!,2,0)+(VLOOKUP(H132,'BASE '!$I$112:$J$142,2,0))))))))))))))))</f>
        <v>0</v>
      </c>
      <c r="P132" s="52" t="b">
        <f t="shared" si="32"/>
        <v>0</v>
      </c>
      <c r="Q132" s="53" t="b">
        <f t="shared" si="33"/>
        <v>0</v>
      </c>
      <c r="R132" s="152" t="s">
        <v>175</v>
      </c>
      <c r="S132" s="184">
        <f t="shared" si="35"/>
        <v>0</v>
      </c>
      <c r="T132" s="124"/>
      <c r="U132" s="41" t="s">
        <v>175</v>
      </c>
      <c r="V132" s="70" t="e">
        <f>VLOOKUP(U132,'BASE '!$A$4:$H$144,2,0)</f>
        <v>#N/A</v>
      </c>
      <c r="W132" s="159"/>
      <c r="X132" s="159"/>
      <c r="Y132" s="160"/>
      <c r="Z132" s="158" t="e">
        <f>VLOOKUP(U132,'BASE '!$A$4:$H$144,3,0)</f>
        <v>#N/A</v>
      </c>
      <c r="AA132" s="94" t="e">
        <f t="shared" si="34"/>
        <v>#N/A</v>
      </c>
      <c r="AB132" s="95" t="e">
        <f>VLOOKUP(U132,'BASE '!$A$4:$H$144,6,0)*Y132/100</f>
        <v>#N/A</v>
      </c>
      <c r="AC132" s="95" t="e">
        <f>VLOOKUP(U132,'BASE '!$A$4:$H$144,7,0)*Y132/100</f>
        <v>#N/A</v>
      </c>
      <c r="AD132" s="95" t="e">
        <f>VLOOKUP(U132,'BASE '!$A$4:$H$144,8,0)*Y132/100</f>
        <v>#N/A</v>
      </c>
      <c r="AE132" s="96" t="e">
        <f t="shared" si="36"/>
        <v>#N/A</v>
      </c>
      <c r="DN132" s="116" t="e">
        <f>(($I$5*#REF!)/100)+((#REF!*$J$5)/100)+(($K$5*#REF!)/100)+($L$5*#REF!)+($M$5*#REF!)</f>
        <v>#REF!</v>
      </c>
    </row>
    <row r="133" spans="2:118" x14ac:dyDescent="0.3">
      <c r="B133" s="64"/>
      <c r="C133" s="148"/>
      <c r="D133" s="109"/>
      <c r="E133" s="63"/>
      <c r="F133" s="127"/>
      <c r="G133" s="50"/>
      <c r="H133" s="10"/>
      <c r="I133" s="10"/>
      <c r="J133" s="10"/>
      <c r="K133" s="10"/>
      <c r="L133" s="10"/>
      <c r="M133" s="39"/>
      <c r="N133" s="33">
        <f t="shared" si="31"/>
        <v>0</v>
      </c>
      <c r="O133" s="52" t="b">
        <f>IF(AND(E133="CLIENT S+L",F133="HUILE"),(S133*3333.33+(VLOOKUP(H133,'BASE '!$I$112:$J$142,2,0)))-((S133*3333.33)*G133),IF(AND(E133="CLIENT S+L",F133="LAIT"),((S133*952.4)-(S133*952.4)*G133),IF(E133="CLIENT O","OFFERT",IF(AND(F133="HUILE",E133="CLIENT L"),(((VLOOKUP(H133,'BASE '!$I$112:$J$142,2,0))+(VLOOKUP(S133,'BASE '!#REF!,2,0)))),IF(AND(F133="LAIT",E133="CLIENT L"),(S133*952.4),IF(AND(F133="HUILE",E133="CLIENT D"),(S133*3809.53+(VLOOKUP(H133,'BASE '!$I$112:$J$142,2,0))),IF(AND(F133="LAIT",E133="CLIENT D"),(S133*952.4),IF(AND(F133="HUILE",E133="CLIENT S+D"),((S133*3809.53+(VLOOKUP(H133,'BASE '!$I$112:$J$142,2,0)))-((S133*3809.53)*G133)),IF(AND(F133="LAIT",E133="CLIENT S+D"),((S133*952.4)-((S133*952.4)*G133)),IF(AND(E133="CLIENT S",F133="LAIT"),((S133*952.4)-((S133*952.4)*G133)),IF(AND(F133="HUILE",E133="CLIENT S"),(VLOOKUP(H133,'BASE '!$I$112:$J$142,2,0)+(VLOOKUP(S133,'BASE '!#REF!,2,0)))-(G133*((VLOOKUP(S133,'BASE '!#REF!,2,0)+(VLOOKUP(H133,'BASE '!$I$112:$J$142,2,0))))))))))))))))</f>
        <v>0</v>
      </c>
      <c r="P133" s="52" t="b">
        <f t="shared" si="32"/>
        <v>0</v>
      </c>
      <c r="Q133" s="53" t="b">
        <f t="shared" si="33"/>
        <v>0</v>
      </c>
      <c r="R133" s="152" t="s">
        <v>175</v>
      </c>
      <c r="S133" s="184">
        <f t="shared" si="35"/>
        <v>0</v>
      </c>
      <c r="T133" s="124"/>
      <c r="U133" s="41" t="s">
        <v>175</v>
      </c>
      <c r="V133" s="70" t="e">
        <f>VLOOKUP(U133,'BASE '!$A$4:$H$144,2,0)</f>
        <v>#N/A</v>
      </c>
      <c r="W133" s="159"/>
      <c r="X133" s="159"/>
      <c r="Y133" s="160"/>
      <c r="Z133" s="158" t="e">
        <f>VLOOKUP(U133,'BASE '!$A$4:$H$144,3,0)</f>
        <v>#N/A</v>
      </c>
      <c r="AA133" s="94" t="e">
        <f t="shared" si="34"/>
        <v>#N/A</v>
      </c>
      <c r="AB133" s="95" t="e">
        <f>VLOOKUP(U133,'BASE '!$A$4:$H$144,6,0)*Y133/100</f>
        <v>#N/A</v>
      </c>
      <c r="AC133" s="95" t="e">
        <f>VLOOKUP(U133,'BASE '!$A$4:$H$144,7,0)*Y133/100</f>
        <v>#N/A</v>
      </c>
      <c r="AD133" s="95" t="e">
        <f>VLOOKUP(U133,'BASE '!$A$4:$H$144,8,0)*Y133/100</f>
        <v>#N/A</v>
      </c>
      <c r="AE133" s="96" t="e">
        <f t="shared" si="36"/>
        <v>#N/A</v>
      </c>
      <c r="DN133" s="116" t="e">
        <f>(($I$5*#REF!)/100)+((#REF!*$J$5)/100)+(($K$5*#REF!)/100)+($L$5*#REF!)+($M$5*#REF!)</f>
        <v>#REF!</v>
      </c>
    </row>
    <row r="134" spans="2:118" x14ac:dyDescent="0.3">
      <c r="B134" s="64"/>
      <c r="C134" s="148"/>
      <c r="D134" s="109"/>
      <c r="E134" s="63"/>
      <c r="F134" s="127"/>
      <c r="G134" s="50"/>
      <c r="H134" s="10"/>
      <c r="I134" s="10"/>
      <c r="J134" s="10"/>
      <c r="K134" s="10"/>
      <c r="L134" s="10"/>
      <c r="M134" s="39"/>
      <c r="N134" s="33">
        <f t="shared" ref="N134:N165" si="37">((($H$5*H134)/100)+($I$5*I134)/100)+((J134*$J$5)/100)+(($K$5*K134)/100)+($L$5*L134)+($M$5*M134)</f>
        <v>0</v>
      </c>
      <c r="O134" s="52" t="b">
        <f>IF(AND(E134="CLIENT S+L",F134="HUILE"),(S134*3333.33+(VLOOKUP(H134,'BASE '!$I$112:$J$142,2,0)))-((S134*3333.33)*G134),IF(AND(E134="CLIENT S+L",F134="LAIT"),((S134*952.4)-(S134*952.4)*G134),IF(E134="CLIENT O","OFFERT",IF(AND(F134="HUILE",E134="CLIENT L"),(((VLOOKUP(H134,'BASE '!$I$112:$J$142,2,0))+(VLOOKUP(S134,'BASE '!#REF!,2,0)))),IF(AND(F134="LAIT",E134="CLIENT L"),(S134*952.4),IF(AND(F134="HUILE",E134="CLIENT D"),(S134*3809.53+(VLOOKUP(H134,'BASE '!$I$112:$J$142,2,0))),IF(AND(F134="LAIT",E134="CLIENT D"),(S134*952.4),IF(AND(F134="HUILE",E134="CLIENT S+D"),((S134*3809.53+(VLOOKUP(H134,'BASE '!$I$112:$J$142,2,0)))-((S134*3809.53)*G134)),IF(AND(F134="LAIT",E134="CLIENT S+D"),((S134*952.4)-((S134*952.4)*G134)),IF(AND(E134="CLIENT S",F134="LAIT"),((S134*952.4)-((S134*952.4)*G134)),IF(AND(F134="HUILE",E134="CLIENT S"),(VLOOKUP(H134,'BASE '!$I$112:$J$142,2,0)+(VLOOKUP(S134,'BASE '!#REF!,2,0)))-(G134*((VLOOKUP(S134,'BASE '!#REF!,2,0)+(VLOOKUP(H134,'BASE '!$I$112:$J$142,2,0))))))))))))))))</f>
        <v>0</v>
      </c>
      <c r="P134" s="52" t="b">
        <f t="shared" ref="P134:P165" si="38">IF(E134="CLIENT S+L",(O134*0.05),IF(E134="CLIENT S",(O134*0.05),IF(E134="CLIENT D",(O134*5/100),IF(E134="CLIENT L",(O134*5)/100,IF(E134="CLIENT S+D",(O134*0.05),IF(E134="CLIENT O",O134))))))</f>
        <v>0</v>
      </c>
      <c r="Q134" s="53" t="b">
        <f t="shared" ref="Q134:Q165" si="39">IF(E134="CLIENT S+L",(O134+P134),IF(E134="CLIENT D",O134+P134,IF(E134="CLIENT S",(O134+P134),IF(E134="CLIENT L",O134+P134,IF(E134="CLIENT S+D",(O134+P134),IF(E134="CLIENT O",P134))))))</f>
        <v>0</v>
      </c>
      <c r="R134" s="152" t="s">
        <v>175</v>
      </c>
      <c r="S134" s="184">
        <f t="shared" si="35"/>
        <v>0</v>
      </c>
      <c r="T134" s="124"/>
      <c r="U134" s="41" t="s">
        <v>175</v>
      </c>
      <c r="V134" s="70" t="e">
        <f>VLOOKUP(U134,'BASE '!$A$4:$H$144,2,0)</f>
        <v>#N/A</v>
      </c>
      <c r="W134" s="159"/>
      <c r="X134" s="159"/>
      <c r="Y134" s="160"/>
      <c r="Z134" s="158" t="e">
        <f>VLOOKUP(U134,'BASE '!$A$4:$H$144,3,0)</f>
        <v>#N/A</v>
      </c>
      <c r="AA134" s="94" t="e">
        <f t="shared" ref="AA134:AA144" si="40">(Y134*Z134)/100</f>
        <v>#N/A</v>
      </c>
      <c r="AB134" s="95" t="e">
        <f>VLOOKUP(U134,'BASE '!$A$4:$H$144,6,0)*Y134/100</f>
        <v>#N/A</v>
      </c>
      <c r="AC134" s="95" t="e">
        <f>VLOOKUP(U134,'BASE '!$A$4:$H$144,7,0)*Y134/100</f>
        <v>#N/A</v>
      </c>
      <c r="AD134" s="95" t="e">
        <f>VLOOKUP(U134,'BASE '!$A$4:$H$144,8,0)*Y134/100</f>
        <v>#N/A</v>
      </c>
      <c r="AE134" s="96" t="e">
        <f t="shared" si="36"/>
        <v>#N/A</v>
      </c>
      <c r="DN134" s="116"/>
    </row>
    <row r="135" spans="2:118" x14ac:dyDescent="0.3">
      <c r="B135" s="64"/>
      <c r="C135" s="148"/>
      <c r="D135" s="109"/>
      <c r="E135" s="63"/>
      <c r="F135" s="127"/>
      <c r="G135" s="50"/>
      <c r="H135" s="10"/>
      <c r="I135" s="10"/>
      <c r="J135" s="10"/>
      <c r="K135" s="10"/>
      <c r="L135" s="10"/>
      <c r="M135" s="39"/>
      <c r="N135" s="33">
        <f t="shared" si="37"/>
        <v>0</v>
      </c>
      <c r="O135" s="52" t="b">
        <f>IF(AND(E135="CLIENT S+L",F135="HUILE"),(S135*3333.33+(VLOOKUP(H135,'BASE '!$I$112:$J$142,2,0)))-((S135*3333.33)*G135),IF(AND(E135="CLIENT S+L",F135="LAIT"),((S135*952.4)-(S135*952.4)*G135),IF(E135="CLIENT O","OFFERT",IF(AND(F135="HUILE",E135="CLIENT L"),(((VLOOKUP(H135,'BASE '!$I$112:$J$142,2,0))+(VLOOKUP(S135,'BASE '!#REF!,2,0)))),IF(AND(F135="LAIT",E135="CLIENT L"),(S135*952.4),IF(AND(F135="HUILE",E135="CLIENT D"),(S135*3809.53+(VLOOKUP(H135,'BASE '!$I$112:$J$142,2,0))),IF(AND(F135="LAIT",E135="CLIENT D"),(S135*952.4),IF(AND(F135="HUILE",E135="CLIENT S+D"),((S135*3809.53+(VLOOKUP(H135,'BASE '!$I$112:$J$142,2,0)))-((S135*3809.53)*G135)),IF(AND(F135="LAIT",E135="CLIENT S+D"),((S135*952.4)-((S135*952.4)*G135)),IF(AND(E135="CLIENT S",F135="LAIT"),((S135*952.4)-((S135*952.4)*G135)),IF(AND(F135="HUILE",E135="CLIENT S"),(VLOOKUP(H135,'BASE '!$I$112:$J$142,2,0)+(VLOOKUP(S135,'BASE '!#REF!,2,0)))-(G135*((VLOOKUP(S135,'BASE '!#REF!,2,0)+(VLOOKUP(H135,'BASE '!$I$112:$J$142,2,0))))))))))))))))</f>
        <v>0</v>
      </c>
      <c r="P135" s="52" t="b">
        <f t="shared" si="38"/>
        <v>0</v>
      </c>
      <c r="Q135" s="53" t="b">
        <f t="shared" si="39"/>
        <v>0</v>
      </c>
      <c r="R135" s="152" t="s">
        <v>175</v>
      </c>
      <c r="S135" s="184">
        <f t="shared" ref="S135:S165" si="41">(($I$5*I135)/100)+((J135*$J$5)/100)+(($K$5*K135)/100)+($L$5*L135)+($M$5*M135)</f>
        <v>0</v>
      </c>
      <c r="T135" s="124"/>
      <c r="U135" s="41" t="s">
        <v>175</v>
      </c>
      <c r="V135" s="70" t="e">
        <f>VLOOKUP(U135,'BASE '!$A$4:$H$144,2,0)</f>
        <v>#N/A</v>
      </c>
      <c r="W135" s="159"/>
      <c r="X135" s="159"/>
      <c r="Y135" s="160"/>
      <c r="Z135" s="158" t="e">
        <f>VLOOKUP(U135,'BASE '!$A$4:$H$144,3,0)</f>
        <v>#N/A</v>
      </c>
      <c r="AA135" s="94" t="e">
        <f t="shared" si="40"/>
        <v>#N/A</v>
      </c>
      <c r="AB135" s="95" t="e">
        <f>VLOOKUP(U135,'BASE '!$A$4:$H$144,6,0)*Y135/100</f>
        <v>#N/A</v>
      </c>
      <c r="AC135" s="95" t="e">
        <f>VLOOKUP(U135,'BASE '!$A$4:$H$144,7,0)*Y135/100</f>
        <v>#N/A</v>
      </c>
      <c r="AD135" s="95" t="e">
        <f>VLOOKUP(U135,'BASE '!$A$4:$H$144,8,0)*Y135/100</f>
        <v>#N/A</v>
      </c>
      <c r="AE135" s="96" t="e">
        <f t="shared" ref="AE135:AE144" si="42">AA135+AB135+AC135+AD135</f>
        <v>#N/A</v>
      </c>
      <c r="DN135" s="116"/>
    </row>
    <row r="136" spans="2:118" x14ac:dyDescent="0.3">
      <c r="B136" s="64"/>
      <c r="C136" s="148"/>
      <c r="D136" s="109"/>
      <c r="E136" s="63"/>
      <c r="F136" s="127"/>
      <c r="G136" s="50"/>
      <c r="H136" s="10"/>
      <c r="I136" s="10"/>
      <c r="J136" s="10"/>
      <c r="K136" s="10"/>
      <c r="L136" s="10"/>
      <c r="M136" s="39"/>
      <c r="N136" s="33">
        <f t="shared" si="37"/>
        <v>0</v>
      </c>
      <c r="O136" s="52" t="b">
        <f>IF(AND(E136="CLIENT S+L",F136="HUILE"),(S136*3333.33+(VLOOKUP(H136,'BASE '!$I$112:$J$142,2,0)))-((S136*3333.33)*G136),IF(AND(E136="CLIENT S+L",F136="LAIT"),((S136*952.4)-(S136*952.4)*G136),IF(E136="CLIENT O","OFFERT",IF(AND(F136="HUILE",E136="CLIENT L"),(((VLOOKUP(H136,'BASE '!$I$112:$J$142,2,0))+(VLOOKUP(S136,'BASE '!#REF!,2,0)))),IF(AND(F136="LAIT",E136="CLIENT L"),(S136*952.4),IF(AND(F136="HUILE",E136="CLIENT D"),(S136*3809.53+(VLOOKUP(H136,'BASE '!$I$112:$J$142,2,0))),IF(AND(F136="LAIT",E136="CLIENT D"),(S136*952.4),IF(AND(F136="HUILE",E136="CLIENT S+D"),((S136*3809.53+(VLOOKUP(H136,'BASE '!$I$112:$J$142,2,0)))-((S136*3809.53)*G136)),IF(AND(F136="LAIT",E136="CLIENT S+D"),((S136*952.4)-((S136*952.4)*G136)),IF(AND(E136="CLIENT S",F136="LAIT"),((S136*952.4)-((S136*952.4)*G136)),IF(AND(F136="HUILE",E136="CLIENT S"),(VLOOKUP(H136,'BASE '!$I$112:$J$142,2,0)+(VLOOKUP(S136,'BASE '!#REF!,2,0)))-(G136*((VLOOKUP(S136,'BASE '!#REF!,2,0)+(VLOOKUP(H136,'BASE '!$I$112:$J$142,2,0))))))))))))))))</f>
        <v>0</v>
      </c>
      <c r="P136" s="52" t="b">
        <f t="shared" si="38"/>
        <v>0</v>
      </c>
      <c r="Q136" s="53" t="b">
        <f t="shared" si="39"/>
        <v>0</v>
      </c>
      <c r="R136" s="152" t="s">
        <v>175</v>
      </c>
      <c r="S136" s="184">
        <f t="shared" si="41"/>
        <v>0</v>
      </c>
      <c r="T136" s="124"/>
      <c r="U136" s="41" t="s">
        <v>175</v>
      </c>
      <c r="V136" s="70" t="e">
        <f>VLOOKUP(U136,'BASE '!$A$4:$H$144,2,0)</f>
        <v>#N/A</v>
      </c>
      <c r="W136" s="159"/>
      <c r="X136" s="159"/>
      <c r="Y136" s="160"/>
      <c r="Z136" s="158" t="e">
        <f>VLOOKUP(U136,'BASE '!$A$4:$H$144,3,0)</f>
        <v>#N/A</v>
      </c>
      <c r="AA136" s="94" t="e">
        <f t="shared" si="40"/>
        <v>#N/A</v>
      </c>
      <c r="AB136" s="95" t="e">
        <f>VLOOKUP(U136,'BASE '!$A$4:$H$144,6,0)*Y136/100</f>
        <v>#N/A</v>
      </c>
      <c r="AC136" s="95" t="e">
        <f>VLOOKUP(U136,'BASE '!$A$4:$H$144,7,0)*Y136/100</f>
        <v>#N/A</v>
      </c>
      <c r="AD136" s="95" t="e">
        <f>VLOOKUP(U136,'BASE '!$A$4:$H$144,8,0)*Y136/100</f>
        <v>#N/A</v>
      </c>
      <c r="AE136" s="96" t="e">
        <f t="shared" si="42"/>
        <v>#N/A</v>
      </c>
      <c r="DN136" s="116"/>
    </row>
    <row r="137" spans="2:118" x14ac:dyDescent="0.3">
      <c r="B137" s="64"/>
      <c r="C137" s="148"/>
      <c r="D137" s="109"/>
      <c r="E137" s="63"/>
      <c r="F137" s="127"/>
      <c r="G137" s="50"/>
      <c r="H137" s="10"/>
      <c r="I137" s="10"/>
      <c r="J137" s="10"/>
      <c r="K137" s="10"/>
      <c r="L137" s="10"/>
      <c r="M137" s="39"/>
      <c r="N137" s="33">
        <f t="shared" si="37"/>
        <v>0</v>
      </c>
      <c r="O137" s="52" t="b">
        <f>IF(AND(E137="CLIENT S+L",F137="HUILE"),(S137*3333.33+(VLOOKUP(H137,'BASE '!$I$112:$J$142,2,0)))-((S137*3333.33)*G137),IF(AND(E137="CLIENT S+L",F137="LAIT"),((S137*952.4)-(S137*952.4)*G137),IF(E137="CLIENT O","OFFERT",IF(AND(F137="HUILE",E137="CLIENT L"),(((VLOOKUP(H137,'BASE '!$I$112:$J$142,2,0))+(VLOOKUP(S137,'BASE '!#REF!,2,0)))),IF(AND(F137="LAIT",E137="CLIENT L"),(S137*952.4),IF(AND(F137="HUILE",E137="CLIENT D"),(S137*3809.53+(VLOOKUP(H137,'BASE '!$I$112:$J$142,2,0))),IF(AND(F137="LAIT",E137="CLIENT D"),(S137*952.4),IF(AND(F137="HUILE",E137="CLIENT S+D"),((S137*3809.53+(VLOOKUP(H137,'BASE '!$I$112:$J$142,2,0)))-((S137*3809.53)*G137)),IF(AND(F137="LAIT",E137="CLIENT S+D"),((S137*952.4)-((S137*952.4)*G137)),IF(AND(E137="CLIENT S",F137="LAIT"),((S137*952.4)-((S137*952.4)*G137)),IF(AND(F137="HUILE",E137="CLIENT S"),(VLOOKUP(H137,'BASE '!$I$112:$J$142,2,0)+(VLOOKUP(S137,'BASE '!#REF!,2,0)))-(G137*((VLOOKUP(S137,'BASE '!#REF!,2,0)+(VLOOKUP(H137,'BASE '!$I$112:$J$142,2,0))))))))))))))))</f>
        <v>0</v>
      </c>
      <c r="P137" s="52" t="b">
        <f t="shared" si="38"/>
        <v>0</v>
      </c>
      <c r="Q137" s="53" t="b">
        <f t="shared" si="39"/>
        <v>0</v>
      </c>
      <c r="R137" s="152" t="s">
        <v>175</v>
      </c>
      <c r="S137" s="184">
        <f t="shared" si="41"/>
        <v>0</v>
      </c>
      <c r="T137" s="124"/>
      <c r="U137" s="41" t="s">
        <v>175</v>
      </c>
      <c r="V137" s="70" t="e">
        <f>VLOOKUP(U137,'BASE '!$A$4:$H$144,2,0)</f>
        <v>#N/A</v>
      </c>
      <c r="W137" s="159"/>
      <c r="X137" s="159"/>
      <c r="Y137" s="160"/>
      <c r="Z137" s="158" t="e">
        <f>VLOOKUP(U137,'BASE '!$A$4:$H$144,3,0)</f>
        <v>#N/A</v>
      </c>
      <c r="AA137" s="94" t="e">
        <f t="shared" si="40"/>
        <v>#N/A</v>
      </c>
      <c r="AB137" s="95" t="e">
        <f>VLOOKUP(U137,'BASE '!$A$4:$H$144,6,0)*Y137/100</f>
        <v>#N/A</v>
      </c>
      <c r="AC137" s="95" t="e">
        <f>VLOOKUP(U137,'BASE '!$A$4:$H$144,7,0)*Y137/100</f>
        <v>#N/A</v>
      </c>
      <c r="AD137" s="95" t="e">
        <f>VLOOKUP(U137,'BASE '!$A$4:$H$144,8,0)*Y137/100</f>
        <v>#N/A</v>
      </c>
      <c r="AE137" s="96" t="e">
        <f t="shared" si="42"/>
        <v>#N/A</v>
      </c>
      <c r="DN137" s="116"/>
    </row>
    <row r="138" spans="2:118" x14ac:dyDescent="0.3">
      <c r="B138" s="64"/>
      <c r="C138" s="148"/>
      <c r="D138" s="109"/>
      <c r="E138" s="63"/>
      <c r="F138" s="127"/>
      <c r="G138" s="50"/>
      <c r="H138" s="10"/>
      <c r="I138" s="10"/>
      <c r="J138" s="10"/>
      <c r="K138" s="10"/>
      <c r="L138" s="10"/>
      <c r="M138" s="39"/>
      <c r="N138" s="33">
        <f t="shared" si="37"/>
        <v>0</v>
      </c>
      <c r="O138" s="52" t="b">
        <f>IF(AND(E138="CLIENT S+L",F138="HUILE"),(S138*3333.33+(VLOOKUP(H138,'BASE '!$I$112:$J$142,2,0)))-((S138*3333.33)*G138),IF(AND(E138="CLIENT S+L",F138="LAIT"),((S138*952.4)-(S138*952.4)*G138),IF(E138="CLIENT O","OFFERT",IF(AND(F138="HUILE",E138="CLIENT L"),(((VLOOKUP(H138,'BASE '!$I$112:$J$142,2,0))+(VLOOKUP(S138,'BASE '!#REF!,2,0)))),IF(AND(F138="LAIT",E138="CLIENT L"),(S138*952.4),IF(AND(F138="HUILE",E138="CLIENT D"),(S138*3809.53+(VLOOKUP(H138,'BASE '!$I$112:$J$142,2,0))),IF(AND(F138="LAIT",E138="CLIENT D"),(S138*952.4),IF(AND(F138="HUILE",E138="CLIENT S+D"),((S138*3809.53+(VLOOKUP(H138,'BASE '!$I$112:$J$142,2,0)))-((S138*3809.53)*G138)),IF(AND(F138="LAIT",E138="CLIENT S+D"),((S138*952.4)-((S138*952.4)*G138)),IF(AND(E138="CLIENT S",F138="LAIT"),((S138*952.4)-((S138*952.4)*G138)),IF(AND(F138="HUILE",E138="CLIENT S"),(VLOOKUP(H138,'BASE '!$I$112:$J$142,2,0)+(VLOOKUP(S138,'BASE '!#REF!,2,0)))-(G138*((VLOOKUP(S138,'BASE '!#REF!,2,0)+(VLOOKUP(H138,'BASE '!$I$112:$J$142,2,0))))))))))))))))</f>
        <v>0</v>
      </c>
      <c r="P138" s="52" t="b">
        <f t="shared" si="38"/>
        <v>0</v>
      </c>
      <c r="Q138" s="53" t="b">
        <f t="shared" si="39"/>
        <v>0</v>
      </c>
      <c r="R138" s="152" t="s">
        <v>175</v>
      </c>
      <c r="S138" s="184">
        <f t="shared" si="41"/>
        <v>0</v>
      </c>
      <c r="T138" s="124"/>
      <c r="U138" s="41" t="s">
        <v>175</v>
      </c>
      <c r="V138" s="70" t="e">
        <f>VLOOKUP(U138,'BASE '!$A$4:$H$144,2,0)</f>
        <v>#N/A</v>
      </c>
      <c r="W138" s="159"/>
      <c r="X138" s="159"/>
      <c r="Y138" s="160"/>
      <c r="Z138" s="158" t="e">
        <f>VLOOKUP(U138,'BASE '!$A$4:$H$144,3,0)</f>
        <v>#N/A</v>
      </c>
      <c r="AA138" s="94" t="e">
        <f t="shared" si="40"/>
        <v>#N/A</v>
      </c>
      <c r="AB138" s="95" t="e">
        <f>VLOOKUP(U138,'BASE '!$A$4:$H$144,6,0)*Y138/100</f>
        <v>#N/A</v>
      </c>
      <c r="AC138" s="95" t="e">
        <f>VLOOKUP(U138,'BASE '!$A$4:$H$144,7,0)*Y138/100</f>
        <v>#N/A</v>
      </c>
      <c r="AD138" s="95" t="e">
        <f>VLOOKUP(U138,'BASE '!$A$4:$H$144,8,0)*Y138/100</f>
        <v>#N/A</v>
      </c>
      <c r="AE138" s="96" t="e">
        <f t="shared" si="42"/>
        <v>#N/A</v>
      </c>
      <c r="DN138" s="116" t="e">
        <f>(($I$5*#REF!)/100)+((#REF!*$J$5)/100)+(($K$5*#REF!)/100)+($L$5*#REF!)+($M$5*#REF!)</f>
        <v>#REF!</v>
      </c>
    </row>
    <row r="139" spans="2:118" x14ac:dyDescent="0.3">
      <c r="B139" s="64"/>
      <c r="C139" s="148"/>
      <c r="D139" s="109"/>
      <c r="E139" s="63"/>
      <c r="F139" s="127"/>
      <c r="G139" s="50"/>
      <c r="H139" s="10"/>
      <c r="I139" s="10"/>
      <c r="J139" s="10"/>
      <c r="K139" s="10"/>
      <c r="L139" s="10"/>
      <c r="M139" s="39"/>
      <c r="N139" s="33">
        <f t="shared" si="37"/>
        <v>0</v>
      </c>
      <c r="O139" s="52" t="b">
        <f>IF(AND(E139="CLIENT S+L",F139="HUILE"),(S139*3333.33+(VLOOKUP(H139,'BASE '!$I$112:$J$142,2,0)))-((S139*3333.33)*G139),IF(AND(E139="CLIENT S+L",F139="LAIT"),((S139*952.4)-(S139*952.4)*G139),IF(E139="CLIENT O","OFFERT",IF(AND(F139="HUILE",E139="CLIENT L"),(((VLOOKUP(H139,'BASE '!$I$112:$J$142,2,0))+(VLOOKUP(S139,'BASE '!#REF!,2,0)))),IF(AND(F139="LAIT",E139="CLIENT L"),(S139*952.4),IF(AND(F139="HUILE",E139="CLIENT D"),(S139*3809.53+(VLOOKUP(H139,'BASE '!$I$112:$J$142,2,0))),IF(AND(F139="LAIT",E139="CLIENT D"),(S139*952.4),IF(AND(F139="HUILE",E139="CLIENT S+D"),((S139*3809.53+(VLOOKUP(H139,'BASE '!$I$112:$J$142,2,0)))-((S139*3809.53)*G139)),IF(AND(F139="LAIT",E139="CLIENT S+D"),((S139*952.4)-((S139*952.4)*G139)),IF(AND(E139="CLIENT S",F139="LAIT"),((S139*952.4)-((S139*952.4)*G139)),IF(AND(F139="HUILE",E139="CLIENT S"),(VLOOKUP(H139,'BASE '!$I$112:$J$142,2,0)+(VLOOKUP(S139,'BASE '!#REF!,2,0)))-(G139*((VLOOKUP(S139,'BASE '!#REF!,2,0)+(VLOOKUP(H139,'BASE '!$I$112:$J$142,2,0))))))))))))))))</f>
        <v>0</v>
      </c>
      <c r="P139" s="52" t="b">
        <f t="shared" si="38"/>
        <v>0</v>
      </c>
      <c r="Q139" s="53" t="b">
        <f t="shared" si="39"/>
        <v>0</v>
      </c>
      <c r="R139" s="152" t="s">
        <v>175</v>
      </c>
      <c r="S139" s="184">
        <f t="shared" si="41"/>
        <v>0</v>
      </c>
      <c r="T139" s="124"/>
      <c r="U139" s="41" t="s">
        <v>175</v>
      </c>
      <c r="V139" s="70" t="e">
        <f>VLOOKUP(U139,'BASE '!$A$4:$H$144,2,0)</f>
        <v>#N/A</v>
      </c>
      <c r="W139" s="159"/>
      <c r="X139" s="159"/>
      <c r="Y139" s="160"/>
      <c r="Z139" s="158" t="e">
        <f>VLOOKUP(U139,'BASE '!$A$4:$H$144,3,0)</f>
        <v>#N/A</v>
      </c>
      <c r="AA139" s="94" t="e">
        <f t="shared" si="40"/>
        <v>#N/A</v>
      </c>
      <c r="AB139" s="95" t="e">
        <f>VLOOKUP(U139,'BASE '!$A$4:$H$144,6,0)*Y139/100</f>
        <v>#N/A</v>
      </c>
      <c r="AC139" s="95" t="e">
        <f>VLOOKUP(U139,'BASE '!$A$4:$H$144,7,0)*Y139/100</f>
        <v>#N/A</v>
      </c>
      <c r="AD139" s="95" t="e">
        <f>VLOOKUP(U139,'BASE '!$A$4:$H$144,8,0)*Y139/100</f>
        <v>#N/A</v>
      </c>
      <c r="AE139" s="96" t="e">
        <f t="shared" si="42"/>
        <v>#N/A</v>
      </c>
      <c r="DN139" s="116" t="e">
        <f>(($I$5*#REF!)/100)+((#REF!*$J$5)/100)+(($K$5*#REF!)/100)+($L$5*#REF!)+($M$5*#REF!)</f>
        <v>#REF!</v>
      </c>
    </row>
    <row r="140" spans="2:118" x14ac:dyDescent="0.3">
      <c r="B140" s="64"/>
      <c r="C140" s="148"/>
      <c r="D140" s="109"/>
      <c r="E140" s="63"/>
      <c r="F140" s="127"/>
      <c r="G140" s="50"/>
      <c r="H140" s="10"/>
      <c r="I140" s="10"/>
      <c r="J140" s="10"/>
      <c r="K140" s="10"/>
      <c r="L140" s="10"/>
      <c r="M140" s="39"/>
      <c r="N140" s="33">
        <f t="shared" si="37"/>
        <v>0</v>
      </c>
      <c r="O140" s="52" t="b">
        <f>IF(AND(E140="CLIENT S+L",F140="HUILE"),(S140*3333.33+(VLOOKUP(H140,'BASE '!$I$112:$J$142,2,0)))-((S140*3333.33)*G140),IF(AND(E140="CLIENT S+L",F140="LAIT"),((S140*952.4)-(S140*952.4)*G140),IF(E140="CLIENT O","OFFERT",IF(AND(F140="HUILE",E140="CLIENT L"),(((VLOOKUP(H140,'BASE '!$I$112:$J$142,2,0))+(VLOOKUP(S140,'BASE '!#REF!,2,0)))),IF(AND(F140="LAIT",E140="CLIENT L"),(S140*952.4),IF(AND(F140="HUILE",E140="CLIENT D"),(S140*3809.53+(VLOOKUP(H140,'BASE '!$I$112:$J$142,2,0))),IF(AND(F140="LAIT",E140="CLIENT D"),(S140*952.4),IF(AND(F140="HUILE",E140="CLIENT S+D"),((S140*3809.53+(VLOOKUP(H140,'BASE '!$I$112:$J$142,2,0)))-((S140*3809.53)*G140)),IF(AND(F140="LAIT",E140="CLIENT S+D"),((S140*952.4)-((S140*952.4)*G140)),IF(AND(E140="CLIENT S",F140="LAIT"),((S140*952.4)-((S140*952.4)*G140)),IF(AND(F140="HUILE",E140="CLIENT S"),(VLOOKUP(H140,'BASE '!$I$112:$J$142,2,0)+(VLOOKUP(S140,'BASE '!#REF!,2,0)))-(G140*((VLOOKUP(S140,'BASE '!#REF!,2,0)+(VLOOKUP(H140,'BASE '!$I$112:$J$142,2,0))))))))))))))))</f>
        <v>0</v>
      </c>
      <c r="P140" s="52" t="b">
        <f t="shared" si="38"/>
        <v>0</v>
      </c>
      <c r="Q140" s="53" t="b">
        <f t="shared" si="39"/>
        <v>0</v>
      </c>
      <c r="R140" s="152" t="s">
        <v>175</v>
      </c>
      <c r="S140" s="184">
        <f t="shared" si="41"/>
        <v>0</v>
      </c>
      <c r="T140" s="124"/>
      <c r="U140" s="41" t="s">
        <v>175</v>
      </c>
      <c r="V140" s="70" t="e">
        <f>VLOOKUP(U140,'BASE '!$A$4:$H$144,2,0)</f>
        <v>#N/A</v>
      </c>
      <c r="W140" s="159"/>
      <c r="X140" s="159"/>
      <c r="Y140" s="160"/>
      <c r="Z140" s="158" t="e">
        <f>VLOOKUP(U140,'BASE '!$A$4:$H$144,3,0)</f>
        <v>#N/A</v>
      </c>
      <c r="AA140" s="94" t="e">
        <f t="shared" si="40"/>
        <v>#N/A</v>
      </c>
      <c r="AB140" s="95" t="e">
        <f>VLOOKUP(U140,'BASE '!$A$4:$H$144,6,0)*Y140/100</f>
        <v>#N/A</v>
      </c>
      <c r="AC140" s="95" t="e">
        <f>VLOOKUP(U140,'BASE '!$A$4:$H$144,7,0)*Y140/100</f>
        <v>#N/A</v>
      </c>
      <c r="AD140" s="95" t="e">
        <f>VLOOKUP(U140,'BASE '!$A$4:$H$144,8,0)*Y140/100</f>
        <v>#N/A</v>
      </c>
      <c r="AE140" s="96" t="e">
        <f t="shared" si="42"/>
        <v>#N/A</v>
      </c>
      <c r="DN140" s="116" t="e">
        <f>(($I$5*#REF!)/100)+((#REF!*$J$5)/100)+(($K$5*#REF!)/100)+($L$5*#REF!)+($M$5*#REF!)</f>
        <v>#REF!</v>
      </c>
    </row>
    <row r="141" spans="2:118" x14ac:dyDescent="0.3">
      <c r="B141" s="64"/>
      <c r="C141" s="148"/>
      <c r="D141" s="109"/>
      <c r="E141" s="63"/>
      <c r="F141" s="127"/>
      <c r="G141" s="50"/>
      <c r="H141" s="10"/>
      <c r="I141" s="10"/>
      <c r="J141" s="10"/>
      <c r="K141" s="10"/>
      <c r="L141" s="10"/>
      <c r="M141" s="39"/>
      <c r="N141" s="33">
        <f t="shared" si="37"/>
        <v>0</v>
      </c>
      <c r="O141" s="52" t="b">
        <f>IF(AND(E141="CLIENT S+L",F141="HUILE"),(S141*3333.33+(VLOOKUP(H141,'BASE '!$I$112:$J$142,2,0)))-((S141*3333.33)*G141),IF(AND(E141="CLIENT S+L",F141="LAIT"),((S141*952.4)-(S141*952.4)*G141),IF(E141="CLIENT O","OFFERT",IF(AND(F141="HUILE",E141="CLIENT L"),(((VLOOKUP(H141,'BASE '!$I$112:$J$142,2,0))+(VLOOKUP(S141,'BASE '!#REF!,2,0)))),IF(AND(F141="LAIT",E141="CLIENT L"),(S141*952.4),IF(AND(F141="HUILE",E141="CLIENT D"),(S141*3809.53+(VLOOKUP(H141,'BASE '!$I$112:$J$142,2,0))),IF(AND(F141="LAIT",E141="CLIENT D"),(S141*952.4),IF(AND(F141="HUILE",E141="CLIENT S+D"),((S141*3809.53+(VLOOKUP(H141,'BASE '!$I$112:$J$142,2,0)))-((S141*3809.53)*G141)),IF(AND(F141="LAIT",E141="CLIENT S+D"),((S141*952.4)-((S141*952.4)*G141)),IF(AND(E141="CLIENT S",F141="LAIT"),((S141*952.4)-((S141*952.4)*G141)),IF(AND(F141="HUILE",E141="CLIENT S"),(VLOOKUP(H141,'BASE '!$I$112:$J$142,2,0)+(VLOOKUP(S141,'BASE '!#REF!,2,0)))-(G141*((VLOOKUP(S141,'BASE '!#REF!,2,0)+(VLOOKUP(H141,'BASE '!$I$112:$J$142,2,0))))))))))))))))</f>
        <v>0</v>
      </c>
      <c r="P141" s="52" t="b">
        <f t="shared" si="38"/>
        <v>0</v>
      </c>
      <c r="Q141" s="53" t="b">
        <f t="shared" si="39"/>
        <v>0</v>
      </c>
      <c r="R141" s="152" t="s">
        <v>175</v>
      </c>
      <c r="S141" s="184">
        <f t="shared" si="41"/>
        <v>0</v>
      </c>
      <c r="T141" s="124"/>
      <c r="U141" s="41" t="s">
        <v>175</v>
      </c>
      <c r="V141" s="70" t="e">
        <f>VLOOKUP(U141,'BASE '!$A$4:$H$144,2,0)</f>
        <v>#N/A</v>
      </c>
      <c r="W141" s="159"/>
      <c r="X141" s="159"/>
      <c r="Y141" s="160"/>
      <c r="Z141" s="158" t="e">
        <f>VLOOKUP(U141,'BASE '!$A$4:$H$144,3,0)</f>
        <v>#N/A</v>
      </c>
      <c r="AA141" s="94" t="e">
        <f t="shared" si="40"/>
        <v>#N/A</v>
      </c>
      <c r="AB141" s="95" t="e">
        <f>VLOOKUP(U141,'BASE '!$A$4:$H$144,6,0)*Y141/100</f>
        <v>#N/A</v>
      </c>
      <c r="AC141" s="95" t="e">
        <f>VLOOKUP(U141,'BASE '!$A$4:$H$144,7,0)*Y141/100</f>
        <v>#N/A</v>
      </c>
      <c r="AD141" s="95" t="e">
        <f>VLOOKUP(U141,'BASE '!$A$4:$H$144,8,0)*Y141/100</f>
        <v>#N/A</v>
      </c>
      <c r="AE141" s="96" t="e">
        <f t="shared" si="42"/>
        <v>#N/A</v>
      </c>
      <c r="DN141" s="116" t="e">
        <f>(($I$5*#REF!)/100)+((#REF!*$J$5)/100)+(($K$5*#REF!)/100)+($L$5*#REF!)+($M$5*#REF!)</f>
        <v>#REF!</v>
      </c>
    </row>
    <row r="142" spans="2:118" x14ac:dyDescent="0.3">
      <c r="B142" s="64"/>
      <c r="C142" s="148"/>
      <c r="D142" s="109"/>
      <c r="E142" s="63"/>
      <c r="F142" s="127"/>
      <c r="G142" s="50"/>
      <c r="H142" s="10"/>
      <c r="I142" s="10"/>
      <c r="J142" s="10"/>
      <c r="K142" s="10"/>
      <c r="L142" s="10"/>
      <c r="M142" s="39"/>
      <c r="N142" s="33">
        <f t="shared" si="37"/>
        <v>0</v>
      </c>
      <c r="O142" s="52" t="b">
        <f>IF(AND(E142="CLIENT S+L",F142="HUILE"),(S142*3333.33+(VLOOKUP(H142,'BASE '!$I$112:$J$142,2,0)))-((S142*3333.33)*G142),IF(AND(E142="CLIENT S+L",F142="LAIT"),((S142*952.4)-(S142*952.4)*G142),IF(E142="CLIENT O","OFFERT",IF(AND(F142="HUILE",E142="CLIENT L"),(((VLOOKUP(H142,'BASE '!$I$112:$J$142,2,0))+(VLOOKUP(S142,'BASE '!#REF!,2,0)))),IF(AND(F142="LAIT",E142="CLIENT L"),(S142*952.4),IF(AND(F142="HUILE",E142="CLIENT D"),(S142*3809.53+(VLOOKUP(H142,'BASE '!$I$112:$J$142,2,0))),IF(AND(F142="LAIT",E142="CLIENT D"),(S142*952.4),IF(AND(F142="HUILE",E142="CLIENT S+D"),((S142*3809.53+(VLOOKUP(H142,'BASE '!$I$112:$J$142,2,0)))-((S142*3809.53)*G142)),IF(AND(F142="LAIT",E142="CLIENT S+D"),((S142*952.4)-((S142*952.4)*G142)),IF(AND(E142="CLIENT S",F142="LAIT"),((S142*952.4)-((S142*952.4)*G142)),IF(AND(F142="HUILE",E142="CLIENT S"),(VLOOKUP(H142,'BASE '!$I$112:$J$142,2,0)+(VLOOKUP(S142,'BASE '!#REF!,2,0)))-(G142*((VLOOKUP(S142,'BASE '!#REF!,2,0)+(VLOOKUP(H142,'BASE '!$I$112:$J$142,2,0))))))))))))))))</f>
        <v>0</v>
      </c>
      <c r="P142" s="52" t="b">
        <f t="shared" si="38"/>
        <v>0</v>
      </c>
      <c r="Q142" s="53" t="b">
        <f t="shared" si="39"/>
        <v>0</v>
      </c>
      <c r="R142" s="152" t="s">
        <v>175</v>
      </c>
      <c r="S142" s="184">
        <f t="shared" si="41"/>
        <v>0</v>
      </c>
      <c r="T142" s="124"/>
      <c r="U142" s="41" t="s">
        <v>175</v>
      </c>
      <c r="V142" s="70" t="e">
        <f>VLOOKUP(U142,'BASE '!$A$4:$H$144,2,0)</f>
        <v>#N/A</v>
      </c>
      <c r="W142" s="159"/>
      <c r="X142" s="159"/>
      <c r="Y142" s="160"/>
      <c r="Z142" s="158" t="e">
        <f>VLOOKUP(U142,'BASE '!$A$4:$H$144,3,0)</f>
        <v>#N/A</v>
      </c>
      <c r="AA142" s="94" t="e">
        <f t="shared" si="40"/>
        <v>#N/A</v>
      </c>
      <c r="AB142" s="95" t="e">
        <f>VLOOKUP(U142,'BASE '!$A$4:$H$144,6,0)*Y142/100</f>
        <v>#N/A</v>
      </c>
      <c r="AC142" s="95" t="e">
        <f>VLOOKUP(U142,'BASE '!$A$4:$H$144,7,0)*Y142/100</f>
        <v>#N/A</v>
      </c>
      <c r="AD142" s="95" t="e">
        <f>VLOOKUP(U142,'BASE '!$A$4:$H$144,8,0)*Y142/100</f>
        <v>#N/A</v>
      </c>
      <c r="AE142" s="96" t="e">
        <f t="shared" si="42"/>
        <v>#N/A</v>
      </c>
      <c r="DN142" s="116" t="e">
        <f>(($I$5*#REF!)/100)+((#REF!*$J$5)/100)+(($K$5*#REF!)/100)+($L$5*#REF!)+($M$5*#REF!)</f>
        <v>#REF!</v>
      </c>
    </row>
    <row r="143" spans="2:118" x14ac:dyDescent="0.3">
      <c r="B143" s="64"/>
      <c r="C143" s="148"/>
      <c r="D143" s="109"/>
      <c r="E143" s="63"/>
      <c r="F143" s="127"/>
      <c r="G143" s="50"/>
      <c r="H143" s="10"/>
      <c r="I143" s="10"/>
      <c r="J143" s="10"/>
      <c r="K143" s="10"/>
      <c r="L143" s="10"/>
      <c r="M143" s="39"/>
      <c r="N143" s="33">
        <f t="shared" si="37"/>
        <v>0</v>
      </c>
      <c r="O143" s="52" t="b">
        <f>IF(AND(E143="CLIENT S+L",F143="HUILE"),(S143*3333.33+(VLOOKUP(H143,'BASE '!$I$112:$J$142,2,0)))-((S143*3333.33)*G143),IF(AND(E143="CLIENT S+L",F143="LAIT"),((S143*952.4)-(S143*952.4)*G143),IF(E143="CLIENT O","OFFERT",IF(AND(F143="HUILE",E143="CLIENT L"),(((VLOOKUP(H143,'BASE '!$I$112:$J$142,2,0))+(VLOOKUP(S143,'BASE '!#REF!,2,0)))),IF(AND(F143="LAIT",E143="CLIENT L"),(S143*952.4),IF(AND(F143="HUILE",E143="CLIENT D"),(S143*3809.53+(VLOOKUP(H143,'BASE '!$I$112:$J$142,2,0))),IF(AND(F143="LAIT",E143="CLIENT D"),(S143*952.4),IF(AND(F143="HUILE",E143="CLIENT S+D"),((S143*3809.53+(VLOOKUP(H143,'BASE '!$I$112:$J$142,2,0)))-((S143*3809.53)*G143)),IF(AND(F143="LAIT",E143="CLIENT S+D"),((S143*952.4)-((S143*952.4)*G143)),IF(AND(E143="CLIENT S",F143="LAIT"),((S143*952.4)-((S143*952.4)*G143)),IF(AND(F143="HUILE",E143="CLIENT S"),(VLOOKUP(H143,'BASE '!$I$112:$J$142,2,0)+(VLOOKUP(S143,'BASE '!#REF!,2,0)))-(G143*((VLOOKUP(S143,'BASE '!#REF!,2,0)+(VLOOKUP(H143,'BASE '!$I$112:$J$142,2,0))))))))))))))))</f>
        <v>0</v>
      </c>
      <c r="P143" s="52" t="b">
        <f t="shared" si="38"/>
        <v>0</v>
      </c>
      <c r="Q143" s="53" t="b">
        <f t="shared" si="39"/>
        <v>0</v>
      </c>
      <c r="R143" s="152" t="s">
        <v>175</v>
      </c>
      <c r="S143" s="184">
        <f t="shared" si="41"/>
        <v>0</v>
      </c>
      <c r="T143" s="124"/>
      <c r="U143" s="41" t="s">
        <v>175</v>
      </c>
      <c r="V143" s="70" t="e">
        <f>VLOOKUP(U143,'BASE '!$A$4:$H$144,2,0)</f>
        <v>#N/A</v>
      </c>
      <c r="W143" s="159"/>
      <c r="X143" s="159"/>
      <c r="Y143" s="160"/>
      <c r="Z143" s="158" t="e">
        <f>VLOOKUP(U143,'BASE '!$A$4:$H$144,3,0)</f>
        <v>#N/A</v>
      </c>
      <c r="AA143" s="94" t="e">
        <f t="shared" si="40"/>
        <v>#N/A</v>
      </c>
      <c r="AB143" s="95" t="e">
        <f>VLOOKUP(U143,'BASE '!$A$4:$H$144,6,0)*Y143/100</f>
        <v>#N/A</v>
      </c>
      <c r="AC143" s="95" t="e">
        <f>VLOOKUP(U143,'BASE '!$A$4:$H$144,7,0)*Y143/100</f>
        <v>#N/A</v>
      </c>
      <c r="AD143" s="95" t="e">
        <f>VLOOKUP(U143,'BASE '!$A$4:$H$144,8,0)*Y143/100</f>
        <v>#N/A</v>
      </c>
      <c r="AE143" s="96" t="e">
        <f t="shared" si="42"/>
        <v>#N/A</v>
      </c>
      <c r="DN143" s="116" t="e">
        <f>(($I$5*#REF!)/100)+((#REF!*$J$5)/100)+(($K$5*#REF!)/100)+($L$5*#REF!)+($M$5*#REF!)</f>
        <v>#REF!</v>
      </c>
    </row>
    <row r="144" spans="2:118" ht="15" thickBot="1" x14ac:dyDescent="0.35">
      <c r="B144" s="64"/>
      <c r="C144" s="148"/>
      <c r="D144" s="109"/>
      <c r="E144" s="63"/>
      <c r="F144" s="127"/>
      <c r="G144" s="50"/>
      <c r="H144" s="10"/>
      <c r="I144" s="10"/>
      <c r="J144" s="10"/>
      <c r="K144" s="10"/>
      <c r="L144" s="10"/>
      <c r="M144" s="39"/>
      <c r="N144" s="33">
        <f t="shared" si="37"/>
        <v>0</v>
      </c>
      <c r="O144" s="52" t="b">
        <f>IF(AND(E144="CLIENT S+L",F144="HUILE"),(S144*3333.33+(VLOOKUP(H144,'BASE '!$I$112:$J$142,2,0)))-((S144*3333.33)*G144),IF(AND(E144="CLIENT S+L",F144="LAIT"),((S144*952.4)-(S144*952.4)*G144),IF(E144="CLIENT O","OFFERT",IF(AND(F144="HUILE",E144="CLIENT L"),(((VLOOKUP(H144,'BASE '!$I$112:$J$142,2,0))+(VLOOKUP(S144,'BASE '!#REF!,2,0)))),IF(AND(F144="LAIT",E144="CLIENT L"),(S144*952.4),IF(AND(F144="HUILE",E144="CLIENT D"),(S144*3809.53+(VLOOKUP(H144,'BASE '!$I$112:$J$142,2,0))),IF(AND(F144="LAIT",E144="CLIENT D"),(S144*952.4),IF(AND(F144="HUILE",E144="CLIENT S+D"),((S144*3809.53+(VLOOKUP(H144,'BASE '!$I$112:$J$142,2,0)))-((S144*3809.53)*G144)),IF(AND(F144="LAIT",E144="CLIENT S+D"),((S144*952.4)-((S144*952.4)*G144)),IF(AND(E144="CLIENT S",F144="LAIT"),((S144*952.4)-((S144*952.4)*G144)),IF(AND(F144="HUILE",E144="CLIENT S"),(VLOOKUP(H144,'BASE '!$I$112:$J$142,2,0)+(VLOOKUP(S144,'BASE '!#REF!,2,0)))-(G144*((VLOOKUP(S144,'BASE '!#REF!,2,0)+(VLOOKUP(H144,'BASE '!$I$112:$J$142,2,0))))))))))))))))</f>
        <v>0</v>
      </c>
      <c r="P144" s="52" t="b">
        <f t="shared" si="38"/>
        <v>0</v>
      </c>
      <c r="Q144" s="53" t="b">
        <f t="shared" si="39"/>
        <v>0</v>
      </c>
      <c r="R144" s="152" t="s">
        <v>175</v>
      </c>
      <c r="S144" s="184">
        <f t="shared" si="41"/>
        <v>0</v>
      </c>
      <c r="T144" s="125"/>
      <c r="U144" s="185" t="s">
        <v>175</v>
      </c>
      <c r="V144" s="97" t="e">
        <f>VLOOKUP(U144,'BASE '!$A$4:$H$144,2,0)</f>
        <v>#N/A</v>
      </c>
      <c r="W144" s="163"/>
      <c r="X144" s="163"/>
      <c r="Y144" s="164"/>
      <c r="Z144" s="98" t="e">
        <f>VLOOKUP(U144,'BASE '!$A$4:$H$144,3,0)</f>
        <v>#N/A</v>
      </c>
      <c r="AA144" s="99" t="e">
        <f t="shared" si="40"/>
        <v>#N/A</v>
      </c>
      <c r="AB144" s="100" t="e">
        <f>VLOOKUP(U144,'BASE '!$A$4:$H$144,6,0)*Y144/100</f>
        <v>#N/A</v>
      </c>
      <c r="AC144" s="100" t="e">
        <f>VLOOKUP(U144,'BASE '!$A$4:$H$144,7,0)*Y144/100</f>
        <v>#N/A</v>
      </c>
      <c r="AD144" s="100" t="e">
        <f>VLOOKUP(U144,'BASE '!$A$4:$H$144,8,0)*Y144/100</f>
        <v>#N/A</v>
      </c>
      <c r="AE144" s="101" t="e">
        <f t="shared" si="42"/>
        <v>#N/A</v>
      </c>
      <c r="DN144" s="116" t="e">
        <f>(($I$5*#REF!)/100)+((#REF!*$J$5)/100)+(($K$5*#REF!)/100)+($L$5*#REF!)+($M$5*#REF!)</f>
        <v>#REF!</v>
      </c>
    </row>
    <row r="145" spans="2:118" ht="15.6" thickTop="1" thickBot="1" x14ac:dyDescent="0.35">
      <c r="B145" s="64"/>
      <c r="C145" s="148"/>
      <c r="D145" s="109"/>
      <c r="E145" s="63"/>
      <c r="F145" s="127"/>
      <c r="G145" s="50"/>
      <c r="H145" s="10"/>
      <c r="I145" s="10"/>
      <c r="J145" s="10"/>
      <c r="K145" s="10"/>
      <c r="L145" s="10"/>
      <c r="M145" s="39"/>
      <c r="N145" s="33">
        <f t="shared" si="37"/>
        <v>0</v>
      </c>
      <c r="O145" s="52" t="b">
        <f>IF(AND(E145="CLIENT S+L",F145="HUILE"),(S145*3333.33+(VLOOKUP(H145,'BASE '!$I$112:$J$142,2,0)))-((S145*3333.33)*G145),IF(AND(E145="CLIENT S+L",F145="LAIT"),((S145*952.4)-(S145*952.4)*G145),IF(E145="CLIENT O","OFFERT",IF(AND(F145="HUILE",E145="CLIENT L"),(((VLOOKUP(H145,'BASE '!$I$112:$J$142,2,0))+(VLOOKUP(S145,'BASE '!#REF!,2,0)))),IF(AND(F145="LAIT",E145="CLIENT L"),(S145*952.4),IF(AND(F145="HUILE",E145="CLIENT D"),(S145*3809.53+(VLOOKUP(H145,'BASE '!$I$112:$J$142,2,0))),IF(AND(F145="LAIT",E145="CLIENT D"),(S145*952.4),IF(AND(F145="HUILE",E145="CLIENT S+D"),((S145*3809.53+(VLOOKUP(H145,'BASE '!$I$112:$J$142,2,0)))-((S145*3809.53)*G145)),IF(AND(F145="LAIT",E145="CLIENT S+D"),((S145*952.4)-((S145*952.4)*G145)),IF(AND(E145="CLIENT S",F145="LAIT"),((S145*952.4)-((S145*952.4)*G145)),IF(AND(F145="HUILE",E145="CLIENT S"),(VLOOKUP(H145,'BASE '!$I$112:$J$142,2,0)+(VLOOKUP(S145,'BASE '!#REF!,2,0)))-(G145*((VLOOKUP(S145,'BASE '!#REF!,2,0)+(VLOOKUP(H145,'BASE '!$I$112:$J$142,2,0))))))))))))))))</f>
        <v>0</v>
      </c>
      <c r="P145" s="52" t="b">
        <f t="shared" si="38"/>
        <v>0</v>
      </c>
      <c r="Q145" s="53" t="b">
        <f t="shared" si="39"/>
        <v>0</v>
      </c>
      <c r="R145" s="152" t="s">
        <v>175</v>
      </c>
      <c r="S145" s="184">
        <f t="shared" si="41"/>
        <v>0</v>
      </c>
      <c r="T145" s="412" t="s">
        <v>48</v>
      </c>
      <c r="U145" s="413"/>
      <c r="V145" s="413"/>
      <c r="W145" s="413"/>
      <c r="X145" s="413"/>
      <c r="Y145" s="414">
        <f>SUMIF(Y6:Y144,"&lt;&gt;#N/A")</f>
        <v>0</v>
      </c>
      <c r="Z145" s="414"/>
      <c r="AA145" s="414"/>
      <c r="AB145" s="414"/>
      <c r="AC145" s="414"/>
      <c r="AD145" s="414"/>
      <c r="AE145" s="414"/>
      <c r="DN145" s="116" t="e">
        <f>(($I$5*#REF!)/100)+((#REF!*$J$5)/100)+(($K$5*#REF!)/100)+($L$5*#REF!)+($M$5*#REF!)</f>
        <v>#REF!</v>
      </c>
    </row>
    <row r="146" spans="2:118" ht="15" thickBot="1" x14ac:dyDescent="0.35">
      <c r="B146" s="64"/>
      <c r="C146" s="148"/>
      <c r="D146" s="109"/>
      <c r="E146" s="63"/>
      <c r="F146" s="127"/>
      <c r="G146" s="50"/>
      <c r="H146" s="10"/>
      <c r="I146" s="10"/>
      <c r="J146" s="10"/>
      <c r="K146" s="10"/>
      <c r="L146" s="10"/>
      <c r="M146" s="39"/>
      <c r="N146" s="33">
        <f t="shared" si="37"/>
        <v>0</v>
      </c>
      <c r="O146" s="52" t="b">
        <f>IF(AND(E146="CLIENT S+L",F146="HUILE"),(S146*3333.33+(VLOOKUP(H146,'BASE '!$I$112:$J$142,2,0)))-((S146*3333.33)*G146),IF(AND(E146="CLIENT S+L",F146="LAIT"),((S146*952.4)-(S146*952.4)*G146),IF(E146="CLIENT O","OFFERT",IF(AND(F146="HUILE",E146="CLIENT L"),(((VLOOKUP(H146,'BASE '!$I$112:$J$142,2,0))+(VLOOKUP(S146,'BASE '!#REF!,2,0)))),IF(AND(F146="LAIT",E146="CLIENT L"),(S146*952.4),IF(AND(F146="HUILE",E146="CLIENT D"),(S146*3809.53+(VLOOKUP(H146,'BASE '!$I$112:$J$142,2,0))),IF(AND(F146="LAIT",E146="CLIENT D"),(S146*952.4),IF(AND(F146="HUILE",E146="CLIENT S+D"),((S146*3809.53+(VLOOKUP(H146,'BASE '!$I$112:$J$142,2,0)))-((S146*3809.53)*G146)),IF(AND(F146="LAIT",E146="CLIENT S+D"),((S146*952.4)-((S146*952.4)*G146)),IF(AND(E146="CLIENT S",F146="LAIT"),((S146*952.4)-((S146*952.4)*G146)),IF(AND(F146="HUILE",E146="CLIENT S"),(VLOOKUP(H146,'BASE '!$I$112:$J$142,2,0)+(VLOOKUP(S146,'BASE '!#REF!,2,0)))-(G146*((VLOOKUP(S146,'BASE '!#REF!,2,0)+(VLOOKUP(H146,'BASE '!$I$112:$J$142,2,0))))))))))))))))</f>
        <v>0</v>
      </c>
      <c r="P146" s="52" t="b">
        <f t="shared" si="38"/>
        <v>0</v>
      </c>
      <c r="Q146" s="53" t="b">
        <f t="shared" si="39"/>
        <v>0</v>
      </c>
      <c r="R146" s="152" t="s">
        <v>175</v>
      </c>
      <c r="S146" s="184">
        <f t="shared" si="41"/>
        <v>0</v>
      </c>
      <c r="T146" s="406" t="s">
        <v>43</v>
      </c>
      <c r="U146" s="407"/>
      <c r="V146" s="407"/>
      <c r="W146" s="407"/>
      <c r="X146" s="407"/>
      <c r="Y146" s="407"/>
      <c r="Z146" s="407"/>
      <c r="AA146" s="416">
        <f>SUMIF(AA6:AA144,"&lt;&gt;#N/A")</f>
        <v>0</v>
      </c>
      <c r="AB146" s="416"/>
      <c r="AC146" s="416"/>
      <c r="AD146" s="416"/>
      <c r="AE146" s="416"/>
      <c r="DN146" s="116" t="e">
        <f>(($I$5*#REF!)/100)+((#REF!*$J$5)/100)+(($K$5*#REF!)/100)+($L$5*#REF!)+($M$5*#REF!)</f>
        <v>#REF!</v>
      </c>
    </row>
    <row r="147" spans="2:118" ht="15" thickBot="1" x14ac:dyDescent="0.35">
      <c r="B147" s="64"/>
      <c r="C147" s="148"/>
      <c r="D147" s="109"/>
      <c r="E147" s="63"/>
      <c r="F147" s="127"/>
      <c r="G147" s="50"/>
      <c r="H147" s="10"/>
      <c r="I147" s="10"/>
      <c r="J147" s="10"/>
      <c r="K147" s="10"/>
      <c r="L147" s="10"/>
      <c r="M147" s="39"/>
      <c r="N147" s="33">
        <f t="shared" si="37"/>
        <v>0</v>
      </c>
      <c r="O147" s="52" t="b">
        <f>IF(AND(E147="CLIENT S+L",F147="HUILE"),(S147*3333.33+(VLOOKUP(H147,'BASE '!$I$112:$J$142,2,0)))-((S147*3333.33)*G147),IF(AND(E147="CLIENT S+L",F147="LAIT"),((S147*952.4)-(S147*952.4)*G147),IF(E147="CLIENT O","OFFERT",IF(AND(F147="HUILE",E147="CLIENT L"),(((VLOOKUP(H147,'BASE '!$I$112:$J$142,2,0))+(VLOOKUP(S147,'BASE '!#REF!,2,0)))),IF(AND(F147="LAIT",E147="CLIENT L"),(S147*952.4),IF(AND(F147="HUILE",E147="CLIENT D"),(S147*3809.53+(VLOOKUP(H147,'BASE '!$I$112:$J$142,2,0))),IF(AND(F147="LAIT",E147="CLIENT D"),(S147*952.4),IF(AND(F147="HUILE",E147="CLIENT S+D"),((S147*3809.53+(VLOOKUP(H147,'BASE '!$I$112:$J$142,2,0)))-((S147*3809.53)*G147)),IF(AND(F147="LAIT",E147="CLIENT S+D"),((S147*952.4)-((S147*952.4)*G147)),IF(AND(E147="CLIENT S",F147="LAIT"),((S147*952.4)-((S147*952.4)*G147)),IF(AND(F147="HUILE",E147="CLIENT S"),(VLOOKUP(H147,'BASE '!$I$112:$J$142,2,0)+(VLOOKUP(S147,'BASE '!#REF!,2,0)))-(G147*((VLOOKUP(S147,'BASE '!#REF!,2,0)+(VLOOKUP(H147,'BASE '!$I$112:$J$142,2,0))))))))))))))))</f>
        <v>0</v>
      </c>
      <c r="P147" s="52" t="b">
        <f t="shared" si="38"/>
        <v>0</v>
      </c>
      <c r="Q147" s="53" t="b">
        <f t="shared" si="39"/>
        <v>0</v>
      </c>
      <c r="R147" s="152" t="s">
        <v>175</v>
      </c>
      <c r="S147" s="184">
        <f t="shared" si="41"/>
        <v>0</v>
      </c>
      <c r="T147" s="406" t="s">
        <v>47</v>
      </c>
      <c r="U147" s="407"/>
      <c r="V147" s="407"/>
      <c r="W147" s="407"/>
      <c r="X147" s="407"/>
      <c r="Y147" s="407"/>
      <c r="Z147" s="407"/>
      <c r="AA147" s="408">
        <f>SUMIF(AB6:AB144,"&lt;&gt;#N/A")</f>
        <v>0</v>
      </c>
      <c r="AB147" s="408"/>
      <c r="AC147" s="408"/>
      <c r="AD147" s="408"/>
      <c r="AE147" s="408"/>
      <c r="DN147" s="68"/>
    </row>
    <row r="148" spans="2:118" ht="15" thickBot="1" x14ac:dyDescent="0.35">
      <c r="B148" s="64"/>
      <c r="C148" s="148"/>
      <c r="D148" s="109"/>
      <c r="E148" s="63"/>
      <c r="F148" s="127"/>
      <c r="G148" s="50"/>
      <c r="H148" s="10"/>
      <c r="I148" s="10"/>
      <c r="J148" s="10"/>
      <c r="K148" s="10"/>
      <c r="L148" s="10"/>
      <c r="M148" s="39"/>
      <c r="N148" s="33">
        <f t="shared" si="37"/>
        <v>0</v>
      </c>
      <c r="O148" s="52" t="b">
        <f>IF(AND(E148="CLIENT S+L",F148="HUILE"),(S148*3333.33+(VLOOKUP(H148,'BASE '!$I$112:$J$142,2,0)))-((S148*3333.33)*G148),IF(AND(E148="CLIENT S+L",F148="LAIT"),((S148*952.4)-(S148*952.4)*G148),IF(E148="CLIENT O","OFFERT",IF(AND(F148="HUILE",E148="CLIENT L"),(((VLOOKUP(H148,'BASE '!$I$112:$J$142,2,0))+(VLOOKUP(S148,'BASE '!#REF!,2,0)))),IF(AND(F148="LAIT",E148="CLIENT L"),(S148*952.4),IF(AND(F148="HUILE",E148="CLIENT D"),(S148*3809.53+(VLOOKUP(H148,'BASE '!$I$112:$J$142,2,0))),IF(AND(F148="LAIT",E148="CLIENT D"),(S148*952.4),IF(AND(F148="HUILE",E148="CLIENT S+D"),((S148*3809.53+(VLOOKUP(H148,'BASE '!$I$112:$J$142,2,0)))-((S148*3809.53)*G148)),IF(AND(F148="LAIT",E148="CLIENT S+D"),((S148*952.4)-((S148*952.4)*G148)),IF(AND(E148="CLIENT S",F148="LAIT"),((S148*952.4)-((S148*952.4)*G148)),IF(AND(F148="HUILE",E148="CLIENT S"),(VLOOKUP(H148,'BASE '!$I$112:$J$142,2,0)+(VLOOKUP(S148,'BASE '!#REF!,2,0)))-(G148*((VLOOKUP(S148,'BASE '!#REF!,2,0)+(VLOOKUP(H148,'BASE '!$I$112:$J$142,2,0))))))))))))))))</f>
        <v>0</v>
      </c>
      <c r="P148" s="52" t="b">
        <f t="shared" si="38"/>
        <v>0</v>
      </c>
      <c r="Q148" s="53" t="b">
        <f t="shared" si="39"/>
        <v>0</v>
      </c>
      <c r="R148" s="152" t="s">
        <v>175</v>
      </c>
      <c r="S148" s="184">
        <f t="shared" si="41"/>
        <v>0</v>
      </c>
      <c r="T148" s="406" t="s">
        <v>46</v>
      </c>
      <c r="U148" s="407"/>
      <c r="V148" s="407"/>
      <c r="W148" s="407"/>
      <c r="X148" s="407"/>
      <c r="Y148" s="407"/>
      <c r="Z148" s="407"/>
      <c r="AA148" s="407"/>
      <c r="AB148" s="415">
        <f>SUMIF(AC6:AC144,"&lt;&gt;#N/A")</f>
        <v>0</v>
      </c>
      <c r="AC148" s="415"/>
      <c r="AD148" s="415"/>
      <c r="AE148" s="415"/>
      <c r="DN148" s="68"/>
    </row>
    <row r="149" spans="2:118" ht="15" thickBot="1" x14ac:dyDescent="0.35">
      <c r="B149" s="64"/>
      <c r="C149" s="148"/>
      <c r="D149" s="109"/>
      <c r="E149" s="63"/>
      <c r="F149" s="127"/>
      <c r="G149" s="50"/>
      <c r="H149" s="10"/>
      <c r="I149" s="10"/>
      <c r="J149" s="10"/>
      <c r="K149" s="10"/>
      <c r="L149" s="10"/>
      <c r="M149" s="39"/>
      <c r="N149" s="33">
        <f t="shared" si="37"/>
        <v>0</v>
      </c>
      <c r="O149" s="52" t="b">
        <f>IF(AND(E149="CLIENT S+L",F149="HUILE"),(S149*3333.33+(VLOOKUP(H149,'BASE '!$I$112:$J$142,2,0)))-((S149*3333.33)*G149),IF(AND(E149="CLIENT S+L",F149="LAIT"),((S149*952.4)-(S149*952.4)*G149),IF(E149="CLIENT O","OFFERT",IF(AND(F149="HUILE",E149="CLIENT L"),(((VLOOKUP(H149,'BASE '!$I$112:$J$142,2,0))+(VLOOKUP(S149,'BASE '!#REF!,2,0)))),IF(AND(F149="LAIT",E149="CLIENT L"),(S149*952.4),IF(AND(F149="HUILE",E149="CLIENT D"),(S149*3809.53+(VLOOKUP(H149,'BASE '!$I$112:$J$142,2,0))),IF(AND(F149="LAIT",E149="CLIENT D"),(S149*952.4),IF(AND(F149="HUILE",E149="CLIENT S+D"),((S149*3809.53+(VLOOKUP(H149,'BASE '!$I$112:$J$142,2,0)))-((S149*3809.53)*G149)),IF(AND(F149="LAIT",E149="CLIENT S+D"),((S149*952.4)-((S149*952.4)*G149)),IF(AND(E149="CLIENT S",F149="LAIT"),((S149*952.4)-((S149*952.4)*G149)),IF(AND(F149="HUILE",E149="CLIENT S"),(VLOOKUP(H149,'BASE '!$I$112:$J$142,2,0)+(VLOOKUP(S149,'BASE '!#REF!,2,0)))-(G149*((VLOOKUP(S149,'BASE '!#REF!,2,0)+(VLOOKUP(H149,'BASE '!$I$112:$J$142,2,0))))))))))))))))</f>
        <v>0</v>
      </c>
      <c r="P149" s="52" t="b">
        <f t="shared" si="38"/>
        <v>0</v>
      </c>
      <c r="Q149" s="53" t="b">
        <f t="shared" si="39"/>
        <v>0</v>
      </c>
      <c r="R149" s="152" t="s">
        <v>175</v>
      </c>
      <c r="S149" s="184">
        <f t="shared" si="41"/>
        <v>0</v>
      </c>
      <c r="T149" s="406" t="s">
        <v>45</v>
      </c>
      <c r="U149" s="407"/>
      <c r="V149" s="407"/>
      <c r="W149" s="407"/>
      <c r="X149" s="407"/>
      <c r="Y149" s="407"/>
      <c r="Z149" s="407"/>
      <c r="AA149" s="407"/>
      <c r="AB149" s="407"/>
      <c r="AC149" s="415">
        <f>SUMIF(AD6:AD144,"&lt;&gt;#N/A")</f>
        <v>0</v>
      </c>
      <c r="AD149" s="415"/>
      <c r="AE149" s="415"/>
      <c r="DN149" s="66"/>
    </row>
    <row r="150" spans="2:118" ht="15" thickBot="1" x14ac:dyDescent="0.35">
      <c r="B150" s="64"/>
      <c r="C150" s="148"/>
      <c r="D150" s="109"/>
      <c r="E150" s="63"/>
      <c r="F150" s="127"/>
      <c r="G150" s="50"/>
      <c r="H150" s="10"/>
      <c r="I150" s="10"/>
      <c r="J150" s="10"/>
      <c r="K150" s="10"/>
      <c r="L150" s="10"/>
      <c r="M150" s="39"/>
      <c r="N150" s="33">
        <f t="shared" si="37"/>
        <v>0</v>
      </c>
      <c r="O150" s="52" t="b">
        <f>IF(AND(E150="CLIENT S+L",F150="HUILE"),(S150*3333.33+(VLOOKUP(H150,'BASE '!$I$112:$J$142,2,0)))-((S150*3333.33)*G150),IF(AND(E150="CLIENT S+L",F150="LAIT"),((S150*952.4)-(S150*952.4)*G150),IF(E150="CLIENT O","OFFERT",IF(AND(F150="HUILE",E150="CLIENT L"),(((VLOOKUP(H150,'BASE '!$I$112:$J$142,2,0))+(VLOOKUP(S150,'BASE '!#REF!,2,0)))),IF(AND(F150="LAIT",E150="CLIENT L"),(S150*952.4),IF(AND(F150="HUILE",E150="CLIENT D"),(S150*3809.53+(VLOOKUP(H150,'BASE '!$I$112:$J$142,2,0))),IF(AND(F150="LAIT",E150="CLIENT D"),(S150*952.4),IF(AND(F150="HUILE",E150="CLIENT S+D"),((S150*3809.53+(VLOOKUP(H150,'BASE '!$I$112:$J$142,2,0)))-((S150*3809.53)*G150)),IF(AND(F150="LAIT",E150="CLIENT S+D"),((S150*952.4)-((S150*952.4)*G150)),IF(AND(E150="CLIENT S",F150="LAIT"),((S150*952.4)-((S150*952.4)*G150)),IF(AND(F150="HUILE",E150="CLIENT S"),(VLOOKUP(H150,'BASE '!$I$112:$J$142,2,0)+(VLOOKUP(S150,'BASE '!#REF!,2,0)))-(G150*((VLOOKUP(S150,'BASE '!#REF!,2,0)+(VLOOKUP(H150,'BASE '!$I$112:$J$142,2,0))))))))))))))))</f>
        <v>0</v>
      </c>
      <c r="P150" s="52" t="b">
        <f t="shared" si="38"/>
        <v>0</v>
      </c>
      <c r="Q150" s="53" t="b">
        <f t="shared" si="39"/>
        <v>0</v>
      </c>
      <c r="R150" s="152" t="s">
        <v>175</v>
      </c>
      <c r="S150" s="184">
        <f t="shared" si="41"/>
        <v>0</v>
      </c>
      <c r="T150" s="406" t="s">
        <v>44</v>
      </c>
      <c r="U150" s="407"/>
      <c r="V150" s="407"/>
      <c r="W150" s="407"/>
      <c r="X150" s="407"/>
      <c r="Y150" s="407"/>
      <c r="Z150" s="407"/>
      <c r="AA150" s="407"/>
      <c r="AB150" s="407"/>
      <c r="AC150" s="407"/>
      <c r="AD150" s="408">
        <f>SUMIF(AE6:AE144,"&lt;&gt;#N/A")</f>
        <v>0</v>
      </c>
      <c r="AE150" s="408"/>
      <c r="DN150" s="66"/>
    </row>
    <row r="151" spans="2:118" x14ac:dyDescent="0.3">
      <c r="B151" s="64"/>
      <c r="C151" s="148"/>
      <c r="D151" s="109"/>
      <c r="E151" s="63"/>
      <c r="F151" s="127"/>
      <c r="G151" s="50"/>
      <c r="H151" s="10"/>
      <c r="I151" s="10"/>
      <c r="J151" s="10"/>
      <c r="K151" s="10"/>
      <c r="L151" s="10"/>
      <c r="M151" s="39"/>
      <c r="N151" s="33">
        <f t="shared" si="37"/>
        <v>0</v>
      </c>
      <c r="O151" s="52" t="b">
        <f>IF(AND(E151="CLIENT S+L",F151="HUILE"),(S151*3333.33+(VLOOKUP(H151,'BASE '!$I$112:$J$142,2,0)))-((S151*3333.33)*G151),IF(AND(E151="CLIENT S+L",F151="LAIT"),((S151*952.4)-(S151*952.4)*G151),IF(E151="CLIENT O","OFFERT",IF(AND(F151="HUILE",E151="CLIENT L"),(((VLOOKUP(H151,'BASE '!$I$112:$J$142,2,0))+(VLOOKUP(S151,'BASE '!#REF!,2,0)))),IF(AND(F151="LAIT",E151="CLIENT L"),(S151*952.4),IF(AND(F151="HUILE",E151="CLIENT D"),(S151*3809.53+(VLOOKUP(H151,'BASE '!$I$112:$J$142,2,0))),IF(AND(F151="LAIT",E151="CLIENT D"),(S151*952.4),IF(AND(F151="HUILE",E151="CLIENT S+D"),((S151*3809.53+(VLOOKUP(H151,'BASE '!$I$112:$J$142,2,0)))-((S151*3809.53)*G151)),IF(AND(F151="LAIT",E151="CLIENT S+D"),((S151*952.4)-((S151*952.4)*G151)),IF(AND(E151="CLIENT S",F151="LAIT"),((S151*952.4)-((S151*952.4)*G151)),IF(AND(F151="HUILE",E151="CLIENT S"),(VLOOKUP(H151,'BASE '!$I$112:$J$142,2,0)+(VLOOKUP(S151,'BASE '!#REF!,2,0)))-(G151*((VLOOKUP(S151,'BASE '!#REF!,2,0)+(VLOOKUP(H151,'BASE '!$I$112:$J$142,2,0))))))))))))))))</f>
        <v>0</v>
      </c>
      <c r="P151" s="52" t="b">
        <f t="shared" si="38"/>
        <v>0</v>
      </c>
      <c r="Q151" s="53" t="b">
        <f t="shared" si="39"/>
        <v>0</v>
      </c>
      <c r="R151" s="152" t="s">
        <v>175</v>
      </c>
      <c r="S151" s="184">
        <f t="shared" si="41"/>
        <v>0</v>
      </c>
      <c r="DN151" s="66"/>
    </row>
    <row r="152" spans="2:118" x14ac:dyDescent="0.3">
      <c r="B152" s="64"/>
      <c r="C152" s="148"/>
      <c r="D152" s="109"/>
      <c r="E152" s="63"/>
      <c r="F152" s="127"/>
      <c r="G152" s="50"/>
      <c r="H152" s="10"/>
      <c r="I152" s="10"/>
      <c r="J152" s="10"/>
      <c r="K152" s="10"/>
      <c r="L152" s="10"/>
      <c r="M152" s="39"/>
      <c r="N152" s="33">
        <f t="shared" si="37"/>
        <v>0</v>
      </c>
      <c r="O152" s="52" t="b">
        <f>IF(AND(E152="CLIENT S+L",F152="HUILE"),(S152*3333.33+(VLOOKUP(H152,'BASE '!$I$112:$J$142,2,0)))-((S152*3333.33)*G152),IF(AND(E152="CLIENT S+L",F152="LAIT"),((S152*952.4)-(S152*952.4)*G152),IF(E152="CLIENT O","OFFERT",IF(AND(F152="HUILE",E152="CLIENT L"),(((VLOOKUP(H152,'BASE '!$I$112:$J$142,2,0))+(VLOOKUP(S152,'BASE '!#REF!,2,0)))),IF(AND(F152="LAIT",E152="CLIENT L"),(S152*952.4),IF(AND(F152="HUILE",E152="CLIENT D"),(S152*3809.53+(VLOOKUP(H152,'BASE '!$I$112:$J$142,2,0))),IF(AND(F152="LAIT",E152="CLIENT D"),(S152*952.4),IF(AND(F152="HUILE",E152="CLIENT S+D"),((S152*3809.53+(VLOOKUP(H152,'BASE '!$I$112:$J$142,2,0)))-((S152*3809.53)*G152)),IF(AND(F152="LAIT",E152="CLIENT S+D"),((S152*952.4)-((S152*952.4)*G152)),IF(AND(E152="CLIENT S",F152="LAIT"),((S152*952.4)-((S152*952.4)*G152)),IF(AND(F152="HUILE",E152="CLIENT S"),(VLOOKUP(H152,'BASE '!$I$112:$J$142,2,0)+(VLOOKUP(S152,'BASE '!#REF!,2,0)))-(G152*((VLOOKUP(S152,'BASE '!#REF!,2,0)+(VLOOKUP(H152,'BASE '!$I$112:$J$142,2,0))))))))))))))))</f>
        <v>0</v>
      </c>
      <c r="P152" s="52" t="b">
        <f t="shared" si="38"/>
        <v>0</v>
      </c>
      <c r="Q152" s="53" t="b">
        <f t="shared" si="39"/>
        <v>0</v>
      </c>
      <c r="R152" s="152" t="s">
        <v>175</v>
      </c>
      <c r="S152" s="184">
        <f t="shared" si="41"/>
        <v>0</v>
      </c>
      <c r="DN152" s="66"/>
    </row>
    <row r="153" spans="2:118" x14ac:dyDescent="0.3">
      <c r="B153" s="64"/>
      <c r="C153" s="148"/>
      <c r="D153" s="109"/>
      <c r="E153" s="63"/>
      <c r="F153" s="127"/>
      <c r="G153" s="50"/>
      <c r="H153" s="10"/>
      <c r="I153" s="10"/>
      <c r="J153" s="10"/>
      <c r="K153" s="10"/>
      <c r="L153" s="10"/>
      <c r="M153" s="39"/>
      <c r="N153" s="33">
        <f t="shared" si="37"/>
        <v>0</v>
      </c>
      <c r="O153" s="52" t="b">
        <f>IF(AND(E153="CLIENT S+L",F153="HUILE"),(S153*3333.33+(VLOOKUP(H153,'BASE '!$I$112:$J$142,2,0)))-((S153*3333.33)*G153),IF(AND(E153="CLIENT S+L",F153="LAIT"),((S153*952.4)-(S153*952.4)*G153),IF(E153="CLIENT O","OFFERT",IF(AND(F153="HUILE",E153="CLIENT L"),(((VLOOKUP(H153,'BASE '!$I$112:$J$142,2,0))+(VLOOKUP(S153,'BASE '!#REF!,2,0)))),IF(AND(F153="LAIT",E153="CLIENT L"),(S153*952.4),IF(AND(F153="HUILE",E153="CLIENT D"),(S153*3809.53+(VLOOKUP(H153,'BASE '!$I$112:$J$142,2,0))),IF(AND(F153="LAIT",E153="CLIENT D"),(S153*952.4),IF(AND(F153="HUILE",E153="CLIENT S+D"),((S153*3809.53+(VLOOKUP(H153,'BASE '!$I$112:$J$142,2,0)))-((S153*3809.53)*G153)),IF(AND(F153="LAIT",E153="CLIENT S+D"),((S153*952.4)-((S153*952.4)*G153)),IF(AND(E153="CLIENT S",F153="LAIT"),((S153*952.4)-((S153*952.4)*G153)),IF(AND(F153="HUILE",E153="CLIENT S"),(VLOOKUP(H153,'BASE '!$I$112:$J$142,2,0)+(VLOOKUP(S153,'BASE '!#REF!,2,0)))-(G153*((VLOOKUP(S153,'BASE '!#REF!,2,0)+(VLOOKUP(H153,'BASE '!$I$112:$J$142,2,0))))))))))))))))</f>
        <v>0</v>
      </c>
      <c r="P153" s="52" t="b">
        <f t="shared" si="38"/>
        <v>0</v>
      </c>
      <c r="Q153" s="53" t="b">
        <f t="shared" si="39"/>
        <v>0</v>
      </c>
      <c r="R153" s="152" t="s">
        <v>175</v>
      </c>
      <c r="S153" s="184">
        <f t="shared" si="41"/>
        <v>0</v>
      </c>
      <c r="DN153" s="67"/>
    </row>
    <row r="154" spans="2:118" x14ac:dyDescent="0.3">
      <c r="B154" s="64"/>
      <c r="C154" s="148"/>
      <c r="D154" s="109"/>
      <c r="E154" s="63"/>
      <c r="F154" s="127"/>
      <c r="G154" s="50"/>
      <c r="H154" s="10"/>
      <c r="I154" s="10"/>
      <c r="J154" s="10"/>
      <c r="K154" s="10"/>
      <c r="L154" s="10"/>
      <c r="M154" s="39"/>
      <c r="N154" s="33">
        <f t="shared" si="37"/>
        <v>0</v>
      </c>
      <c r="O154" s="52" t="b">
        <f>IF(AND(E154="CLIENT S+L",F154="HUILE"),(S154*3333.33+(VLOOKUP(H154,'BASE '!$I$112:$J$142,2,0)))-((S154*3333.33)*G154),IF(AND(E154="CLIENT S+L",F154="LAIT"),((S154*952.4)-(S154*952.4)*G154),IF(E154="CLIENT O","OFFERT",IF(AND(F154="HUILE",E154="CLIENT L"),(((VLOOKUP(H154,'BASE '!$I$112:$J$142,2,0))+(VLOOKUP(S154,'BASE '!#REF!,2,0)))),IF(AND(F154="LAIT",E154="CLIENT L"),(S154*952.4),IF(AND(F154="HUILE",E154="CLIENT D"),(S154*3809.53+(VLOOKUP(H154,'BASE '!$I$112:$J$142,2,0))),IF(AND(F154="LAIT",E154="CLIENT D"),(S154*952.4),IF(AND(F154="HUILE",E154="CLIENT S+D"),((S154*3809.53+(VLOOKUP(H154,'BASE '!$I$112:$J$142,2,0)))-((S154*3809.53)*G154)),IF(AND(F154="LAIT",E154="CLIENT S+D"),((S154*952.4)-((S154*952.4)*G154)),IF(AND(E154="CLIENT S",F154="LAIT"),((S154*952.4)-((S154*952.4)*G154)),IF(AND(F154="HUILE",E154="CLIENT S"),(VLOOKUP(H154,'BASE '!$I$112:$J$142,2,0)+(VLOOKUP(S154,'BASE '!#REF!,2,0)))-(G154*((VLOOKUP(S154,'BASE '!#REF!,2,0)+(VLOOKUP(H154,'BASE '!$I$112:$J$142,2,0))))))))))))))))</f>
        <v>0</v>
      </c>
      <c r="P154" s="52" t="b">
        <f t="shared" si="38"/>
        <v>0</v>
      </c>
      <c r="Q154" s="53" t="b">
        <f t="shared" si="39"/>
        <v>0</v>
      </c>
      <c r="R154" s="152" t="s">
        <v>175</v>
      </c>
      <c r="S154" s="184">
        <f t="shared" si="41"/>
        <v>0</v>
      </c>
      <c r="DN154" s="67"/>
    </row>
    <row r="155" spans="2:118" x14ac:dyDescent="0.3">
      <c r="B155" s="64"/>
      <c r="C155" s="148"/>
      <c r="D155" s="109"/>
      <c r="E155" s="63"/>
      <c r="F155" s="127"/>
      <c r="G155" s="50"/>
      <c r="H155" s="10"/>
      <c r="I155" s="10"/>
      <c r="J155" s="10"/>
      <c r="K155" s="10"/>
      <c r="L155" s="10"/>
      <c r="M155" s="39"/>
      <c r="N155" s="33">
        <f t="shared" si="37"/>
        <v>0</v>
      </c>
      <c r="O155" s="52" t="b">
        <f>IF(AND(E155="CLIENT S+L",F155="HUILE"),(S155*3333.33+(VLOOKUP(H155,'BASE '!$I$112:$J$142,2,0)))-((S155*3333.33)*G155),IF(AND(E155="CLIENT S+L",F155="LAIT"),((S155*952.4)-(S155*952.4)*G155),IF(E155="CLIENT O","OFFERT",IF(AND(F155="HUILE",E155="CLIENT L"),(((VLOOKUP(H155,'BASE '!$I$112:$J$142,2,0))+(VLOOKUP(S155,'BASE '!#REF!,2,0)))),IF(AND(F155="LAIT",E155="CLIENT L"),(S155*952.4),IF(AND(F155="HUILE",E155="CLIENT D"),(S155*3809.53+(VLOOKUP(H155,'BASE '!$I$112:$J$142,2,0))),IF(AND(F155="LAIT",E155="CLIENT D"),(S155*952.4),IF(AND(F155="HUILE",E155="CLIENT S+D"),((S155*3809.53+(VLOOKUP(H155,'BASE '!$I$112:$J$142,2,0)))-((S155*3809.53)*G155)),IF(AND(F155="LAIT",E155="CLIENT S+D"),((S155*952.4)-((S155*952.4)*G155)),IF(AND(E155="CLIENT S",F155="LAIT"),((S155*952.4)-((S155*952.4)*G155)),IF(AND(F155="HUILE",E155="CLIENT S"),(VLOOKUP(H155,'BASE '!$I$112:$J$142,2,0)+(VLOOKUP(S155,'BASE '!#REF!,2,0)))-(G155*((VLOOKUP(S155,'BASE '!#REF!,2,0)+(VLOOKUP(H155,'BASE '!$I$112:$J$142,2,0))))))))))))))))</f>
        <v>0</v>
      </c>
      <c r="P155" s="52" t="b">
        <f t="shared" si="38"/>
        <v>0</v>
      </c>
      <c r="Q155" s="53" t="b">
        <f t="shared" si="39"/>
        <v>0</v>
      </c>
      <c r="R155" s="152" t="s">
        <v>175</v>
      </c>
      <c r="S155" s="184">
        <f t="shared" si="41"/>
        <v>0</v>
      </c>
    </row>
    <row r="156" spans="2:118" x14ac:dyDescent="0.3">
      <c r="B156" s="64"/>
      <c r="C156" s="148"/>
      <c r="D156" s="109"/>
      <c r="E156" s="63"/>
      <c r="F156" s="127"/>
      <c r="G156" s="50"/>
      <c r="H156" s="10"/>
      <c r="I156" s="10"/>
      <c r="J156" s="10"/>
      <c r="K156" s="10"/>
      <c r="L156" s="10"/>
      <c r="M156" s="39"/>
      <c r="N156" s="33">
        <f t="shared" si="37"/>
        <v>0</v>
      </c>
      <c r="O156" s="52" t="b">
        <f>IF(AND(E156="CLIENT S+L",F156="HUILE"),(S156*3333.33+(VLOOKUP(H156,'BASE '!$I$112:$J$142,2,0)))-((S156*3333.33)*G156),IF(AND(E156="CLIENT S+L",F156="LAIT"),((S156*952.4)-(S156*952.4)*G156),IF(E156="CLIENT O","OFFERT",IF(AND(F156="HUILE",E156="CLIENT L"),(((VLOOKUP(H156,'BASE '!$I$112:$J$142,2,0))+(VLOOKUP(S156,'BASE '!#REF!,2,0)))),IF(AND(F156="LAIT",E156="CLIENT L"),(S156*952.4),IF(AND(F156="HUILE",E156="CLIENT D"),(S156*3809.53+(VLOOKUP(H156,'BASE '!$I$112:$J$142,2,0))),IF(AND(F156="LAIT",E156="CLIENT D"),(S156*952.4),IF(AND(F156="HUILE",E156="CLIENT S+D"),((S156*3809.53+(VLOOKUP(H156,'BASE '!$I$112:$J$142,2,0)))-((S156*3809.53)*G156)),IF(AND(F156="LAIT",E156="CLIENT S+D"),((S156*952.4)-((S156*952.4)*G156)),IF(AND(E156="CLIENT S",F156="LAIT"),((S156*952.4)-((S156*952.4)*G156)),IF(AND(F156="HUILE",E156="CLIENT S"),(VLOOKUP(H156,'BASE '!$I$112:$J$142,2,0)+(VLOOKUP(S156,'BASE '!#REF!,2,0)))-(G156*((VLOOKUP(S156,'BASE '!#REF!,2,0)+(VLOOKUP(H156,'BASE '!$I$112:$J$142,2,0))))))))))))))))</f>
        <v>0</v>
      </c>
      <c r="P156" s="52" t="b">
        <f t="shared" si="38"/>
        <v>0</v>
      </c>
      <c r="Q156" s="53" t="b">
        <f t="shared" si="39"/>
        <v>0</v>
      </c>
      <c r="R156" s="152" t="s">
        <v>175</v>
      </c>
      <c r="S156" s="184">
        <f t="shared" si="41"/>
        <v>0</v>
      </c>
    </row>
    <row r="157" spans="2:118" x14ac:dyDescent="0.3">
      <c r="B157" s="64"/>
      <c r="C157" s="148"/>
      <c r="D157" s="109"/>
      <c r="E157" s="63"/>
      <c r="F157" s="127"/>
      <c r="G157" s="50"/>
      <c r="H157" s="10"/>
      <c r="I157" s="10"/>
      <c r="J157" s="10"/>
      <c r="K157" s="10"/>
      <c r="L157" s="10"/>
      <c r="M157" s="39"/>
      <c r="N157" s="33">
        <f t="shared" si="37"/>
        <v>0</v>
      </c>
      <c r="O157" s="52" t="b">
        <f>IF(AND(E157="CLIENT S+L",F157="HUILE"),(S157*3333.33+(VLOOKUP(H157,'BASE '!$I$112:$J$142,2,0)))-((S157*3333.33)*G157),IF(AND(E157="CLIENT S+L",F157="LAIT"),((S157*952.4)-(S157*952.4)*G157),IF(E157="CLIENT O","OFFERT",IF(AND(F157="HUILE",E157="CLIENT L"),(((VLOOKUP(H157,'BASE '!$I$112:$J$142,2,0))+(VLOOKUP(S157,'BASE '!#REF!,2,0)))),IF(AND(F157="LAIT",E157="CLIENT L"),(S157*952.4),IF(AND(F157="HUILE",E157="CLIENT D"),(S157*3809.53+(VLOOKUP(H157,'BASE '!$I$112:$J$142,2,0))),IF(AND(F157="LAIT",E157="CLIENT D"),(S157*952.4),IF(AND(F157="HUILE",E157="CLIENT S+D"),((S157*3809.53+(VLOOKUP(H157,'BASE '!$I$112:$J$142,2,0)))-((S157*3809.53)*G157)),IF(AND(F157="LAIT",E157="CLIENT S+D"),((S157*952.4)-((S157*952.4)*G157)),IF(AND(E157="CLIENT S",F157="LAIT"),((S157*952.4)-((S157*952.4)*G157)),IF(AND(F157="HUILE",E157="CLIENT S"),(VLOOKUP(H157,'BASE '!$I$112:$J$142,2,0)+(VLOOKUP(S157,'BASE '!#REF!,2,0)))-(G157*((VLOOKUP(S157,'BASE '!#REF!,2,0)+(VLOOKUP(H157,'BASE '!$I$112:$J$142,2,0))))))))))))))))</f>
        <v>0</v>
      </c>
      <c r="P157" s="52" t="b">
        <f t="shared" si="38"/>
        <v>0</v>
      </c>
      <c r="Q157" s="53" t="b">
        <f t="shared" si="39"/>
        <v>0</v>
      </c>
      <c r="R157" s="152" t="s">
        <v>175</v>
      </c>
      <c r="S157" s="184">
        <f t="shared" si="41"/>
        <v>0</v>
      </c>
    </row>
    <row r="158" spans="2:118" x14ac:dyDescent="0.3">
      <c r="B158" s="64"/>
      <c r="C158" s="148"/>
      <c r="D158" s="109"/>
      <c r="E158" s="63"/>
      <c r="F158" s="127"/>
      <c r="G158" s="50"/>
      <c r="H158" s="10"/>
      <c r="I158" s="10"/>
      <c r="J158" s="10"/>
      <c r="K158" s="10"/>
      <c r="L158" s="10"/>
      <c r="M158" s="39"/>
      <c r="N158" s="33">
        <f t="shared" si="37"/>
        <v>0</v>
      </c>
      <c r="O158" s="52" t="b">
        <f>IF(AND(E158="CLIENT S+L",F158="HUILE"),(S158*3333.33+(VLOOKUP(H158,'BASE '!$I$112:$J$142,2,0)))-((S158*3333.33)*G158),IF(AND(E158="CLIENT S+L",F158="LAIT"),((S158*952.4)-(S158*952.4)*G158),IF(E158="CLIENT O","OFFERT",IF(AND(F158="HUILE",E158="CLIENT L"),(((VLOOKUP(H158,'BASE '!$I$112:$J$142,2,0))+(VLOOKUP(S158,'BASE '!#REF!,2,0)))),IF(AND(F158="LAIT",E158="CLIENT L"),(S158*952.4),IF(AND(F158="HUILE",E158="CLIENT D"),(S158*3809.53+(VLOOKUP(H158,'BASE '!$I$112:$J$142,2,0))),IF(AND(F158="LAIT",E158="CLIENT D"),(S158*952.4),IF(AND(F158="HUILE",E158="CLIENT S+D"),((S158*3809.53+(VLOOKUP(H158,'BASE '!$I$112:$J$142,2,0)))-((S158*3809.53)*G158)),IF(AND(F158="LAIT",E158="CLIENT S+D"),((S158*952.4)-((S158*952.4)*G158)),IF(AND(E158="CLIENT S",F158="LAIT"),((S158*952.4)-((S158*952.4)*G158)),IF(AND(F158="HUILE",E158="CLIENT S"),(VLOOKUP(H158,'BASE '!$I$112:$J$142,2,0)+(VLOOKUP(S158,'BASE '!#REF!,2,0)))-(G158*((VLOOKUP(S158,'BASE '!#REF!,2,0)+(VLOOKUP(H158,'BASE '!$I$112:$J$142,2,0))))))))))))))))</f>
        <v>0</v>
      </c>
      <c r="P158" s="52" t="b">
        <f t="shared" si="38"/>
        <v>0</v>
      </c>
      <c r="Q158" s="53" t="b">
        <f t="shared" si="39"/>
        <v>0</v>
      </c>
      <c r="R158" s="152" t="s">
        <v>175</v>
      </c>
      <c r="S158" s="184">
        <f t="shared" si="41"/>
        <v>0</v>
      </c>
    </row>
    <row r="159" spans="2:118" x14ac:dyDescent="0.3">
      <c r="B159" s="64"/>
      <c r="C159" s="148"/>
      <c r="D159" s="109"/>
      <c r="E159" s="63"/>
      <c r="F159" s="127"/>
      <c r="G159" s="50"/>
      <c r="H159" s="10"/>
      <c r="I159" s="10"/>
      <c r="J159" s="10"/>
      <c r="K159" s="10"/>
      <c r="L159" s="10"/>
      <c r="M159" s="39"/>
      <c r="N159" s="33">
        <f t="shared" si="37"/>
        <v>0</v>
      </c>
      <c r="O159" s="52" t="b">
        <f>IF(AND(E159="CLIENT S+L",F159="HUILE"),(S159*3333.33+(VLOOKUP(H159,'BASE '!$I$112:$J$142,2,0)))-((S159*3333.33)*G159),IF(AND(E159="CLIENT S+L",F159="LAIT"),((S159*952.4)-(S159*952.4)*G159),IF(E159="CLIENT O","OFFERT",IF(AND(F159="HUILE",E159="CLIENT L"),(((VLOOKUP(H159,'BASE '!$I$112:$J$142,2,0))+(VLOOKUP(S159,'BASE '!#REF!,2,0)))),IF(AND(F159="LAIT",E159="CLIENT L"),(S159*952.4),IF(AND(F159="HUILE",E159="CLIENT D"),(S159*3809.53+(VLOOKUP(H159,'BASE '!$I$112:$J$142,2,0))),IF(AND(F159="LAIT",E159="CLIENT D"),(S159*952.4),IF(AND(F159="HUILE",E159="CLIENT S+D"),((S159*3809.53+(VLOOKUP(H159,'BASE '!$I$112:$J$142,2,0)))-((S159*3809.53)*G159)),IF(AND(F159="LAIT",E159="CLIENT S+D"),((S159*952.4)-((S159*952.4)*G159)),IF(AND(E159="CLIENT S",F159="LAIT"),((S159*952.4)-((S159*952.4)*G159)),IF(AND(F159="HUILE",E159="CLIENT S"),(VLOOKUP(H159,'BASE '!$I$112:$J$142,2,0)+(VLOOKUP(S159,'BASE '!#REF!,2,0)))-(G159*((VLOOKUP(S159,'BASE '!#REF!,2,0)+(VLOOKUP(H159,'BASE '!$I$112:$J$142,2,0))))))))))))))))</f>
        <v>0</v>
      </c>
      <c r="P159" s="52" t="b">
        <f t="shared" si="38"/>
        <v>0</v>
      </c>
      <c r="Q159" s="53" t="b">
        <f t="shared" si="39"/>
        <v>0</v>
      </c>
      <c r="R159" s="152" t="s">
        <v>175</v>
      </c>
      <c r="S159" s="184">
        <f t="shared" si="41"/>
        <v>0</v>
      </c>
    </row>
    <row r="160" spans="2:118" x14ac:dyDescent="0.3">
      <c r="B160" s="64"/>
      <c r="C160" s="148"/>
      <c r="D160" s="109"/>
      <c r="E160" s="63"/>
      <c r="F160" s="127"/>
      <c r="G160" s="50"/>
      <c r="H160" s="10"/>
      <c r="I160" s="10"/>
      <c r="J160" s="10"/>
      <c r="K160" s="10"/>
      <c r="L160" s="10"/>
      <c r="M160" s="39"/>
      <c r="N160" s="33">
        <f t="shared" si="37"/>
        <v>0</v>
      </c>
      <c r="O160" s="52" t="b">
        <f>IF(AND(E160="CLIENT S+L",F160="HUILE"),(S160*3333.33+(VLOOKUP(H160,'BASE '!$I$112:$J$142,2,0)))-((S160*3333.33)*G160),IF(AND(E160="CLIENT S+L",F160="LAIT"),((S160*952.4)-(S160*952.4)*G160),IF(E160="CLIENT O","OFFERT",IF(AND(F160="HUILE",E160="CLIENT L"),(((VLOOKUP(H160,'BASE '!$I$112:$J$142,2,0))+(VLOOKUP(S160,'BASE '!#REF!,2,0)))),IF(AND(F160="LAIT",E160="CLIENT L"),(S160*952.4),IF(AND(F160="HUILE",E160="CLIENT D"),(S160*3809.53+(VLOOKUP(H160,'BASE '!$I$112:$J$142,2,0))),IF(AND(F160="LAIT",E160="CLIENT D"),(S160*952.4),IF(AND(F160="HUILE",E160="CLIENT S+D"),((S160*3809.53+(VLOOKUP(H160,'BASE '!$I$112:$J$142,2,0)))-((S160*3809.53)*G160)),IF(AND(F160="LAIT",E160="CLIENT S+D"),((S160*952.4)-((S160*952.4)*G160)),IF(AND(E160="CLIENT S",F160="LAIT"),((S160*952.4)-((S160*952.4)*G160)),IF(AND(F160="HUILE",E160="CLIENT S"),(VLOOKUP(H160,'BASE '!$I$112:$J$142,2,0)+(VLOOKUP(S160,'BASE '!#REF!,2,0)))-(G160*((VLOOKUP(S160,'BASE '!#REF!,2,0)+(VLOOKUP(H160,'BASE '!$I$112:$J$142,2,0))))))))))))))))</f>
        <v>0</v>
      </c>
      <c r="P160" s="52" t="b">
        <f t="shared" si="38"/>
        <v>0</v>
      </c>
      <c r="Q160" s="53" t="b">
        <f t="shared" si="39"/>
        <v>0</v>
      </c>
      <c r="R160" s="152" t="s">
        <v>175</v>
      </c>
      <c r="S160" s="184">
        <f t="shared" si="41"/>
        <v>0</v>
      </c>
    </row>
    <row r="161" spans="2:19" x14ac:dyDescent="0.3">
      <c r="B161" s="64"/>
      <c r="C161" s="148"/>
      <c r="D161" s="109"/>
      <c r="E161" s="63"/>
      <c r="F161" s="127"/>
      <c r="G161" s="50"/>
      <c r="H161" s="10"/>
      <c r="I161" s="10"/>
      <c r="J161" s="10"/>
      <c r="K161" s="10"/>
      <c r="L161" s="10"/>
      <c r="M161" s="39"/>
      <c r="N161" s="33">
        <f t="shared" si="37"/>
        <v>0</v>
      </c>
      <c r="O161" s="52" t="b">
        <f>IF(AND(E161="CLIENT S+L",F161="HUILE"),(S161*3333.33+(VLOOKUP(H161,'BASE '!$I$112:$J$142,2,0)))-((S161*3333.33)*G161),IF(AND(E161="CLIENT S+L",F161="LAIT"),((S161*952.4)-(S161*952.4)*G161),IF(E161="CLIENT O","OFFERT",IF(AND(F161="HUILE",E161="CLIENT L"),(((VLOOKUP(H161,'BASE '!$I$112:$J$142,2,0))+(VLOOKUP(S161,'BASE '!#REF!,2,0)))),IF(AND(F161="LAIT",E161="CLIENT L"),(S161*952.4),IF(AND(F161="HUILE",E161="CLIENT D"),(S161*3809.53+(VLOOKUP(H161,'BASE '!$I$112:$J$142,2,0))),IF(AND(F161="LAIT",E161="CLIENT D"),(S161*952.4),IF(AND(F161="HUILE",E161="CLIENT S+D"),((S161*3809.53+(VLOOKUP(H161,'BASE '!$I$112:$J$142,2,0)))-((S161*3809.53)*G161)),IF(AND(F161="LAIT",E161="CLIENT S+D"),((S161*952.4)-((S161*952.4)*G161)),IF(AND(E161="CLIENT S",F161="LAIT"),((S161*952.4)-((S161*952.4)*G161)),IF(AND(F161="HUILE",E161="CLIENT S"),(VLOOKUP(H161,'BASE '!$I$112:$J$142,2,0)+(VLOOKUP(S161,'BASE '!#REF!,2,0)))-(G161*((VLOOKUP(S161,'BASE '!#REF!,2,0)+(VLOOKUP(H161,'BASE '!$I$112:$J$142,2,0))))))))))))))))</f>
        <v>0</v>
      </c>
      <c r="P161" s="52" t="b">
        <f t="shared" si="38"/>
        <v>0</v>
      </c>
      <c r="Q161" s="53" t="b">
        <f t="shared" si="39"/>
        <v>0</v>
      </c>
      <c r="R161" s="152" t="s">
        <v>175</v>
      </c>
      <c r="S161" s="184">
        <f t="shared" si="41"/>
        <v>0</v>
      </c>
    </row>
    <row r="162" spans="2:19" x14ac:dyDescent="0.3">
      <c r="B162" s="64"/>
      <c r="C162" s="148"/>
      <c r="D162" s="109"/>
      <c r="E162" s="63"/>
      <c r="F162" s="127"/>
      <c r="G162" s="50"/>
      <c r="H162" s="10"/>
      <c r="I162" s="10"/>
      <c r="J162" s="10"/>
      <c r="K162" s="10"/>
      <c r="L162" s="10"/>
      <c r="M162" s="39"/>
      <c r="N162" s="33">
        <f t="shared" si="37"/>
        <v>0</v>
      </c>
      <c r="O162" s="52" t="b">
        <f>IF(AND(E162="CLIENT S+L",F162="HUILE"),(S162*3333.33+(VLOOKUP(H162,'BASE '!$I$112:$J$142,2,0)))-((S162*3333.33)*G162),IF(AND(E162="CLIENT S+L",F162="LAIT"),((S162*952.4)-(S162*952.4)*G162),IF(E162="CLIENT O","OFFERT",IF(AND(F162="HUILE",E162="CLIENT L"),(((VLOOKUP(H162,'BASE '!$I$112:$J$142,2,0))+(VLOOKUP(S162,'BASE '!#REF!,2,0)))),IF(AND(F162="LAIT",E162="CLIENT L"),(S162*952.4),IF(AND(F162="HUILE",E162="CLIENT D"),(S162*3809.53+(VLOOKUP(H162,'BASE '!$I$112:$J$142,2,0))),IF(AND(F162="LAIT",E162="CLIENT D"),(S162*952.4),IF(AND(F162="HUILE",E162="CLIENT S+D"),((S162*3809.53+(VLOOKUP(H162,'BASE '!$I$112:$J$142,2,0)))-((S162*3809.53)*G162)),IF(AND(F162="LAIT",E162="CLIENT S+D"),((S162*952.4)-((S162*952.4)*G162)),IF(AND(E162="CLIENT S",F162="LAIT"),((S162*952.4)-((S162*952.4)*G162)),IF(AND(F162="HUILE",E162="CLIENT S"),(VLOOKUP(H162,'BASE '!$I$112:$J$142,2,0)+(VLOOKUP(S162,'BASE '!#REF!,2,0)))-(G162*((VLOOKUP(S162,'BASE '!#REF!,2,0)+(VLOOKUP(H162,'BASE '!$I$112:$J$142,2,0))))))))))))))))</f>
        <v>0</v>
      </c>
      <c r="P162" s="52" t="b">
        <f t="shared" si="38"/>
        <v>0</v>
      </c>
      <c r="Q162" s="53" t="b">
        <f t="shared" si="39"/>
        <v>0</v>
      </c>
      <c r="R162" s="152" t="s">
        <v>175</v>
      </c>
      <c r="S162" s="184">
        <f t="shared" si="41"/>
        <v>0</v>
      </c>
    </row>
    <row r="163" spans="2:19" x14ac:dyDescent="0.3">
      <c r="B163" s="64"/>
      <c r="C163" s="148"/>
      <c r="D163" s="109"/>
      <c r="E163" s="63"/>
      <c r="F163" s="127"/>
      <c r="G163" s="50"/>
      <c r="H163" s="10"/>
      <c r="I163" s="10"/>
      <c r="J163" s="10"/>
      <c r="K163" s="10"/>
      <c r="L163" s="10"/>
      <c r="M163" s="39"/>
      <c r="N163" s="33">
        <f t="shared" si="37"/>
        <v>0</v>
      </c>
      <c r="O163" s="52" t="b">
        <f>IF(AND(E163="CLIENT S+L",F163="HUILE"),(S163*3333.33+(VLOOKUP(H163,'BASE '!$I$112:$J$142,2,0)))-((S163*3333.33)*G163),IF(AND(E163="CLIENT S+L",F163="LAIT"),((S163*952.4)-(S163*952.4)*G163),IF(E163="CLIENT O","OFFERT",IF(AND(F163="HUILE",E163="CLIENT L"),(((VLOOKUP(H163,'BASE '!$I$112:$J$142,2,0))+(VLOOKUP(S163,'BASE '!#REF!,2,0)))),IF(AND(F163="LAIT",E163="CLIENT L"),(S163*952.4),IF(AND(F163="HUILE",E163="CLIENT D"),(S163*3809.53+(VLOOKUP(H163,'BASE '!$I$112:$J$142,2,0))),IF(AND(F163="LAIT",E163="CLIENT D"),(S163*952.4),IF(AND(F163="HUILE",E163="CLIENT S+D"),((S163*3809.53+(VLOOKUP(H163,'BASE '!$I$112:$J$142,2,0)))-((S163*3809.53)*G163)),IF(AND(F163="LAIT",E163="CLIENT S+D"),((S163*952.4)-((S163*952.4)*G163)),IF(AND(E163="CLIENT S",F163="LAIT"),((S163*952.4)-((S163*952.4)*G163)),IF(AND(F163="HUILE",E163="CLIENT S"),(VLOOKUP(H163,'BASE '!$I$112:$J$142,2,0)+(VLOOKUP(S163,'BASE '!#REF!,2,0)))-(G163*((VLOOKUP(S163,'BASE '!#REF!,2,0)+(VLOOKUP(H163,'BASE '!$I$112:$J$142,2,0))))))))))))))))</f>
        <v>0</v>
      </c>
      <c r="P163" s="52" t="b">
        <f t="shared" si="38"/>
        <v>0</v>
      </c>
      <c r="Q163" s="53" t="b">
        <f t="shared" si="39"/>
        <v>0</v>
      </c>
      <c r="R163" s="152" t="s">
        <v>175</v>
      </c>
      <c r="S163" s="184">
        <f t="shared" si="41"/>
        <v>0</v>
      </c>
    </row>
    <row r="164" spans="2:19" x14ac:dyDescent="0.3">
      <c r="B164" s="64"/>
      <c r="C164" s="148"/>
      <c r="D164" s="109"/>
      <c r="E164" s="63"/>
      <c r="F164" s="127"/>
      <c r="G164" s="50"/>
      <c r="H164" s="10"/>
      <c r="I164" s="10"/>
      <c r="J164" s="10"/>
      <c r="K164" s="10"/>
      <c r="L164" s="10"/>
      <c r="M164" s="39"/>
      <c r="N164" s="33">
        <f t="shared" si="37"/>
        <v>0</v>
      </c>
      <c r="O164" s="52" t="b">
        <f>IF(AND(E164="CLIENT S+L",F164="HUILE"),(S164*3333.33+(VLOOKUP(H164,'BASE '!$I$112:$J$142,2,0)))-((S164*3333.33)*G164),IF(AND(E164="CLIENT S+L",F164="LAIT"),((S164*952.4)-(S164*952.4)*G164),IF(E164="CLIENT O","OFFERT",IF(AND(F164="HUILE",E164="CLIENT L"),(((VLOOKUP(H164,'BASE '!$I$112:$J$142,2,0))+(VLOOKUP(S164,'BASE '!#REF!,2,0)))),IF(AND(F164="LAIT",E164="CLIENT L"),(S164*952.4),IF(AND(F164="HUILE",E164="CLIENT D"),(S164*3809.53+(VLOOKUP(H164,'BASE '!$I$112:$J$142,2,0))),IF(AND(F164="LAIT",E164="CLIENT D"),(S164*952.4),IF(AND(F164="HUILE",E164="CLIENT S+D"),((S164*3809.53+(VLOOKUP(H164,'BASE '!$I$112:$J$142,2,0)))-((S164*3809.53)*G164)),IF(AND(F164="LAIT",E164="CLIENT S+D"),((S164*952.4)-((S164*952.4)*G164)),IF(AND(E164="CLIENT S",F164="LAIT"),((S164*952.4)-((S164*952.4)*G164)),IF(AND(F164="HUILE",E164="CLIENT S"),(VLOOKUP(H164,'BASE '!$I$112:$J$142,2,0)+(VLOOKUP(S164,'BASE '!#REF!,2,0)))-(G164*((VLOOKUP(S164,'BASE '!#REF!,2,0)+(VLOOKUP(H164,'BASE '!$I$112:$J$142,2,0))))))))))))))))</f>
        <v>0</v>
      </c>
      <c r="P164" s="52" t="b">
        <f t="shared" si="38"/>
        <v>0</v>
      </c>
      <c r="Q164" s="53" t="b">
        <f t="shared" si="39"/>
        <v>0</v>
      </c>
      <c r="R164" s="152" t="s">
        <v>175</v>
      </c>
      <c r="S164" s="184">
        <f t="shared" si="41"/>
        <v>0</v>
      </c>
    </row>
    <row r="165" spans="2:19" ht="15" thickBot="1" x14ac:dyDescent="0.35">
      <c r="B165" s="179"/>
      <c r="C165" s="150"/>
      <c r="D165" s="110"/>
      <c r="E165" s="44"/>
      <c r="F165" s="180"/>
      <c r="G165" s="181"/>
      <c r="H165" s="14"/>
      <c r="I165" s="14"/>
      <c r="J165" s="14"/>
      <c r="K165" s="14"/>
      <c r="L165" s="14"/>
      <c r="M165" s="40"/>
      <c r="N165" s="34">
        <f t="shared" si="37"/>
        <v>0</v>
      </c>
      <c r="O165" s="182" t="b">
        <f>IF(AND(E165="CLIENT S+L",F165="HUILE"),(S165*3333.33+(VLOOKUP(H165,'BASE '!$I$112:$J$142,2,0)))-((S165*3333.33)*G165),IF(AND(E165="CLIENT S+L",F165="LAIT"),((S165*952.4)-(S165*952.4)*G165),IF(E165="CLIENT O","OFFERT",IF(AND(F165="HUILE",E165="CLIENT L"),(((VLOOKUP(H165,'BASE '!$I$112:$J$142,2,0))+(VLOOKUP(S165,'BASE '!#REF!,2,0)))),IF(AND(F165="LAIT",E165="CLIENT L"),(S165*952.4),IF(AND(F165="HUILE",E165="CLIENT D"),(S165*3809.53+(VLOOKUP(H165,'BASE '!$I$112:$J$142,2,0))),IF(AND(F165="LAIT",E165="CLIENT D"),(S165*952.4),IF(AND(F165="HUILE",E165="CLIENT S+D"),((S165*3809.53+(VLOOKUP(H165,'BASE '!$I$112:$J$142,2,0)))-((S165*3809.53)*G165)),IF(AND(F165="LAIT",E165="CLIENT S+D"),((S165*952.4)-((S165*952.4)*G165)),IF(AND(E165="CLIENT S",F165="LAIT"),((S165*952.4)-((S165*952.4)*G165)),IF(AND(F165="HUILE",E165="CLIENT S"),(VLOOKUP(H165,'BASE '!$I$112:$J$142,2,0)+(VLOOKUP(S165,'BASE '!#REF!,2,0)))-(G165*((VLOOKUP(S165,'BASE '!#REF!,2,0)+(VLOOKUP(H165,'BASE '!$I$112:$J$142,2,0))))))))))))))))</f>
        <v>0</v>
      </c>
      <c r="P165" s="182" t="b">
        <f t="shared" si="38"/>
        <v>0</v>
      </c>
      <c r="Q165" s="183" t="b">
        <f t="shared" si="39"/>
        <v>0</v>
      </c>
      <c r="R165" s="151" t="s">
        <v>175</v>
      </c>
      <c r="S165" s="184">
        <f t="shared" si="41"/>
        <v>0</v>
      </c>
    </row>
    <row r="166" spans="2:19" ht="15" thickBot="1" x14ac:dyDescent="0.35">
      <c r="B166" s="555" t="s">
        <v>180</v>
      </c>
      <c r="C166" s="555"/>
      <c r="D166" s="555"/>
      <c r="E166" s="555"/>
      <c r="F166" s="555"/>
      <c r="G166" s="555"/>
      <c r="H166" s="556" t="e">
        <f t="shared" ref="H166:N166" si="43">SUMIF(CHOIX,"HUILE",H6:H165)</f>
        <v>#NAME?</v>
      </c>
      <c r="I166" s="556" t="e">
        <f t="shared" si="43"/>
        <v>#NAME?</v>
      </c>
      <c r="J166" s="556" t="e">
        <f t="shared" si="43"/>
        <v>#NAME?</v>
      </c>
      <c r="K166" s="556" t="e">
        <f t="shared" si="43"/>
        <v>#NAME?</v>
      </c>
      <c r="L166" s="556" t="e">
        <f t="shared" si="43"/>
        <v>#NAME?</v>
      </c>
      <c r="M166" s="556" t="e">
        <f t="shared" si="43"/>
        <v>#NAME?</v>
      </c>
      <c r="N166" s="556" t="e">
        <f t="shared" si="43"/>
        <v>#NAME?</v>
      </c>
      <c r="O166" s="557"/>
      <c r="P166" s="557"/>
      <c r="Q166" s="557"/>
      <c r="R166" s="557"/>
      <c r="S166" s="116"/>
    </row>
    <row r="167" spans="2:19" ht="15" thickBot="1" x14ac:dyDescent="0.35">
      <c r="B167" s="391"/>
      <c r="C167" s="391"/>
      <c r="D167" s="391"/>
      <c r="E167" s="391"/>
      <c r="F167" s="391"/>
      <c r="G167" s="391"/>
      <c r="H167" s="538"/>
      <c r="I167" s="538"/>
      <c r="J167" s="538"/>
      <c r="K167" s="538"/>
      <c r="L167" s="538"/>
      <c r="M167" s="538"/>
      <c r="N167" s="538"/>
      <c r="O167" s="539"/>
      <c r="P167" s="539"/>
      <c r="Q167" s="539"/>
      <c r="R167" s="539"/>
      <c r="S167" s="116"/>
    </row>
    <row r="168" spans="2:19" ht="15" thickBot="1" x14ac:dyDescent="0.35">
      <c r="B168" s="391" t="s">
        <v>181</v>
      </c>
      <c r="C168" s="391"/>
      <c r="D168" s="391"/>
      <c r="E168" s="391"/>
      <c r="F168" s="391"/>
      <c r="G168" s="391"/>
      <c r="H168" s="537" t="e">
        <f t="shared" ref="H168:N168" si="44">SUMIF(CHOIX,"LAIT",H6:H165)</f>
        <v>#NAME?</v>
      </c>
      <c r="I168" s="537" t="e">
        <f t="shared" si="44"/>
        <v>#NAME?</v>
      </c>
      <c r="J168" s="537" t="e">
        <f t="shared" si="44"/>
        <v>#NAME?</v>
      </c>
      <c r="K168" s="537" t="e">
        <f t="shared" si="44"/>
        <v>#NAME?</v>
      </c>
      <c r="L168" s="537" t="e">
        <f t="shared" si="44"/>
        <v>#NAME?</v>
      </c>
      <c r="M168" s="537" t="e">
        <f t="shared" si="44"/>
        <v>#NAME?</v>
      </c>
      <c r="N168" s="537" t="e">
        <f t="shared" si="44"/>
        <v>#NAME?</v>
      </c>
      <c r="O168" s="539"/>
      <c r="P168" s="539"/>
      <c r="Q168" s="539"/>
      <c r="R168" s="539"/>
      <c r="S168" s="68"/>
    </row>
    <row r="169" spans="2:19" ht="15" thickBot="1" x14ac:dyDescent="0.35">
      <c r="B169" s="391"/>
      <c r="C169" s="391"/>
      <c r="D169" s="391"/>
      <c r="E169" s="391"/>
      <c r="F169" s="391"/>
      <c r="G169" s="391"/>
      <c r="H169" s="538"/>
      <c r="I169" s="538"/>
      <c r="J169" s="538"/>
      <c r="K169" s="538"/>
      <c r="L169" s="538"/>
      <c r="M169" s="538"/>
      <c r="N169" s="538"/>
      <c r="O169" s="539"/>
      <c r="P169" s="539"/>
      <c r="Q169" s="539"/>
      <c r="R169" s="539"/>
      <c r="S169" s="68"/>
    </row>
    <row r="170" spans="2:19" ht="15" thickBot="1" x14ac:dyDescent="0.35">
      <c r="B170" s="391" t="s">
        <v>28</v>
      </c>
      <c r="C170" s="391"/>
      <c r="D170" s="391"/>
      <c r="E170" s="391"/>
      <c r="F170" s="391"/>
      <c r="G170" s="391"/>
      <c r="H170" s="391"/>
      <c r="I170" s="391"/>
      <c r="J170" s="391"/>
      <c r="K170" s="391"/>
      <c r="L170" s="391"/>
      <c r="M170" s="391"/>
      <c r="N170" s="390">
        <f>SUMIF(O6:O165,"&lt;&gt;#N/A")</f>
        <v>0</v>
      </c>
      <c r="O170" s="390"/>
      <c r="P170" s="390"/>
      <c r="Q170" s="390"/>
      <c r="R170" s="390"/>
      <c r="S170" s="66"/>
    </row>
    <row r="171" spans="2:19" ht="15" thickBot="1" x14ac:dyDescent="0.35">
      <c r="B171" s="391"/>
      <c r="C171" s="391"/>
      <c r="D171" s="391"/>
      <c r="E171" s="391"/>
      <c r="F171" s="391"/>
      <c r="G171" s="391"/>
      <c r="H171" s="391"/>
      <c r="I171" s="391"/>
      <c r="J171" s="391"/>
      <c r="K171" s="391"/>
      <c r="L171" s="391"/>
      <c r="M171" s="391"/>
      <c r="N171" s="390"/>
      <c r="O171" s="390"/>
      <c r="P171" s="390"/>
      <c r="Q171" s="390"/>
      <c r="R171" s="390"/>
      <c r="S171" s="66"/>
    </row>
    <row r="172" spans="2:19" ht="15" thickBot="1" x14ac:dyDescent="0.35">
      <c r="B172" s="391" t="s">
        <v>29</v>
      </c>
      <c r="C172" s="391"/>
      <c r="D172" s="391"/>
      <c r="E172" s="391"/>
      <c r="F172" s="391"/>
      <c r="G172" s="391"/>
      <c r="H172" s="391"/>
      <c r="I172" s="391"/>
      <c r="J172" s="391"/>
      <c r="K172" s="391"/>
      <c r="L172" s="391"/>
      <c r="M172" s="391"/>
      <c r="N172" s="391"/>
      <c r="O172" s="390">
        <f>SUMIF(P6:P165,"&lt;&gt;#N/A")</f>
        <v>0</v>
      </c>
      <c r="P172" s="390"/>
      <c r="Q172" s="390"/>
      <c r="R172" s="390"/>
      <c r="S172" s="66"/>
    </row>
    <row r="173" spans="2:19" ht="15" thickBot="1" x14ac:dyDescent="0.35">
      <c r="B173" s="391"/>
      <c r="C173" s="391"/>
      <c r="D173" s="391"/>
      <c r="E173" s="391"/>
      <c r="F173" s="391"/>
      <c r="G173" s="391"/>
      <c r="H173" s="391"/>
      <c r="I173" s="391"/>
      <c r="J173" s="391"/>
      <c r="K173" s="391"/>
      <c r="L173" s="391"/>
      <c r="M173" s="391"/>
      <c r="N173" s="391"/>
      <c r="O173" s="390"/>
      <c r="P173" s="390"/>
      <c r="Q173" s="390"/>
      <c r="R173" s="390"/>
      <c r="S173" s="66"/>
    </row>
    <row r="174" spans="2:19" ht="15" thickBot="1" x14ac:dyDescent="0.35">
      <c r="B174" s="391" t="s">
        <v>44</v>
      </c>
      <c r="C174" s="391"/>
      <c r="D174" s="391"/>
      <c r="E174" s="391"/>
      <c r="F174" s="391"/>
      <c r="G174" s="391"/>
      <c r="H174" s="391"/>
      <c r="I174" s="391"/>
      <c r="J174" s="391"/>
      <c r="K174" s="391"/>
      <c r="L174" s="391"/>
      <c r="M174" s="391"/>
      <c r="N174" s="391"/>
      <c r="O174" s="391"/>
      <c r="P174" s="390">
        <f>SUMIF(Q6:Q165,"&lt;&gt;#N/A")</f>
        <v>0</v>
      </c>
      <c r="Q174" s="390"/>
      <c r="R174" s="390"/>
      <c r="S174" s="67"/>
    </row>
    <row r="175" spans="2:19" ht="15" thickBot="1" x14ac:dyDescent="0.35">
      <c r="B175" s="540"/>
      <c r="C175" s="540"/>
      <c r="D175" s="540"/>
      <c r="E175" s="540"/>
      <c r="F175" s="540"/>
      <c r="G175" s="540"/>
      <c r="H175" s="540"/>
      <c r="I175" s="540"/>
      <c r="J175" s="540"/>
      <c r="K175" s="540"/>
      <c r="L175" s="540"/>
      <c r="M175" s="540"/>
      <c r="N175" s="540"/>
      <c r="O175" s="540"/>
      <c r="P175" s="541"/>
      <c r="Q175" s="541"/>
      <c r="R175" s="541"/>
      <c r="S175" s="67"/>
    </row>
    <row r="176" spans="2:19" ht="15" thickTop="1" x14ac:dyDescent="0.3"/>
  </sheetData>
  <sheetProtection selectLockedCells="1"/>
  <mergeCells count="311">
    <mergeCell ref="T148:AA148"/>
    <mergeCell ref="BE66:BO66"/>
    <mergeCell ref="T149:AB149"/>
    <mergeCell ref="AC149:AE149"/>
    <mergeCell ref="T150:AC150"/>
    <mergeCell ref="AD150:AE150"/>
    <mergeCell ref="AZ67:BE67"/>
    <mergeCell ref="AF71:AH72"/>
    <mergeCell ref="AI71:AL72"/>
    <mergeCell ref="AZ71:BI71"/>
    <mergeCell ref="AZ73:BK73"/>
    <mergeCell ref="AZ74:BL74"/>
    <mergeCell ref="AZ75:BL75"/>
    <mergeCell ref="T145:X145"/>
    <mergeCell ref="Y145:AE145"/>
    <mergeCell ref="T146:Z146"/>
    <mergeCell ref="AA146:AE146"/>
    <mergeCell ref="AU69:AU70"/>
    <mergeCell ref="AV69:AV70"/>
    <mergeCell ref="AZ69:BG69"/>
    <mergeCell ref="BH69:BO69"/>
    <mergeCell ref="AZ70:BH70"/>
    <mergeCell ref="BI70:BO70"/>
    <mergeCell ref="T147:Z147"/>
    <mergeCell ref="AA147:AE147"/>
    <mergeCell ref="DO37:DT37"/>
    <mergeCell ref="AB148:AE148"/>
    <mergeCell ref="BL73:BO73"/>
    <mergeCell ref="BM74:BO74"/>
    <mergeCell ref="BM75:BO75"/>
    <mergeCell ref="BJ71:BO71"/>
    <mergeCell ref="AZ72:BJ72"/>
    <mergeCell ref="BK72:BO72"/>
    <mergeCell ref="AF51:AF52"/>
    <mergeCell ref="AF53:AF54"/>
    <mergeCell ref="AF55:AF56"/>
    <mergeCell ref="AF57:AF58"/>
    <mergeCell ref="AF59:AF60"/>
    <mergeCell ref="AF61:AF62"/>
    <mergeCell ref="BA62:BO62"/>
    <mergeCell ref="AF63:AF64"/>
    <mergeCell ref="AZ63:BA63"/>
    <mergeCell ref="BB63:BO63"/>
    <mergeCell ref="AZ64:BB64"/>
    <mergeCell ref="BC64:BO64"/>
    <mergeCell ref="AF65:AF66"/>
    <mergeCell ref="AZ65:BC65"/>
    <mergeCell ref="BD65:BO65"/>
    <mergeCell ref="AZ66:BD66"/>
    <mergeCell ref="DE30:DE31"/>
    <mergeCell ref="DF30:DF31"/>
    <mergeCell ref="DG30:DG31"/>
    <mergeCell ref="BF67:BO67"/>
    <mergeCell ref="AZ68:BF68"/>
    <mergeCell ref="BG68:BO68"/>
    <mergeCell ref="AF69:AF70"/>
    <mergeCell ref="DU37:DY37"/>
    <mergeCell ref="CV38:DJ39"/>
    <mergeCell ref="DK38:DM39"/>
    <mergeCell ref="DO38:DU38"/>
    <mergeCell ref="DV38:DY38"/>
    <mergeCell ref="AF39:AF40"/>
    <mergeCell ref="DO39:DU39"/>
    <mergeCell ref="DV39:DY39"/>
    <mergeCell ref="DO40:DV40"/>
    <mergeCell ref="DW40:DY40"/>
    <mergeCell ref="DJ36:DM37"/>
    <mergeCell ref="AF37:AF38"/>
    <mergeCell ref="DO41:DW41"/>
    <mergeCell ref="DX41:DY41"/>
    <mergeCell ref="AF43:AF44"/>
    <mergeCell ref="AF45:AF46"/>
    <mergeCell ref="AF47:AF48"/>
    <mergeCell ref="AF41:AF42"/>
    <mergeCell ref="AF27:AF28"/>
    <mergeCell ref="AF29:AF30"/>
    <mergeCell ref="DH30:DH31"/>
    <mergeCell ref="DI30:DI31"/>
    <mergeCell ref="DJ30:DM31"/>
    <mergeCell ref="AF31:AF32"/>
    <mergeCell ref="CV32:DB33"/>
    <mergeCell ref="DC32:DC33"/>
    <mergeCell ref="DD32:DD33"/>
    <mergeCell ref="DE32:DE33"/>
    <mergeCell ref="DF32:DF33"/>
    <mergeCell ref="DG32:DG33"/>
    <mergeCell ref="DH32:DH33"/>
    <mergeCell ref="DI32:DI33"/>
    <mergeCell ref="DJ32:DM33"/>
    <mergeCell ref="AF33:AF34"/>
    <mergeCell ref="CV34:DH35"/>
    <mergeCell ref="DI34:DM35"/>
    <mergeCell ref="AF35:AF36"/>
    <mergeCell ref="CV36:DI37"/>
    <mergeCell ref="CV30:DB31"/>
    <mergeCell ref="DC30:DC31"/>
    <mergeCell ref="DD30:DD31"/>
    <mergeCell ref="BS21:BS22"/>
    <mergeCell ref="BT21:BT22"/>
    <mergeCell ref="BU21:BU22"/>
    <mergeCell ref="AF23:AF24"/>
    <mergeCell ref="BS23:BU24"/>
    <mergeCell ref="BV23:BV24"/>
    <mergeCell ref="BX23:CB24"/>
    <mergeCell ref="CC23:CC24"/>
    <mergeCell ref="AF25:AF26"/>
    <mergeCell ref="BS25:CB26"/>
    <mergeCell ref="CC25:CC26"/>
    <mergeCell ref="CC21:CC22"/>
    <mergeCell ref="AF21:AF22"/>
    <mergeCell ref="CC15:CC16"/>
    <mergeCell ref="CC17:CC18"/>
    <mergeCell ref="AF19:AF20"/>
    <mergeCell ref="BS19:BS20"/>
    <mergeCell ref="BT19:BT20"/>
    <mergeCell ref="BU19:BU20"/>
    <mergeCell ref="BV19:BV20"/>
    <mergeCell ref="BX19:BX20"/>
    <mergeCell ref="BY19:BY20"/>
    <mergeCell ref="BZ19:BZ20"/>
    <mergeCell ref="CA19:CA20"/>
    <mergeCell ref="CB19:CB20"/>
    <mergeCell ref="CC19:CC20"/>
    <mergeCell ref="BS17:BS18"/>
    <mergeCell ref="BT17:BT18"/>
    <mergeCell ref="BU17:BU18"/>
    <mergeCell ref="BV17:BV18"/>
    <mergeCell ref="BW17:BW22"/>
    <mergeCell ref="BX17:BX18"/>
    <mergeCell ref="BY17:BY18"/>
    <mergeCell ref="BZ17:BZ18"/>
    <mergeCell ref="BY15:BY16"/>
    <mergeCell ref="CA15:CA16"/>
    <mergeCell ref="BV21:BV22"/>
    <mergeCell ref="BX21:BX22"/>
    <mergeCell ref="BY21:BY22"/>
    <mergeCell ref="BZ21:BZ22"/>
    <mergeCell ref="CA21:CA22"/>
    <mergeCell ref="CB17:CB18"/>
    <mergeCell ref="CB21:CB22"/>
    <mergeCell ref="CA17:CA18"/>
    <mergeCell ref="CB15:CB16"/>
    <mergeCell ref="CB13:CB14"/>
    <mergeCell ref="CB9:CB10"/>
    <mergeCell ref="CC9:CC10"/>
    <mergeCell ref="AF11:AF12"/>
    <mergeCell ref="BS11:BS12"/>
    <mergeCell ref="BT11:BT12"/>
    <mergeCell ref="BU11:BU12"/>
    <mergeCell ref="BV11:BV12"/>
    <mergeCell ref="BX11:BX12"/>
    <mergeCell ref="BY11:BY12"/>
    <mergeCell ref="BZ11:BZ12"/>
    <mergeCell ref="CA11:CA12"/>
    <mergeCell ref="CB11:CB12"/>
    <mergeCell ref="CC11:CC12"/>
    <mergeCell ref="CC13:CC14"/>
    <mergeCell ref="CA9:CA10"/>
    <mergeCell ref="AF15:AF16"/>
    <mergeCell ref="BS5:BS6"/>
    <mergeCell ref="BT5:BT6"/>
    <mergeCell ref="BU5:BU6"/>
    <mergeCell ref="BV5:BV6"/>
    <mergeCell ref="BW5:BW16"/>
    <mergeCell ref="BX5:BX6"/>
    <mergeCell ref="BY5:BY6"/>
    <mergeCell ref="BZ5:BZ6"/>
    <mergeCell ref="BS15:BS16"/>
    <mergeCell ref="BT15:BT16"/>
    <mergeCell ref="BU15:BU16"/>
    <mergeCell ref="BV15:BV16"/>
    <mergeCell ref="BX15:BX16"/>
    <mergeCell ref="BS13:BS14"/>
    <mergeCell ref="BT13:BT14"/>
    <mergeCell ref="BU13:BU14"/>
    <mergeCell ref="BV13:BV14"/>
    <mergeCell ref="BX13:BX14"/>
    <mergeCell ref="BY13:BY14"/>
    <mergeCell ref="BZ13:BZ14"/>
    <mergeCell ref="CA13:CA14"/>
    <mergeCell ref="BZ15:BZ16"/>
    <mergeCell ref="BS7:BS8"/>
    <mergeCell ref="BT7:BT8"/>
    <mergeCell ref="BU7:BU8"/>
    <mergeCell ref="BV7:BV8"/>
    <mergeCell ref="BX7:BX8"/>
    <mergeCell ref="BY7:BY8"/>
    <mergeCell ref="BX9:BX10"/>
    <mergeCell ref="BY9:BY10"/>
    <mergeCell ref="BZ9:BZ10"/>
    <mergeCell ref="BW3:BW4"/>
    <mergeCell ref="BX3:BX4"/>
    <mergeCell ref="DS3:DS5"/>
    <mergeCell ref="DT3:DT5"/>
    <mergeCell ref="DU3:DU5"/>
    <mergeCell ref="DV3:DV5"/>
    <mergeCell ref="DW3:DW5"/>
    <mergeCell ref="DX3:DX5"/>
    <mergeCell ref="DY3:DY5"/>
    <mergeCell ref="CB5:CB6"/>
    <mergeCell ref="CC5:CC6"/>
    <mergeCell ref="DK3:DK5"/>
    <mergeCell ref="DL3:DL5"/>
    <mergeCell ref="DM3:DM5"/>
    <mergeCell ref="DO3:DO5"/>
    <mergeCell ref="DP3:DP5"/>
    <mergeCell ref="DQ3:DQ5"/>
    <mergeCell ref="DR3:DR5"/>
    <mergeCell ref="CA5:CA6"/>
    <mergeCell ref="CV1:DM2"/>
    <mergeCell ref="DO1:DY2"/>
    <mergeCell ref="CW3:CW5"/>
    <mergeCell ref="CX3:CX5"/>
    <mergeCell ref="CY3:CY5"/>
    <mergeCell ref="CZ3:CZ5"/>
    <mergeCell ref="DA3:DA5"/>
    <mergeCell ref="DB3:DB5"/>
    <mergeCell ref="DC3:DH4"/>
    <mergeCell ref="DI3:DI5"/>
    <mergeCell ref="DJ3:DJ5"/>
    <mergeCell ref="CV3:CV5"/>
    <mergeCell ref="C3:C5"/>
    <mergeCell ref="D3:D5"/>
    <mergeCell ref="E3:E5"/>
    <mergeCell ref="F3:F5"/>
    <mergeCell ref="H3:M4"/>
    <mergeCell ref="N3:N5"/>
    <mergeCell ref="V3:V5"/>
    <mergeCell ref="W3:W5"/>
    <mergeCell ref="X3:X5"/>
    <mergeCell ref="Y3:Y5"/>
    <mergeCell ref="AB3:AB5"/>
    <mergeCell ref="AC3:AC5"/>
    <mergeCell ref="AD3:AD5"/>
    <mergeCell ref="AE3:AE5"/>
    <mergeCell ref="AF3:AF6"/>
    <mergeCell ref="AG3:AM5"/>
    <mergeCell ref="AN3:AT5"/>
    <mergeCell ref="AU3:AU6"/>
    <mergeCell ref="B166:G167"/>
    <mergeCell ref="H166:H167"/>
    <mergeCell ref="I166:I167"/>
    <mergeCell ref="J166:J167"/>
    <mergeCell ref="K166:K167"/>
    <mergeCell ref="L166:L167"/>
    <mergeCell ref="M166:M167"/>
    <mergeCell ref="N166:N167"/>
    <mergeCell ref="O166:R167"/>
    <mergeCell ref="B1:R2"/>
    <mergeCell ref="T1:AE2"/>
    <mergeCell ref="AF49:AF50"/>
    <mergeCell ref="AF67:AF68"/>
    <mergeCell ref="O3:O5"/>
    <mergeCell ref="BA3:BA5"/>
    <mergeCell ref="BM3:BM5"/>
    <mergeCell ref="AF1:AV2"/>
    <mergeCell ref="AZ1:BQ2"/>
    <mergeCell ref="AF17:AF18"/>
    <mergeCell ref="B3:B5"/>
    <mergeCell ref="G3:G5"/>
    <mergeCell ref="BB3:BB5"/>
    <mergeCell ref="Z3:Z5"/>
    <mergeCell ref="P3:P5"/>
    <mergeCell ref="Q3:Q5"/>
    <mergeCell ref="R3:R5"/>
    <mergeCell ref="T3:T5"/>
    <mergeCell ref="U3:U5"/>
    <mergeCell ref="AA3:AA5"/>
    <mergeCell ref="AV3:AV6"/>
    <mergeCell ref="AZ3:AZ5"/>
    <mergeCell ref="BD3:BI4"/>
    <mergeCell ref="BJ3:BL4"/>
    <mergeCell ref="BS1:CC2"/>
    <mergeCell ref="BY3:BY4"/>
    <mergeCell ref="BZ3:BZ4"/>
    <mergeCell ref="CA3:CA4"/>
    <mergeCell ref="CB3:CB4"/>
    <mergeCell ref="CC3:CC4"/>
    <mergeCell ref="AF7:AF8"/>
    <mergeCell ref="AF9:AF10"/>
    <mergeCell ref="AF13:AF14"/>
    <mergeCell ref="BN3:BN5"/>
    <mergeCell ref="BO3:BO5"/>
    <mergeCell ref="BS3:BS4"/>
    <mergeCell ref="BT3:BT4"/>
    <mergeCell ref="BU3:BU4"/>
    <mergeCell ref="BC3:BC5"/>
    <mergeCell ref="BZ7:BZ8"/>
    <mergeCell ref="CA7:CA8"/>
    <mergeCell ref="CB7:CB8"/>
    <mergeCell ref="CC7:CC8"/>
    <mergeCell ref="BS9:BS10"/>
    <mergeCell ref="BT9:BT10"/>
    <mergeCell ref="BU9:BU10"/>
    <mergeCell ref="BV9:BV10"/>
    <mergeCell ref="BV3:BV4"/>
    <mergeCell ref="B170:M171"/>
    <mergeCell ref="N170:R171"/>
    <mergeCell ref="B172:N173"/>
    <mergeCell ref="O172:R173"/>
    <mergeCell ref="M168:M169"/>
    <mergeCell ref="N168:N169"/>
    <mergeCell ref="O168:R169"/>
    <mergeCell ref="B174:O175"/>
    <mergeCell ref="P174:R175"/>
    <mergeCell ref="B168:G169"/>
    <mergeCell ref="H168:H169"/>
    <mergeCell ref="I168:I169"/>
    <mergeCell ref="J168:J169"/>
    <mergeCell ref="K168:K169"/>
    <mergeCell ref="L168:L169"/>
  </mergeCells>
  <printOptions horizontalCentered="1" verticalCentered="1"/>
  <pageMargins left="3.937007874015748E-2" right="3.937007874015748E-2" top="0.35433070866141736" bottom="0.35433070866141736" header="0" footer="0.31496062992125984"/>
  <pageSetup paperSize="9" scale="88" orientation="landscape" r:id="rId1"/>
  <rowBreaks count="2" manualBreakCount="2">
    <brk id="112" max="128" man="1"/>
    <brk id="152" max="16383" man="1"/>
  </rowBreaks>
  <colBreaks count="5" manualBreakCount="5">
    <brk id="19" max="1048575" man="1"/>
    <brk id="48" max="1048575" man="1"/>
    <brk id="70" max="1048575" man="1"/>
    <brk id="99" max="1048575" man="1"/>
    <brk id="118" max="1048575" man="1"/>
  </col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289C932-4FF1-4B61-846B-707324579DE3}">
          <x14:formula1>
            <xm:f>'BASE '!$P$112:$P$118</xm:f>
          </x14:formula1>
          <xm:sqref>DA6:DA29 F6:F169</xm:sqref>
        </x14:dataValidation>
        <x14:dataValidation type="list" allowBlank="1" showInputMessage="1" showErrorMessage="1" xr:uid="{151CEB5C-7F4B-4072-A686-D0B158F62016}">
          <x14:formula1>
            <xm:f>'BASE '!$O$112:$O$123</xm:f>
          </x14:formula1>
          <xm:sqref>CZ6:CZ29 E6:E169</xm:sqref>
        </x14:dataValidation>
        <x14:dataValidation type="list" allowBlank="1" showInputMessage="1" showErrorMessage="1" xr:uid="{0D1641A3-FC5B-43EA-A132-02F2ABB2B2D3}">
          <x14:formula1>
            <xm:f>'BASE '!$O$112:$O$120</xm:f>
          </x14:formula1>
          <xm:sqref>W1:X1 DR1:DT1</xm:sqref>
        </x14:dataValidation>
        <x14:dataValidation type="list" allowBlank="1" showInputMessage="1" showErrorMessage="1" xr:uid="{716FA8B1-2264-4ACC-8EDA-9C45AC00F452}">
          <x14:formula1>
            <xm:f>'BASE '!$A$5:$A$144</xm:f>
          </x14:formula1>
          <xm:sqref>U6:U144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49</vt:i4>
      </vt:variant>
    </vt:vector>
  </HeadingPairs>
  <TitlesOfParts>
    <vt:vector size="56" baseType="lpstr">
      <vt:lpstr>RECAPITULATIFS</vt:lpstr>
      <vt:lpstr>BASE </vt:lpstr>
      <vt:lpstr>JANVIER</vt:lpstr>
      <vt:lpstr>FEVRIER</vt:lpstr>
      <vt:lpstr>MARS</vt:lpstr>
      <vt:lpstr>AVRIL</vt:lpstr>
      <vt:lpstr>MAI</vt:lpstr>
      <vt:lpstr>ACHAT1</vt:lpstr>
      <vt:lpstr>ACHAT2</vt:lpstr>
      <vt:lpstr>ACHAT3</vt:lpstr>
      <vt:lpstr>ACHAT4</vt:lpstr>
      <vt:lpstr>ACHAT5</vt:lpstr>
      <vt:lpstr>ACHAT6</vt:lpstr>
      <vt:lpstr>ACHAT7</vt:lpstr>
      <vt:lpstr>ACHAT8</vt:lpstr>
      <vt:lpstr>ACHAT9</vt:lpstr>
      <vt:lpstr>AUTRE</vt:lpstr>
      <vt:lpstr>BASE1</vt:lpstr>
      <vt:lpstr>CAT</vt:lpstr>
      <vt:lpstr>CAV</vt:lpstr>
      <vt:lpstr>CF</vt:lpstr>
      <vt:lpstr>CJA</vt:lpstr>
      <vt:lpstr>CLD</vt:lpstr>
      <vt:lpstr>CLEX</vt:lpstr>
      <vt:lpstr>CLL</vt:lpstr>
      <vt:lpstr>CLO</vt:lpstr>
      <vt:lpstr>CLS</vt:lpstr>
      <vt:lpstr>CLSD</vt:lpstr>
      <vt:lpstr>CLSL</vt:lpstr>
      <vt:lpstr>CMI</vt:lpstr>
      <vt:lpstr>CMR</vt:lpstr>
      <vt:lpstr>IAV</vt:lpstr>
      <vt:lpstr>IF</vt:lpstr>
      <vt:lpstr>IJA</vt:lpstr>
      <vt:lpstr>IMI</vt:lpstr>
      <vt:lpstr>IMR</vt:lpstr>
      <vt:lpstr>Liste</vt:lpstr>
      <vt:lpstr>NATURE</vt:lpstr>
      <vt:lpstr>SPECIALE</vt:lpstr>
      <vt:lpstr>T1J</vt:lpstr>
      <vt:lpstr>T2J</vt:lpstr>
      <vt:lpstr>T3J</vt:lpstr>
      <vt:lpstr>T4J</vt:lpstr>
      <vt:lpstr>tableau1</vt:lpstr>
      <vt:lpstr>TARIFL</vt:lpstr>
      <vt:lpstr>TARIFP</vt:lpstr>
      <vt:lpstr>TE</vt:lpstr>
      <vt:lpstr>THD</vt:lpstr>
      <vt:lpstr>THE</vt:lpstr>
      <vt:lpstr>THL</vt:lpstr>
      <vt:lpstr>TL</vt:lpstr>
      <vt:lpstr>VA</vt:lpstr>
      <vt:lpstr>VF</vt:lpstr>
      <vt:lpstr>VJA</vt:lpstr>
      <vt:lpstr>VM</vt:lpstr>
      <vt:lpstr>VMR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tahit</dc:creator>
  <cp:lastModifiedBy>frédéric desroziers</cp:lastModifiedBy>
  <cp:lastPrinted>2020-04-05T15:28:13Z</cp:lastPrinted>
  <dcterms:created xsi:type="dcterms:W3CDTF">2018-11-15T00:44:05Z</dcterms:created>
  <dcterms:modified xsi:type="dcterms:W3CDTF">2020-04-06T11:23:11Z</dcterms:modified>
</cp:coreProperties>
</file>