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6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7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8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J:\Projet CAP2\"/>
    </mc:Choice>
  </mc:AlternateContent>
  <bookViews>
    <workbookView xWindow="0" yWindow="0" windowWidth="24000" windowHeight="9135" firstSheet="7" activeTab="12"/>
  </bookViews>
  <sheets>
    <sheet name="Indicateur Activité _en test" sheetId="16" r:id="rId1"/>
    <sheet name="Indicateur Cde P" sheetId="26" r:id="rId2"/>
    <sheet name="Indicateur Cde CCE P" sheetId="27" r:id="rId3"/>
    <sheet name="Indicateur Cde B" sheetId="37" r:id="rId4"/>
    <sheet name="Indicateur Cde CCE B" sheetId="41" r:id="rId5"/>
    <sheet name="Indicateur Cde A" sheetId="40" r:id="rId6"/>
    <sheet name="Indicateur Cde CCE A" sheetId="42" r:id="rId7"/>
    <sheet name="Indicateur devis CCE" sheetId="28" r:id="rId8"/>
    <sheet name="Récap devis" sheetId="33" r:id="rId9"/>
    <sheet name="Recap_cde_A" sheetId="38" r:id="rId10"/>
    <sheet name="Recap_cde_B" sheetId="36" r:id="rId11"/>
    <sheet name="Recap_cde_P" sheetId="43" r:id="rId12"/>
    <sheet name="Indicateur graph cde_glob" sheetId="32" r:id="rId13"/>
  </sheets>
  <externalReferences>
    <externalReference r:id="rId14"/>
    <externalReference r:id="rId15"/>
    <externalReference r:id="rId16"/>
  </externalReferences>
  <definedNames>
    <definedName name="_xlnm._FilterDatabase" localSheetId="8" hidden="1">'Récap devis'!$A$4:$L$59</definedName>
    <definedName name="_xlnm._FilterDatabase" localSheetId="9" hidden="1">Recap_cde_A!$A$4:$K$4</definedName>
    <definedName name="_xlnm._FilterDatabase" localSheetId="10" hidden="1">Recap_cde_B!$A$4:$I$56</definedName>
    <definedName name="_xlnm._FilterDatabase" localSheetId="11" hidden="1">Recap_cde_P!$A$4:$J$4</definedName>
    <definedName name="_xlnm.Print_Area" localSheetId="0">'Indicateur Activité _en test'!$A$1:$AS$108</definedName>
    <definedName name="_xlnm.Print_Area" localSheetId="5">'Indicateur Cde A'!$A$1:$X$108</definedName>
    <definedName name="_xlnm.Print_Area" localSheetId="3">'Indicateur Cde B'!$A$1:$X$108</definedName>
    <definedName name="_xlnm.Print_Area" localSheetId="6">'Indicateur Cde CCE A'!$A$1:$AH$80</definedName>
    <definedName name="_xlnm.Print_Area" localSheetId="4">'Indicateur Cde CCE B'!$A$1:$AH$80</definedName>
    <definedName name="_xlnm.Print_Area" localSheetId="2">'Indicateur Cde CCE P'!$A$1:$AH$81</definedName>
    <definedName name="_xlnm.Print_Area" localSheetId="1">'Indicateur Cde P'!$A$1:$X$108</definedName>
    <definedName name="_xlnm.Print_Area" localSheetId="7">'Indicateur devis CCE'!$A$1:$AB$78</definedName>
    <definedName name="_xlnm.Print_Area" localSheetId="12">'Indicateur graph cde_glob'!$A$1:$U$77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8" i="37" l="1"/>
  <c r="Q95" i="37"/>
  <c r="Q98" i="40"/>
  <c r="Q95" i="40"/>
  <c r="B10" i="38"/>
  <c r="J13" i="43"/>
  <c r="H13" i="43"/>
  <c r="G13" i="43"/>
  <c r="I13" i="43"/>
  <c r="H12" i="43"/>
  <c r="I6" i="43"/>
  <c r="I10" i="43"/>
  <c r="J10" i="43"/>
  <c r="H11" i="43"/>
  <c r="G6" i="43"/>
  <c r="J11" i="43"/>
  <c r="G11" i="43"/>
  <c r="I11" i="43"/>
  <c r="I12" i="43"/>
  <c r="J6" i="43"/>
  <c r="J12" i="43"/>
  <c r="H6" i="43"/>
  <c r="H10" i="43"/>
  <c r="G12" i="43"/>
  <c r="G10" i="43"/>
  <c r="F13" i="43" l="1"/>
  <c r="F12" i="43"/>
  <c r="F10" i="43"/>
  <c r="M7" i="38"/>
  <c r="M8" i="38"/>
  <c r="M6" i="38"/>
  <c r="K7" i="36"/>
  <c r="K8" i="36"/>
  <c r="K6" i="36"/>
  <c r="L7" i="43"/>
  <c r="L8" i="43"/>
  <c r="L6" i="43"/>
  <c r="I9" i="43"/>
  <c r="H9" i="43"/>
  <c r="G9" i="43"/>
  <c r="J9" i="43"/>
  <c r="E54" i="27" l="1"/>
  <c r="D54" i="27"/>
  <c r="C54" i="27"/>
  <c r="B54" i="27"/>
  <c r="J8" i="43"/>
  <c r="H8" i="43"/>
  <c r="G8" i="43"/>
  <c r="I8" i="43"/>
  <c r="F8" i="43" l="1"/>
  <c r="Y58" i="38"/>
  <c r="X5" i="38"/>
  <c r="X6" i="38" s="1"/>
  <c r="X7" i="38" s="1"/>
  <c r="X8" i="38" s="1"/>
  <c r="X9" i="38" s="1"/>
  <c r="X10" i="38" s="1"/>
  <c r="X11" i="38" s="1"/>
  <c r="X12" i="38" s="1"/>
  <c r="X13" i="38" s="1"/>
  <c r="X14" i="38" s="1"/>
  <c r="X15" i="38" s="1"/>
  <c r="X16" i="38" s="1"/>
  <c r="X17" i="38" s="1"/>
  <c r="X18" i="38" s="1"/>
  <c r="X19" i="38" s="1"/>
  <c r="X20" i="38" s="1"/>
  <c r="X21" i="38" s="1"/>
  <c r="X22" i="38" s="1"/>
  <c r="X23" i="38" s="1"/>
  <c r="X24" i="38" s="1"/>
  <c r="X25" i="38" s="1"/>
  <c r="X26" i="38" s="1"/>
  <c r="X27" i="38" s="1"/>
  <c r="X28" i="38" s="1"/>
  <c r="X29" i="38" s="1"/>
  <c r="X30" i="38" s="1"/>
  <c r="X31" i="38" s="1"/>
  <c r="X32" i="38" s="1"/>
  <c r="X33" i="38" s="1"/>
  <c r="X34" i="38" s="1"/>
  <c r="X35" i="38" s="1"/>
  <c r="X36" i="38" s="1"/>
  <c r="X37" i="38" s="1"/>
  <c r="X38" i="38" s="1"/>
  <c r="X39" i="38" s="1"/>
  <c r="X40" i="38" s="1"/>
  <c r="X41" i="38" s="1"/>
  <c r="X42" i="38" s="1"/>
  <c r="X43" i="38" s="1"/>
  <c r="X44" i="38" s="1"/>
  <c r="X45" i="38" s="1"/>
  <c r="X46" i="38" s="1"/>
  <c r="X47" i="38" s="1"/>
  <c r="X48" i="38" s="1"/>
  <c r="X49" i="38" s="1"/>
  <c r="X50" i="38" s="1"/>
  <c r="X51" i="38" s="1"/>
  <c r="X52" i="38" s="1"/>
  <c r="X53" i="38" s="1"/>
  <c r="X54" i="38" s="1"/>
  <c r="X55" i="38" s="1"/>
  <c r="X56" i="38" s="1"/>
  <c r="L56" i="38"/>
  <c r="L55" i="38"/>
  <c r="L54" i="38"/>
  <c r="L53" i="38"/>
  <c r="L52" i="38"/>
  <c r="L51" i="38"/>
  <c r="L50" i="38"/>
  <c r="L49" i="38"/>
  <c r="L48" i="38"/>
  <c r="L47" i="38"/>
  <c r="L46" i="38"/>
  <c r="L45" i="38"/>
  <c r="L44" i="38"/>
  <c r="L43" i="38"/>
  <c r="L42" i="38"/>
  <c r="L41" i="38"/>
  <c r="L40" i="38"/>
  <c r="L39" i="38"/>
  <c r="L38" i="38"/>
  <c r="L37" i="38"/>
  <c r="L36" i="38"/>
  <c r="L35" i="38"/>
  <c r="L34" i="38"/>
  <c r="L33" i="38"/>
  <c r="L32" i="38"/>
  <c r="L31" i="38"/>
  <c r="L30" i="38"/>
  <c r="L29" i="38"/>
  <c r="L28" i="38"/>
  <c r="L27" i="38"/>
  <c r="L26" i="38"/>
  <c r="L25" i="38"/>
  <c r="L24" i="38"/>
  <c r="L23" i="38"/>
  <c r="L22" i="38"/>
  <c r="L21" i="38"/>
  <c r="L20" i="38"/>
  <c r="L19" i="38"/>
  <c r="L18" i="38"/>
  <c r="L17" i="38"/>
  <c r="L16" i="38"/>
  <c r="L15" i="38"/>
  <c r="L14" i="38"/>
  <c r="L13" i="38"/>
  <c r="L12" i="38"/>
  <c r="L6" i="38"/>
  <c r="L7" i="38" s="1"/>
  <c r="L8" i="38" s="1"/>
  <c r="L9" i="38" s="1"/>
  <c r="L10" i="38" s="1"/>
  <c r="L11" i="38" s="1"/>
  <c r="J56" i="36"/>
  <c r="J55" i="36"/>
  <c r="J54" i="36"/>
  <c r="J53" i="36"/>
  <c r="J52" i="36"/>
  <c r="J51" i="36"/>
  <c r="J50" i="36"/>
  <c r="J49" i="36"/>
  <c r="J48" i="36"/>
  <c r="J47" i="36"/>
  <c r="J46" i="36"/>
  <c r="J45" i="36"/>
  <c r="J44" i="36"/>
  <c r="J43" i="36"/>
  <c r="J42" i="36"/>
  <c r="J41" i="36"/>
  <c r="J40" i="36"/>
  <c r="J39" i="36"/>
  <c r="J38" i="36"/>
  <c r="J37" i="36"/>
  <c r="J36" i="36"/>
  <c r="J35" i="36"/>
  <c r="J34" i="36"/>
  <c r="J33" i="36"/>
  <c r="J32" i="36"/>
  <c r="J31" i="36"/>
  <c r="J30" i="36"/>
  <c r="J29" i="36"/>
  <c r="J28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J14" i="36"/>
  <c r="J13" i="36"/>
  <c r="J12" i="36"/>
  <c r="J11" i="36"/>
  <c r="J6" i="36"/>
  <c r="J7" i="36" s="1"/>
  <c r="J8" i="36" s="1"/>
  <c r="J9" i="36" s="1"/>
  <c r="J10" i="36" s="1"/>
  <c r="M58" i="38"/>
  <c r="L5" i="38"/>
  <c r="K58" i="36"/>
  <c r="J5" i="36"/>
  <c r="T7" i="36"/>
  <c r="T8" i="36"/>
  <c r="T9" i="36"/>
  <c r="T10" i="36"/>
  <c r="T11" i="36"/>
  <c r="T12" i="36" s="1"/>
  <c r="T13" i="36" s="1"/>
  <c r="T14" i="36" s="1"/>
  <c r="T15" i="36" s="1"/>
  <c r="T16" i="36" s="1"/>
  <c r="T17" i="36" s="1"/>
  <c r="T18" i="36" s="1"/>
  <c r="T19" i="36" s="1"/>
  <c r="T20" i="36" s="1"/>
  <c r="T21" i="36" s="1"/>
  <c r="T22" i="36" s="1"/>
  <c r="T23" i="36" s="1"/>
  <c r="T24" i="36" s="1"/>
  <c r="T25" i="36" s="1"/>
  <c r="T26" i="36" s="1"/>
  <c r="T27" i="36" s="1"/>
  <c r="T28" i="36" s="1"/>
  <c r="T29" i="36" s="1"/>
  <c r="T30" i="36" s="1"/>
  <c r="T31" i="36" s="1"/>
  <c r="T32" i="36" s="1"/>
  <c r="T33" i="36" s="1"/>
  <c r="T34" i="36" s="1"/>
  <c r="T35" i="36" s="1"/>
  <c r="T36" i="36" s="1"/>
  <c r="T37" i="36" s="1"/>
  <c r="T38" i="36" s="1"/>
  <c r="T39" i="36" s="1"/>
  <c r="T40" i="36" s="1"/>
  <c r="T41" i="36" s="1"/>
  <c r="T42" i="36" s="1"/>
  <c r="T43" i="36" s="1"/>
  <c r="T44" i="36" s="1"/>
  <c r="T45" i="36" s="1"/>
  <c r="T46" i="36" s="1"/>
  <c r="T47" i="36" s="1"/>
  <c r="T48" i="36" s="1"/>
  <c r="T49" i="36" s="1"/>
  <c r="T50" i="36" s="1"/>
  <c r="T51" i="36" s="1"/>
  <c r="T52" i="36" s="1"/>
  <c r="T53" i="36" s="1"/>
  <c r="T54" i="36" s="1"/>
  <c r="T55" i="36" s="1"/>
  <c r="T56" i="36" s="1"/>
  <c r="T6" i="36"/>
  <c r="T5" i="36"/>
  <c r="U58" i="36"/>
  <c r="M59" i="38" l="1"/>
  <c r="M69" i="32" s="1"/>
  <c r="U40" i="43"/>
  <c r="U7" i="43"/>
  <c r="U8" i="43"/>
  <c r="U9" i="43"/>
  <c r="U10" i="43" s="1"/>
  <c r="U11" i="43" s="1"/>
  <c r="U12" i="43" s="1"/>
  <c r="U13" i="43" s="1"/>
  <c r="U14" i="43" s="1"/>
  <c r="U15" i="43" s="1"/>
  <c r="U16" i="43" s="1"/>
  <c r="U17" i="43" s="1"/>
  <c r="U18" i="43" s="1"/>
  <c r="U19" i="43" s="1"/>
  <c r="U20" i="43" s="1"/>
  <c r="U21" i="43" s="1"/>
  <c r="U22" i="43" s="1"/>
  <c r="U23" i="43" s="1"/>
  <c r="U24" i="43" s="1"/>
  <c r="U25" i="43" s="1"/>
  <c r="U26" i="43" s="1"/>
  <c r="U27" i="43" s="1"/>
  <c r="U28" i="43" s="1"/>
  <c r="U29" i="43" s="1"/>
  <c r="U30" i="43" s="1"/>
  <c r="U31" i="43" s="1"/>
  <c r="U32" i="43" s="1"/>
  <c r="U33" i="43" s="1"/>
  <c r="U34" i="43" s="1"/>
  <c r="U35" i="43" s="1"/>
  <c r="U36" i="43"/>
  <c r="U37" i="43"/>
  <c r="U38" i="43"/>
  <c r="U39" i="43"/>
  <c r="U41" i="43"/>
  <c r="U42" i="43" s="1"/>
  <c r="U43" i="43" s="1"/>
  <c r="U44" i="43" s="1"/>
  <c r="U45" i="43" s="1"/>
  <c r="U46" i="43" s="1"/>
  <c r="U47" i="43" s="1"/>
  <c r="U48" i="43" s="1"/>
  <c r="U49" i="43" s="1"/>
  <c r="U50" i="43" s="1"/>
  <c r="U51" i="43" s="1"/>
  <c r="U52" i="43" s="1"/>
  <c r="U53" i="43" s="1"/>
  <c r="U54" i="43" s="1"/>
  <c r="U55" i="43" s="1"/>
  <c r="U56" i="43" s="1"/>
  <c r="U5" i="43"/>
  <c r="U6" i="43" s="1"/>
  <c r="K56" i="43"/>
  <c r="K55" i="43"/>
  <c r="K54" i="43"/>
  <c r="K53" i="43"/>
  <c r="K52" i="43"/>
  <c r="K51" i="43"/>
  <c r="K50" i="43"/>
  <c r="K49" i="43"/>
  <c r="K48" i="43"/>
  <c r="K47" i="43"/>
  <c r="K46" i="43"/>
  <c r="K45" i="43"/>
  <c r="K44" i="43"/>
  <c r="K43" i="43"/>
  <c r="K42" i="43"/>
  <c r="K41" i="43"/>
  <c r="K40" i="43"/>
  <c r="K39" i="43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K15" i="43"/>
  <c r="K14" i="43"/>
  <c r="K13" i="43"/>
  <c r="K12" i="43"/>
  <c r="K11" i="43"/>
  <c r="K6" i="43"/>
  <c r="K7" i="43" s="1"/>
  <c r="K8" i="43" s="1"/>
  <c r="K9" i="43" s="1"/>
  <c r="K10" i="43" s="1"/>
  <c r="L58" i="43"/>
  <c r="V58" i="43" l="1"/>
  <c r="K69" i="32" l="1"/>
  <c r="U98" i="40" s="1"/>
  <c r="K67" i="32"/>
  <c r="U98" i="26" s="1"/>
  <c r="K68" i="32"/>
  <c r="U98" i="37" s="1"/>
  <c r="E105" i="37" l="1"/>
  <c r="Q58" i="38" l="1"/>
  <c r="T58" i="38"/>
  <c r="S58" i="38"/>
  <c r="R58" i="38"/>
  <c r="I31" i="38"/>
  <c r="I43" i="38"/>
  <c r="F42" i="38"/>
  <c r="H30" i="38"/>
  <c r="F52" i="38"/>
  <c r="F49" i="38"/>
  <c r="I37" i="38"/>
  <c r="I30" i="38"/>
  <c r="J22" i="38"/>
  <c r="H39" i="38"/>
  <c r="H54" i="38"/>
  <c r="K28" i="38"/>
  <c r="I48" i="38"/>
  <c r="H32" i="38"/>
  <c r="H51" i="38"/>
  <c r="J37" i="38"/>
  <c r="F34" i="38"/>
  <c r="I21" i="38"/>
  <c r="J34" i="38"/>
  <c r="J38" i="38"/>
  <c r="H23" i="38"/>
  <c r="J17" i="38"/>
  <c r="I41" i="38"/>
  <c r="F55" i="38"/>
  <c r="K55" i="38"/>
  <c r="H41" i="38"/>
  <c r="K27" i="38"/>
  <c r="K38" i="38"/>
  <c r="F23" i="38"/>
  <c r="F22" i="38"/>
  <c r="K19" i="38"/>
  <c r="F29" i="38"/>
  <c r="H49" i="38"/>
  <c r="K22" i="38"/>
  <c r="F36" i="38"/>
  <c r="K53" i="38"/>
  <c r="J33" i="38"/>
  <c r="J55" i="38"/>
  <c r="K41" i="38"/>
  <c r="J19" i="38"/>
  <c r="H19" i="38"/>
  <c r="I49" i="38"/>
  <c r="K37" i="38"/>
  <c r="K20" i="38"/>
  <c r="I19" i="38"/>
  <c r="I7" i="43"/>
  <c r="K52" i="38"/>
  <c r="I54" i="38"/>
  <c r="H24" i="38"/>
  <c r="I26" i="38"/>
  <c r="H33" i="38"/>
  <c r="I35" i="38"/>
  <c r="F39" i="38"/>
  <c r="F40" i="38"/>
  <c r="H43" i="38"/>
  <c r="K30" i="38"/>
  <c r="F30" i="38"/>
  <c r="H48" i="38"/>
  <c r="H22" i="38"/>
  <c r="I46" i="38"/>
  <c r="F38" i="38"/>
  <c r="H35" i="38"/>
  <c r="H55" i="38"/>
  <c r="F19" i="38"/>
  <c r="K50" i="38"/>
  <c r="J46" i="38"/>
  <c r="F50" i="38"/>
  <c r="F27" i="38"/>
  <c r="K25" i="38"/>
  <c r="F37" i="38"/>
  <c r="J48" i="38"/>
  <c r="J27" i="38"/>
  <c r="J53" i="38"/>
  <c r="H7" i="43"/>
  <c r="K24" i="38"/>
  <c r="J23" i="38"/>
  <c r="I25" i="38"/>
  <c r="H42" i="38"/>
  <c r="K43" i="38"/>
  <c r="H21" i="38"/>
  <c r="J40" i="38"/>
  <c r="K46" i="38"/>
  <c r="I18" i="38"/>
  <c r="K31" i="38"/>
  <c r="I23" i="38"/>
  <c r="I55" i="38"/>
  <c r="F48" i="38"/>
  <c r="K29" i="38"/>
  <c r="J7" i="43"/>
  <c r="H36" i="38"/>
  <c r="K34" i="38"/>
  <c r="H25" i="38"/>
  <c r="J18" i="38"/>
  <c r="K17" i="38"/>
  <c r="F51" i="38"/>
  <c r="J26" i="38"/>
  <c r="F47" i="38"/>
  <c r="F31" i="38"/>
  <c r="F53" i="38"/>
  <c r="F24" i="38"/>
  <c r="F33" i="38"/>
  <c r="H38" i="38"/>
  <c r="J51" i="38"/>
  <c r="I17" i="38"/>
  <c r="I44" i="38"/>
  <c r="J20" i="38"/>
  <c r="I34" i="38"/>
  <c r="H26" i="38"/>
  <c r="K49" i="38"/>
  <c r="J44" i="38"/>
  <c r="H18" i="38"/>
  <c r="I50" i="38"/>
  <c r="H40" i="38"/>
  <c r="F25" i="38"/>
  <c r="I33" i="38"/>
  <c r="I45" i="38"/>
  <c r="I28" i="38"/>
  <c r="J41" i="38"/>
  <c r="F41" i="38"/>
  <c r="H17" i="38"/>
  <c r="K54" i="38"/>
  <c r="H27" i="38"/>
  <c r="J42" i="38"/>
  <c r="I53" i="38"/>
  <c r="I52" i="38"/>
  <c r="K48" i="38"/>
  <c r="H37" i="38"/>
  <c r="J31" i="38"/>
  <c r="F46" i="38"/>
  <c r="J50" i="38"/>
  <c r="F44" i="38"/>
  <c r="F28" i="38"/>
  <c r="F45" i="38"/>
  <c r="I51" i="38"/>
  <c r="F17" i="38"/>
  <c r="K40" i="38"/>
  <c r="F54" i="38"/>
  <c r="K45" i="38"/>
  <c r="J43" i="38"/>
  <c r="K36" i="38"/>
  <c r="K42" i="38"/>
  <c r="J32" i="38"/>
  <c r="K56" i="38"/>
  <c r="H28" i="38"/>
  <c r="F26" i="38"/>
  <c r="H47" i="38"/>
  <c r="J25" i="38"/>
  <c r="H44" i="38"/>
  <c r="F43" i="38"/>
  <c r="H34" i="38"/>
  <c r="I22" i="38"/>
  <c r="H53" i="38"/>
  <c r="K32" i="38"/>
  <c r="K44" i="38"/>
  <c r="F32" i="38"/>
  <c r="J24" i="38"/>
  <c r="K51" i="38"/>
  <c r="J54" i="38"/>
  <c r="K47" i="38"/>
  <c r="J36" i="38"/>
  <c r="K35" i="38"/>
  <c r="K23" i="38"/>
  <c r="J47" i="38"/>
  <c r="F20" i="38"/>
  <c r="K33" i="38"/>
  <c r="I27" i="38"/>
  <c r="I38" i="38"/>
  <c r="F18" i="38"/>
  <c r="I39" i="38"/>
  <c r="I36" i="38"/>
  <c r="I29" i="38"/>
  <c r="H56" i="38"/>
  <c r="I24" i="38"/>
  <c r="K39" i="38"/>
  <c r="H29" i="38"/>
  <c r="J49" i="38"/>
  <c r="F56" i="38"/>
  <c r="J39" i="38"/>
  <c r="H31" i="38"/>
  <c r="K18" i="38"/>
  <c r="J29" i="38"/>
  <c r="I56" i="38"/>
  <c r="J28" i="38"/>
  <c r="J35" i="38"/>
  <c r="H52" i="38"/>
  <c r="J30" i="38"/>
  <c r="K26" i="38"/>
  <c r="H45" i="38"/>
  <c r="H46" i="38"/>
  <c r="K21" i="38"/>
  <c r="I40" i="38"/>
  <c r="J56" i="38"/>
  <c r="H20" i="38"/>
  <c r="I42" i="38"/>
  <c r="F21" i="38"/>
  <c r="I20" i="38"/>
  <c r="J21" i="38"/>
  <c r="H50" i="38"/>
  <c r="I32" i="38"/>
  <c r="I47" i="38"/>
  <c r="J52" i="38"/>
  <c r="J45" i="38"/>
  <c r="F35" i="38"/>
  <c r="G7" i="43"/>
  <c r="G22" i="38" l="1"/>
  <c r="E22" i="38" s="1"/>
  <c r="G18" i="38"/>
  <c r="E18" i="38" s="1"/>
  <c r="G28" i="38"/>
  <c r="E28" i="38" s="1"/>
  <c r="G43" i="38"/>
  <c r="E43" i="38" s="1"/>
  <c r="G54" i="38"/>
  <c r="E54" i="38" s="1"/>
  <c r="G40" i="38"/>
  <c r="E40" i="38" s="1"/>
  <c r="G55" i="38"/>
  <c r="E55" i="38" s="1"/>
  <c r="G34" i="38"/>
  <c r="E34" i="38" s="1"/>
  <c r="G51" i="38"/>
  <c r="E51" i="38" s="1"/>
  <c r="G49" i="38"/>
  <c r="E49" i="38" s="1"/>
  <c r="G29" i="38"/>
  <c r="E29" i="38" s="1"/>
  <c r="G52" i="38"/>
  <c r="E52" i="38" s="1"/>
  <c r="G37" i="38"/>
  <c r="E37" i="38" s="1"/>
  <c r="G53" i="38"/>
  <c r="E53" i="38" s="1"/>
  <c r="G26" i="38"/>
  <c r="E26" i="38" s="1"/>
  <c r="G46" i="38"/>
  <c r="E46" i="38" s="1"/>
  <c r="G31" i="38"/>
  <c r="E31" i="38" s="1"/>
  <c r="G20" i="38"/>
  <c r="E20" i="38" s="1"/>
  <c r="G47" i="38"/>
  <c r="E47" i="38" s="1"/>
  <c r="G30" i="38"/>
  <c r="E30" i="38" s="1"/>
  <c r="G19" i="38"/>
  <c r="E19" i="38" s="1"/>
  <c r="G25" i="38"/>
  <c r="E25" i="38" s="1"/>
  <c r="G35" i="38"/>
  <c r="E35" i="38" s="1"/>
  <c r="G50" i="38"/>
  <c r="E50" i="38" s="1"/>
  <c r="G17" i="38"/>
  <c r="E17" i="38" s="1"/>
  <c r="G32" i="38"/>
  <c r="E32" i="38" s="1"/>
  <c r="G33" i="38"/>
  <c r="E33" i="38" s="1"/>
  <c r="G42" i="38"/>
  <c r="E42" i="38" s="1"/>
  <c r="G48" i="38"/>
  <c r="E48" i="38" s="1"/>
  <c r="G21" i="38"/>
  <c r="E21" i="38" s="1"/>
  <c r="G27" i="38"/>
  <c r="E27" i="38" s="1"/>
  <c r="G41" i="38"/>
  <c r="E41" i="38" s="1"/>
  <c r="G39" i="38"/>
  <c r="E39" i="38" s="1"/>
  <c r="G23" i="38"/>
  <c r="E23" i="38" s="1"/>
  <c r="G56" i="38"/>
  <c r="E56" i="38" s="1"/>
  <c r="G44" i="38"/>
  <c r="E44" i="38" s="1"/>
  <c r="G36" i="38"/>
  <c r="E36" i="38" s="1"/>
  <c r="G24" i="38"/>
  <c r="E24" i="38" s="1"/>
  <c r="G45" i="38"/>
  <c r="E45" i="38" s="1"/>
  <c r="G38" i="38"/>
  <c r="E38" i="38" s="1"/>
  <c r="O58" i="36"/>
  <c r="S58" i="36"/>
  <c r="R58" i="36"/>
  <c r="Q58" i="36"/>
  <c r="P58" i="36"/>
  <c r="P65" i="43"/>
  <c r="O65" i="43" s="1"/>
  <c r="P74" i="43"/>
  <c r="P66" i="43"/>
  <c r="P67" i="43"/>
  <c r="P68" i="43"/>
  <c r="P69" i="43"/>
  <c r="P70" i="43"/>
  <c r="P71" i="43"/>
  <c r="P72" i="43"/>
  <c r="P73" i="43"/>
  <c r="P75" i="43"/>
  <c r="P76" i="43"/>
  <c r="N58" i="36" l="1"/>
  <c r="P77" i="43"/>
  <c r="O66" i="43"/>
  <c r="O67" i="43" s="1"/>
  <c r="O68" i="43" s="1"/>
  <c r="O69" i="43" s="1"/>
  <c r="O70" i="43" s="1"/>
  <c r="O71" i="43" s="1"/>
  <c r="O72" i="43" s="1"/>
  <c r="O73" i="43" s="1"/>
  <c r="O74" i="43" s="1"/>
  <c r="O75" i="43" s="1"/>
  <c r="O76" i="43" s="1"/>
  <c r="AC66" i="38"/>
  <c r="AC67" i="38"/>
  <c r="AC68" i="38"/>
  <c r="AC69" i="38"/>
  <c r="AC70" i="38"/>
  <c r="AC71" i="38"/>
  <c r="AC72" i="38"/>
  <c r="AC73" i="38"/>
  <c r="AC74" i="38"/>
  <c r="AC75" i="38"/>
  <c r="AC76" i="38"/>
  <c r="AC65" i="38"/>
  <c r="G77" i="42" l="1"/>
  <c r="B54" i="42" l="1"/>
  <c r="AD54" i="42" s="1"/>
  <c r="E105" i="40"/>
  <c r="G77" i="41"/>
  <c r="B54" i="41"/>
  <c r="C55" i="41"/>
  <c r="C54" i="41" s="1"/>
  <c r="D55" i="41" l="1"/>
  <c r="D54" i="41" s="1"/>
  <c r="E55" i="41" l="1"/>
  <c r="E54" i="41" l="1"/>
  <c r="A54" i="41" s="1"/>
  <c r="C58" i="43"/>
  <c r="L59" i="43" s="1"/>
  <c r="M67" i="32" s="1"/>
  <c r="B58" i="36"/>
  <c r="K59" i="36" s="1"/>
  <c r="M68" i="32" s="1"/>
  <c r="C56" i="43"/>
  <c r="C55" i="43"/>
  <c r="C54" i="43"/>
  <c r="C53" i="43"/>
  <c r="C52" i="43"/>
  <c r="C51" i="43"/>
  <c r="C50" i="43"/>
  <c r="C49" i="43"/>
  <c r="C48" i="43"/>
  <c r="C47" i="43"/>
  <c r="C46" i="43"/>
  <c r="C45" i="43"/>
  <c r="C44" i="43"/>
  <c r="C43" i="43"/>
  <c r="C42" i="43"/>
  <c r="C41" i="43"/>
  <c r="C40" i="43"/>
  <c r="C39" i="43"/>
  <c r="C38" i="43"/>
  <c r="C37" i="43"/>
  <c r="C36" i="43"/>
  <c r="C35" i="43"/>
  <c r="C34" i="43"/>
  <c r="C33" i="43"/>
  <c r="C32" i="43"/>
  <c r="C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C13" i="43"/>
  <c r="C12" i="43"/>
  <c r="C11" i="43"/>
  <c r="C10" i="43"/>
  <c r="C9" i="43"/>
  <c r="C8" i="43"/>
  <c r="C7" i="43"/>
  <c r="C6" i="43"/>
  <c r="C5" i="43"/>
  <c r="E5" i="43"/>
  <c r="D39" i="36"/>
  <c r="D38" i="36"/>
  <c r="D37" i="36"/>
  <c r="B57" i="27" l="1"/>
  <c r="D57" i="27"/>
  <c r="E57" i="27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A54" i="27" l="1"/>
  <c r="I56" i="36"/>
  <c r="H56" i="36"/>
  <c r="G56" i="36"/>
  <c r="F56" i="36"/>
  <c r="I55" i="36"/>
  <c r="H55" i="36"/>
  <c r="G55" i="36"/>
  <c r="F55" i="36"/>
  <c r="I54" i="36"/>
  <c r="H54" i="36"/>
  <c r="G54" i="36"/>
  <c r="F54" i="36"/>
  <c r="I53" i="36"/>
  <c r="H53" i="36"/>
  <c r="G53" i="36"/>
  <c r="F53" i="36"/>
  <c r="I52" i="36"/>
  <c r="H52" i="36"/>
  <c r="G52" i="36"/>
  <c r="F52" i="36"/>
  <c r="I51" i="36"/>
  <c r="H51" i="36"/>
  <c r="G51" i="36"/>
  <c r="F51" i="36"/>
  <c r="I50" i="36"/>
  <c r="H50" i="36"/>
  <c r="G50" i="36"/>
  <c r="F50" i="36"/>
  <c r="I49" i="36"/>
  <c r="H49" i="36"/>
  <c r="G49" i="36"/>
  <c r="F49" i="36"/>
  <c r="I48" i="36"/>
  <c r="H48" i="36"/>
  <c r="G48" i="36"/>
  <c r="F48" i="36"/>
  <c r="I47" i="36"/>
  <c r="H47" i="36"/>
  <c r="G47" i="36"/>
  <c r="F47" i="36"/>
  <c r="I46" i="36"/>
  <c r="H46" i="36"/>
  <c r="G46" i="36"/>
  <c r="F46" i="36"/>
  <c r="I45" i="36"/>
  <c r="H45" i="36"/>
  <c r="G45" i="36"/>
  <c r="F45" i="36"/>
  <c r="I44" i="36"/>
  <c r="H44" i="36"/>
  <c r="G44" i="36"/>
  <c r="F44" i="36"/>
  <c r="I43" i="36"/>
  <c r="H43" i="36"/>
  <c r="G43" i="36"/>
  <c r="F43" i="36"/>
  <c r="I42" i="36"/>
  <c r="H42" i="36"/>
  <c r="G42" i="36"/>
  <c r="F42" i="36"/>
  <c r="I41" i="36"/>
  <c r="H41" i="36"/>
  <c r="G41" i="36"/>
  <c r="F41" i="36"/>
  <c r="I40" i="36"/>
  <c r="H40" i="36"/>
  <c r="G40" i="36"/>
  <c r="F40" i="36"/>
  <c r="I36" i="36"/>
  <c r="H36" i="36"/>
  <c r="G36" i="36"/>
  <c r="F36" i="36"/>
  <c r="I35" i="36"/>
  <c r="H35" i="36"/>
  <c r="G35" i="36"/>
  <c r="F35" i="36"/>
  <c r="I34" i="36"/>
  <c r="H34" i="36"/>
  <c r="G34" i="36"/>
  <c r="F34" i="36"/>
  <c r="I33" i="36"/>
  <c r="H33" i="36"/>
  <c r="G33" i="36"/>
  <c r="F33" i="36"/>
  <c r="I32" i="36"/>
  <c r="H32" i="36"/>
  <c r="G32" i="36"/>
  <c r="F32" i="36"/>
  <c r="I31" i="36"/>
  <c r="H31" i="36"/>
  <c r="G31" i="36"/>
  <c r="F31" i="36"/>
  <c r="I30" i="36"/>
  <c r="H30" i="36"/>
  <c r="G30" i="36"/>
  <c r="F30" i="36"/>
  <c r="I29" i="36"/>
  <c r="H29" i="36"/>
  <c r="G29" i="36"/>
  <c r="F29" i="36"/>
  <c r="I28" i="36"/>
  <c r="H28" i="36"/>
  <c r="G28" i="36"/>
  <c r="F28" i="36"/>
  <c r="I27" i="36"/>
  <c r="H27" i="36"/>
  <c r="G27" i="36"/>
  <c r="F27" i="36"/>
  <c r="I26" i="36"/>
  <c r="H26" i="36"/>
  <c r="G26" i="36"/>
  <c r="F26" i="36"/>
  <c r="I25" i="36"/>
  <c r="H25" i="36"/>
  <c r="G25" i="36"/>
  <c r="F25" i="36"/>
  <c r="I24" i="36"/>
  <c r="H24" i="36"/>
  <c r="G24" i="36"/>
  <c r="F24" i="36"/>
  <c r="I23" i="36"/>
  <c r="H23" i="36"/>
  <c r="G23" i="36"/>
  <c r="F23" i="36"/>
  <c r="I22" i="36"/>
  <c r="H22" i="36"/>
  <c r="G22" i="36"/>
  <c r="F22" i="36"/>
  <c r="I21" i="36"/>
  <c r="H21" i="36"/>
  <c r="G21" i="36"/>
  <c r="F21" i="36"/>
  <c r="I20" i="36"/>
  <c r="H20" i="36"/>
  <c r="G20" i="36"/>
  <c r="F20" i="36"/>
  <c r="I19" i="36"/>
  <c r="H19" i="36"/>
  <c r="G19" i="36"/>
  <c r="F19" i="36"/>
  <c r="I18" i="36"/>
  <c r="H18" i="36"/>
  <c r="G18" i="36"/>
  <c r="F18" i="36"/>
  <c r="I17" i="36"/>
  <c r="H17" i="36"/>
  <c r="G17" i="36"/>
  <c r="F17" i="36"/>
  <c r="I16" i="36"/>
  <c r="H16" i="36"/>
  <c r="G16" i="36"/>
  <c r="F16" i="36"/>
  <c r="I15" i="36"/>
  <c r="H15" i="36"/>
  <c r="G15" i="36"/>
  <c r="F15" i="36"/>
  <c r="I14" i="36"/>
  <c r="H14" i="36"/>
  <c r="G14" i="36"/>
  <c r="F14" i="36"/>
  <c r="I13" i="36"/>
  <c r="H13" i="36"/>
  <c r="G13" i="36"/>
  <c r="F13" i="36"/>
  <c r="I12" i="36"/>
  <c r="H12" i="36"/>
  <c r="G12" i="36"/>
  <c r="F12" i="36"/>
  <c r="I11" i="36"/>
  <c r="H11" i="36"/>
  <c r="G11" i="36"/>
  <c r="F11" i="36"/>
  <c r="I10" i="36"/>
  <c r="H10" i="36"/>
  <c r="G10" i="36"/>
  <c r="F10" i="36"/>
  <c r="I9" i="36"/>
  <c r="H9" i="36"/>
  <c r="G9" i="36"/>
  <c r="F9" i="36"/>
  <c r="I8" i="36"/>
  <c r="H8" i="36"/>
  <c r="G8" i="36"/>
  <c r="F8" i="36"/>
  <c r="I7" i="36"/>
  <c r="H7" i="36"/>
  <c r="G7" i="36"/>
  <c r="F7" i="36"/>
  <c r="D56" i="41" l="1"/>
  <c r="E56" i="41"/>
  <c r="F6" i="36"/>
  <c r="C56" i="41" l="1"/>
  <c r="V78" i="33"/>
  <c r="L56" i="33"/>
  <c r="I56" i="33"/>
  <c r="H56" i="33"/>
  <c r="G56" i="33"/>
  <c r="F56" i="33"/>
  <c r="E56" i="33"/>
  <c r="D56" i="33"/>
  <c r="L55" i="33"/>
  <c r="I55" i="33"/>
  <c r="H55" i="33"/>
  <c r="G55" i="33"/>
  <c r="F55" i="33"/>
  <c r="E55" i="33"/>
  <c r="D55" i="33"/>
  <c r="L54" i="33"/>
  <c r="I54" i="33"/>
  <c r="H54" i="33"/>
  <c r="G54" i="33"/>
  <c r="F54" i="33"/>
  <c r="E54" i="33"/>
  <c r="D54" i="33"/>
  <c r="L53" i="33"/>
  <c r="I53" i="33"/>
  <c r="H53" i="33"/>
  <c r="G53" i="33"/>
  <c r="F53" i="33"/>
  <c r="E53" i="33"/>
  <c r="D53" i="33"/>
  <c r="L52" i="33"/>
  <c r="I52" i="33"/>
  <c r="H52" i="33"/>
  <c r="G52" i="33"/>
  <c r="F52" i="33"/>
  <c r="E52" i="33"/>
  <c r="D52" i="33"/>
  <c r="L51" i="33"/>
  <c r="I51" i="33"/>
  <c r="H51" i="33"/>
  <c r="G51" i="33"/>
  <c r="F51" i="33"/>
  <c r="E51" i="33"/>
  <c r="D51" i="33"/>
  <c r="L50" i="33"/>
  <c r="I50" i="33"/>
  <c r="H50" i="33"/>
  <c r="G50" i="33"/>
  <c r="F50" i="33"/>
  <c r="E50" i="33"/>
  <c r="D50" i="33"/>
  <c r="L49" i="33"/>
  <c r="I49" i="33"/>
  <c r="H49" i="33"/>
  <c r="G49" i="33"/>
  <c r="F49" i="33"/>
  <c r="E49" i="33"/>
  <c r="D49" i="33"/>
  <c r="L48" i="33"/>
  <c r="I48" i="33"/>
  <c r="H48" i="33"/>
  <c r="G48" i="33"/>
  <c r="F48" i="33"/>
  <c r="E48" i="33"/>
  <c r="D48" i="33"/>
  <c r="L47" i="33"/>
  <c r="I47" i="33"/>
  <c r="H47" i="33"/>
  <c r="G47" i="33"/>
  <c r="F47" i="33"/>
  <c r="E47" i="33"/>
  <c r="D47" i="33"/>
  <c r="L46" i="33"/>
  <c r="I46" i="33"/>
  <c r="H46" i="33"/>
  <c r="G46" i="33"/>
  <c r="F46" i="33"/>
  <c r="E46" i="33"/>
  <c r="D46" i="33"/>
  <c r="L45" i="33"/>
  <c r="I45" i="33"/>
  <c r="H45" i="33"/>
  <c r="G45" i="33"/>
  <c r="F45" i="33"/>
  <c r="E45" i="33"/>
  <c r="D45" i="33"/>
  <c r="L44" i="33"/>
  <c r="I44" i="33"/>
  <c r="H44" i="33"/>
  <c r="G44" i="33"/>
  <c r="F44" i="33"/>
  <c r="E44" i="33"/>
  <c r="D44" i="33"/>
  <c r="L43" i="33"/>
  <c r="I43" i="33"/>
  <c r="H43" i="33"/>
  <c r="G43" i="33"/>
  <c r="F43" i="33"/>
  <c r="E43" i="33"/>
  <c r="D43" i="33"/>
  <c r="L42" i="33"/>
  <c r="I42" i="33"/>
  <c r="H42" i="33"/>
  <c r="G42" i="33"/>
  <c r="F42" i="33"/>
  <c r="E42" i="33"/>
  <c r="D42" i="33"/>
  <c r="L41" i="33"/>
  <c r="I41" i="33"/>
  <c r="H41" i="33"/>
  <c r="G41" i="33"/>
  <c r="F41" i="33"/>
  <c r="E41" i="33"/>
  <c r="D41" i="33"/>
  <c r="L40" i="33"/>
  <c r="I40" i="33"/>
  <c r="H40" i="33"/>
  <c r="G40" i="33"/>
  <c r="F40" i="33"/>
  <c r="E40" i="33"/>
  <c r="D40" i="33"/>
  <c r="L39" i="33"/>
  <c r="I39" i="33"/>
  <c r="H39" i="33"/>
  <c r="G39" i="33"/>
  <c r="F39" i="33"/>
  <c r="E39" i="33"/>
  <c r="D39" i="33"/>
  <c r="L38" i="33"/>
  <c r="I38" i="33"/>
  <c r="H38" i="33"/>
  <c r="G38" i="33"/>
  <c r="F38" i="33"/>
  <c r="E38" i="33"/>
  <c r="D38" i="33"/>
  <c r="L37" i="33"/>
  <c r="I37" i="33"/>
  <c r="H37" i="33"/>
  <c r="G37" i="33"/>
  <c r="F37" i="33"/>
  <c r="E37" i="33"/>
  <c r="D37" i="33"/>
  <c r="L36" i="33"/>
  <c r="I36" i="33"/>
  <c r="H36" i="33"/>
  <c r="G36" i="33"/>
  <c r="F36" i="33"/>
  <c r="E36" i="33"/>
  <c r="D36" i="33"/>
  <c r="L35" i="33"/>
  <c r="I35" i="33"/>
  <c r="H35" i="33"/>
  <c r="G35" i="33"/>
  <c r="F35" i="33"/>
  <c r="E35" i="33"/>
  <c r="D35" i="33"/>
  <c r="L34" i="33"/>
  <c r="I34" i="33"/>
  <c r="H34" i="33"/>
  <c r="G34" i="33"/>
  <c r="F34" i="33"/>
  <c r="E34" i="33"/>
  <c r="D34" i="33"/>
  <c r="L33" i="33"/>
  <c r="I33" i="33"/>
  <c r="H33" i="33"/>
  <c r="G33" i="33"/>
  <c r="F33" i="33"/>
  <c r="E33" i="33"/>
  <c r="D33" i="33"/>
  <c r="L32" i="33"/>
  <c r="I32" i="33"/>
  <c r="H32" i="33"/>
  <c r="G32" i="33"/>
  <c r="F32" i="33"/>
  <c r="E32" i="33"/>
  <c r="D32" i="33"/>
  <c r="L31" i="33"/>
  <c r="I31" i="33"/>
  <c r="H31" i="33"/>
  <c r="G31" i="33"/>
  <c r="F31" i="33"/>
  <c r="E31" i="33"/>
  <c r="D31" i="33"/>
  <c r="L30" i="33"/>
  <c r="I30" i="33"/>
  <c r="H30" i="33"/>
  <c r="G30" i="33"/>
  <c r="F30" i="33"/>
  <c r="E30" i="33"/>
  <c r="D30" i="33"/>
  <c r="L29" i="33"/>
  <c r="I29" i="33"/>
  <c r="H29" i="33"/>
  <c r="G29" i="33"/>
  <c r="F29" i="33"/>
  <c r="E29" i="33"/>
  <c r="D29" i="33"/>
  <c r="L28" i="33"/>
  <c r="I28" i="33"/>
  <c r="H28" i="33"/>
  <c r="G28" i="33"/>
  <c r="F28" i="33"/>
  <c r="E28" i="33"/>
  <c r="D28" i="33"/>
  <c r="L27" i="33"/>
  <c r="I27" i="33"/>
  <c r="H27" i="33"/>
  <c r="G27" i="33"/>
  <c r="F27" i="33"/>
  <c r="E27" i="33"/>
  <c r="D27" i="33"/>
  <c r="L26" i="33"/>
  <c r="I26" i="33"/>
  <c r="H26" i="33"/>
  <c r="G26" i="33"/>
  <c r="F26" i="33"/>
  <c r="E26" i="33"/>
  <c r="D26" i="33"/>
  <c r="L25" i="33"/>
  <c r="I25" i="33"/>
  <c r="H25" i="33"/>
  <c r="G25" i="33"/>
  <c r="F25" i="33"/>
  <c r="E25" i="33"/>
  <c r="D25" i="33"/>
  <c r="L24" i="33"/>
  <c r="I24" i="33"/>
  <c r="H24" i="33"/>
  <c r="G24" i="33"/>
  <c r="F24" i="33"/>
  <c r="E24" i="33"/>
  <c r="D24" i="33"/>
  <c r="L23" i="33"/>
  <c r="I23" i="33"/>
  <c r="H23" i="33"/>
  <c r="G23" i="33"/>
  <c r="F23" i="33"/>
  <c r="E23" i="33"/>
  <c r="D23" i="33"/>
  <c r="L22" i="33"/>
  <c r="I22" i="33"/>
  <c r="H22" i="33"/>
  <c r="G22" i="33"/>
  <c r="F22" i="33"/>
  <c r="E22" i="33"/>
  <c r="D22" i="33"/>
  <c r="L21" i="33"/>
  <c r="I21" i="33"/>
  <c r="H21" i="33"/>
  <c r="G21" i="33"/>
  <c r="F21" i="33"/>
  <c r="E21" i="33"/>
  <c r="D21" i="33"/>
  <c r="L20" i="33"/>
  <c r="I20" i="33"/>
  <c r="H20" i="33"/>
  <c r="G20" i="33"/>
  <c r="F20" i="33"/>
  <c r="E20" i="33"/>
  <c r="D20" i="33"/>
  <c r="L19" i="33"/>
  <c r="I19" i="33"/>
  <c r="H19" i="33"/>
  <c r="G19" i="33"/>
  <c r="F19" i="33"/>
  <c r="E19" i="33"/>
  <c r="D19" i="33"/>
  <c r="L18" i="33"/>
  <c r="I18" i="33"/>
  <c r="H18" i="33"/>
  <c r="G18" i="33"/>
  <c r="F18" i="33"/>
  <c r="E18" i="33"/>
  <c r="D18" i="33"/>
  <c r="L17" i="33"/>
  <c r="I17" i="33"/>
  <c r="H17" i="33"/>
  <c r="G17" i="33"/>
  <c r="F17" i="33"/>
  <c r="E17" i="33"/>
  <c r="D17" i="33"/>
  <c r="L16" i="33"/>
  <c r="I16" i="33"/>
  <c r="H16" i="33"/>
  <c r="G16" i="33"/>
  <c r="F16" i="33"/>
  <c r="E16" i="33"/>
  <c r="D16" i="33"/>
  <c r="L15" i="33"/>
  <c r="I15" i="33"/>
  <c r="H15" i="33"/>
  <c r="G15" i="33"/>
  <c r="F15" i="33"/>
  <c r="E15" i="33"/>
  <c r="D15" i="33"/>
  <c r="L14" i="33"/>
  <c r="I14" i="33"/>
  <c r="H14" i="33"/>
  <c r="G14" i="33"/>
  <c r="F14" i="33"/>
  <c r="E14" i="33"/>
  <c r="D14" i="33"/>
  <c r="L13" i="33"/>
  <c r="I13" i="33"/>
  <c r="H13" i="33"/>
  <c r="G13" i="33"/>
  <c r="F13" i="33"/>
  <c r="E13" i="33"/>
  <c r="D13" i="33"/>
  <c r="L12" i="33"/>
  <c r="I12" i="33"/>
  <c r="H12" i="33"/>
  <c r="G12" i="33"/>
  <c r="F12" i="33"/>
  <c r="E12" i="33"/>
  <c r="D12" i="33"/>
  <c r="L11" i="33"/>
  <c r="I11" i="33"/>
  <c r="H11" i="33"/>
  <c r="G11" i="33"/>
  <c r="F11" i="33"/>
  <c r="E11" i="33"/>
  <c r="D11" i="33"/>
  <c r="L10" i="33"/>
  <c r="I10" i="33"/>
  <c r="H10" i="33"/>
  <c r="G10" i="33"/>
  <c r="F10" i="33"/>
  <c r="E10" i="33"/>
  <c r="D10" i="33"/>
  <c r="L9" i="33"/>
  <c r="I9" i="33"/>
  <c r="H9" i="33"/>
  <c r="G9" i="33"/>
  <c r="F9" i="33"/>
  <c r="E9" i="33"/>
  <c r="D9" i="33"/>
  <c r="L8" i="33"/>
  <c r="I8" i="33"/>
  <c r="H8" i="33"/>
  <c r="G8" i="33"/>
  <c r="F8" i="33"/>
  <c r="E8" i="33"/>
  <c r="D8" i="33"/>
  <c r="L7" i="33"/>
  <c r="I7" i="33"/>
  <c r="H7" i="33"/>
  <c r="G7" i="33"/>
  <c r="F7" i="33"/>
  <c r="E7" i="33"/>
  <c r="D7" i="33"/>
  <c r="L6" i="33"/>
  <c r="I6" i="33"/>
  <c r="H6" i="33"/>
  <c r="G6" i="33"/>
  <c r="F6" i="33"/>
  <c r="E6" i="33"/>
  <c r="D6" i="33"/>
  <c r="S71" i="28" l="1"/>
  <c r="J6" i="33"/>
  <c r="H78" i="33"/>
  <c r="D78" i="33"/>
  <c r="F78" i="33"/>
  <c r="L59" i="33"/>
  <c r="F59" i="33"/>
  <c r="H59" i="33"/>
  <c r="I59" i="33"/>
  <c r="G59" i="33"/>
  <c r="E59" i="33"/>
  <c r="D59" i="33"/>
  <c r="K8" i="33"/>
  <c r="J9" i="33"/>
  <c r="K14" i="33"/>
  <c r="J15" i="33"/>
  <c r="K20" i="33"/>
  <c r="J21" i="33"/>
  <c r="K26" i="33"/>
  <c r="J27" i="33"/>
  <c r="K32" i="33"/>
  <c r="J33" i="33"/>
  <c r="K38" i="33"/>
  <c r="J39" i="33"/>
  <c r="K44" i="33"/>
  <c r="J45" i="33"/>
  <c r="K50" i="33"/>
  <c r="J51" i="33"/>
  <c r="K56" i="33"/>
  <c r="J8" i="33"/>
  <c r="K13" i="33"/>
  <c r="J14" i="33"/>
  <c r="K19" i="33"/>
  <c r="J20" i="33"/>
  <c r="K25" i="33"/>
  <c r="J26" i="33"/>
  <c r="K31" i="33"/>
  <c r="J32" i="33"/>
  <c r="K37" i="33"/>
  <c r="J38" i="33"/>
  <c r="K43" i="33"/>
  <c r="J44" i="33"/>
  <c r="K49" i="33"/>
  <c r="J50" i="33"/>
  <c r="K55" i="33"/>
  <c r="J56" i="33"/>
  <c r="K9" i="33"/>
  <c r="K21" i="33"/>
  <c r="J28" i="33"/>
  <c r="J34" i="33"/>
  <c r="J40" i="33"/>
  <c r="J46" i="33"/>
  <c r="J52" i="33"/>
  <c r="K10" i="33"/>
  <c r="J11" i="33"/>
  <c r="K16" i="33"/>
  <c r="J17" i="33"/>
  <c r="K22" i="33"/>
  <c r="J23" i="33"/>
  <c r="K28" i="33"/>
  <c r="J29" i="33"/>
  <c r="K34" i="33"/>
  <c r="J35" i="33"/>
  <c r="K40" i="33"/>
  <c r="J41" i="33"/>
  <c r="K46" i="33"/>
  <c r="J47" i="33"/>
  <c r="K52" i="33"/>
  <c r="J53" i="33"/>
  <c r="J10" i="33"/>
  <c r="J16" i="33"/>
  <c r="K11" i="33"/>
  <c r="J12" i="33"/>
  <c r="K17" i="33"/>
  <c r="J18" i="33"/>
  <c r="K23" i="33"/>
  <c r="J24" i="33"/>
  <c r="K29" i="33"/>
  <c r="J30" i="33"/>
  <c r="K35" i="33"/>
  <c r="J36" i="33"/>
  <c r="K41" i="33"/>
  <c r="J42" i="33"/>
  <c r="K47" i="33"/>
  <c r="J48" i="33"/>
  <c r="K53" i="33"/>
  <c r="J54" i="33"/>
  <c r="K15" i="33"/>
  <c r="J22" i="33"/>
  <c r="K27" i="33"/>
  <c r="K33" i="33"/>
  <c r="K39" i="33"/>
  <c r="K45" i="33"/>
  <c r="K51" i="33"/>
  <c r="J7" i="33"/>
  <c r="K12" i="33"/>
  <c r="J13" i="33"/>
  <c r="K18" i="33"/>
  <c r="J19" i="33"/>
  <c r="K24" i="33"/>
  <c r="J25" i="33"/>
  <c r="K30" i="33"/>
  <c r="J31" i="33"/>
  <c r="K36" i="33"/>
  <c r="J37" i="33"/>
  <c r="K42" i="33"/>
  <c r="J43" i="33"/>
  <c r="K48" i="33"/>
  <c r="J49" i="33"/>
  <c r="K54" i="33"/>
  <c r="J55" i="33"/>
  <c r="K7" i="33"/>
  <c r="K6" i="33"/>
  <c r="G6" i="36"/>
  <c r="H6" i="36"/>
  <c r="S67" i="28" l="1"/>
  <c r="J78" i="33"/>
  <c r="E66" i="33"/>
  <c r="H68" i="33"/>
  <c r="E75" i="33"/>
  <c r="F70" i="33"/>
  <c r="I74" i="33"/>
  <c r="I68" i="33"/>
  <c r="D73" i="33"/>
  <c r="D67" i="33"/>
  <c r="G74" i="33"/>
  <c r="G68" i="33"/>
  <c r="I75" i="33"/>
  <c r="I69" i="33"/>
  <c r="H75" i="33"/>
  <c r="H69" i="33"/>
  <c r="E69" i="33"/>
  <c r="E73" i="33"/>
  <c r="E67" i="33"/>
  <c r="F72" i="33"/>
  <c r="H76" i="33"/>
  <c r="I73" i="33"/>
  <c r="I67" i="33"/>
  <c r="E74" i="33"/>
  <c r="E68" i="33"/>
  <c r="D74" i="33"/>
  <c r="D68" i="33"/>
  <c r="G75" i="33"/>
  <c r="F76" i="33"/>
  <c r="G72" i="33"/>
  <c r="H73" i="33"/>
  <c r="H71" i="33"/>
  <c r="F71" i="33"/>
  <c r="E72" i="33"/>
  <c r="D72" i="33"/>
  <c r="G73" i="33"/>
  <c r="G67" i="33"/>
  <c r="F73" i="33"/>
  <c r="F67" i="33"/>
  <c r="G69" i="33"/>
  <c r="G76" i="33"/>
  <c r="I71" i="33"/>
  <c r="D76" i="33"/>
  <c r="D70" i="33"/>
  <c r="D69" i="33"/>
  <c r="G71" i="33"/>
  <c r="H70" i="33"/>
  <c r="I72" i="33"/>
  <c r="D75" i="33"/>
  <c r="H72" i="33"/>
  <c r="F74" i="33"/>
  <c r="H74" i="33"/>
  <c r="G70" i="33"/>
  <c r="E70" i="33"/>
  <c r="F75" i="33"/>
  <c r="F69" i="33"/>
  <c r="I76" i="33"/>
  <c r="I70" i="33"/>
  <c r="F68" i="33"/>
  <c r="E71" i="33"/>
  <c r="H67" i="33"/>
  <c r="D71" i="33"/>
  <c r="E76" i="33"/>
  <c r="E65" i="33"/>
  <c r="F65" i="33"/>
  <c r="D65" i="33"/>
  <c r="D66" i="33"/>
  <c r="J59" i="33"/>
  <c r="K59" i="33"/>
  <c r="I6" i="36" l="1"/>
  <c r="J76" i="33"/>
  <c r="K71" i="33"/>
  <c r="K76" i="33"/>
  <c r="J71" i="33"/>
  <c r="J70" i="33"/>
  <c r="J74" i="33"/>
  <c r="K74" i="33"/>
  <c r="J69" i="33"/>
  <c r="J68" i="33"/>
  <c r="J73" i="33"/>
  <c r="J75" i="33"/>
  <c r="K68" i="33"/>
  <c r="K67" i="33"/>
  <c r="K70" i="33"/>
  <c r="K73" i="33"/>
  <c r="J72" i="33"/>
  <c r="K69" i="33"/>
  <c r="K75" i="33"/>
  <c r="K72" i="33"/>
  <c r="J67" i="33"/>
  <c r="P58" i="43" l="1"/>
  <c r="Q58" i="43"/>
  <c r="S58" i="43"/>
  <c r="R58" i="43"/>
  <c r="T58" i="43"/>
  <c r="F56" i="43" l="1"/>
  <c r="E56" i="43" s="1"/>
  <c r="F55" i="43"/>
  <c r="E55" i="43" s="1"/>
  <c r="F54" i="43"/>
  <c r="E54" i="43" s="1"/>
  <c r="F53" i="43"/>
  <c r="E53" i="43" s="1"/>
  <c r="F52" i="43"/>
  <c r="E52" i="43" s="1"/>
  <c r="F51" i="43"/>
  <c r="E51" i="43" s="1"/>
  <c r="F50" i="43"/>
  <c r="E50" i="43" s="1"/>
  <c r="F49" i="43"/>
  <c r="E49" i="43" s="1"/>
  <c r="F48" i="43"/>
  <c r="E48" i="43" s="1"/>
  <c r="F47" i="43"/>
  <c r="E47" i="43" s="1"/>
  <c r="F46" i="43"/>
  <c r="E46" i="43" s="1"/>
  <c r="F45" i="43"/>
  <c r="E45" i="43" s="1"/>
  <c r="F44" i="43"/>
  <c r="E44" i="43" s="1"/>
  <c r="F43" i="43"/>
  <c r="E43" i="43" s="1"/>
  <c r="F42" i="43"/>
  <c r="E42" i="43" s="1"/>
  <c r="F41" i="43"/>
  <c r="E41" i="43" s="1"/>
  <c r="F40" i="43"/>
  <c r="E40" i="43" s="1"/>
  <c r="F39" i="43"/>
  <c r="E39" i="43" s="1"/>
  <c r="F38" i="43"/>
  <c r="E38" i="43" s="1"/>
  <c r="F37" i="43"/>
  <c r="E37" i="43" s="1"/>
  <c r="F36" i="43"/>
  <c r="E36" i="43" s="1"/>
  <c r="F35" i="43"/>
  <c r="E35" i="43" s="1"/>
  <c r="F34" i="43"/>
  <c r="E34" i="43" s="1"/>
  <c r="F33" i="43"/>
  <c r="E33" i="43" s="1"/>
  <c r="F32" i="43"/>
  <c r="E32" i="43" s="1"/>
  <c r="F31" i="43"/>
  <c r="E31" i="43" s="1"/>
  <c r="F30" i="43"/>
  <c r="E30" i="43" s="1"/>
  <c r="F29" i="43"/>
  <c r="E29" i="43" s="1"/>
  <c r="F28" i="43"/>
  <c r="E28" i="43" s="1"/>
  <c r="F27" i="43"/>
  <c r="E27" i="43" s="1"/>
  <c r="F26" i="43"/>
  <c r="E26" i="43" s="1"/>
  <c r="F25" i="43"/>
  <c r="E25" i="43" s="1"/>
  <c r="F24" i="43"/>
  <c r="E24" i="43" s="1"/>
  <c r="F23" i="43"/>
  <c r="E23" i="43" s="1"/>
  <c r="F22" i="43"/>
  <c r="E22" i="43" s="1"/>
  <c r="F21" i="43"/>
  <c r="E21" i="43" s="1"/>
  <c r="F20" i="43"/>
  <c r="E20" i="43" s="1"/>
  <c r="F19" i="43"/>
  <c r="E19" i="43" s="1"/>
  <c r="F18" i="43"/>
  <c r="E18" i="43" s="1"/>
  <c r="F17" i="43"/>
  <c r="E17" i="43" s="1"/>
  <c r="B56" i="43"/>
  <c r="B55" i="43"/>
  <c r="B54" i="43"/>
  <c r="B53" i="43"/>
  <c r="B52" i="43"/>
  <c r="B51" i="43"/>
  <c r="B50" i="43"/>
  <c r="B49" i="43"/>
  <c r="B48" i="43"/>
  <c r="B47" i="43"/>
  <c r="B46" i="43"/>
  <c r="B45" i="43"/>
  <c r="B44" i="43"/>
  <c r="B43" i="43"/>
  <c r="B42" i="43"/>
  <c r="B41" i="43"/>
  <c r="B40" i="43"/>
  <c r="B39" i="43"/>
  <c r="B38" i="43"/>
  <c r="B37" i="43"/>
  <c r="B36" i="43"/>
  <c r="B35" i="43"/>
  <c r="B34" i="43"/>
  <c r="B33" i="43"/>
  <c r="B32" i="43"/>
  <c r="B31" i="43"/>
  <c r="B30" i="43"/>
  <c r="B29" i="43"/>
  <c r="B28" i="43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7" i="43"/>
  <c r="B6" i="43"/>
  <c r="B5" i="43"/>
  <c r="B6" i="38"/>
  <c r="B7" i="38"/>
  <c r="B8" i="38"/>
  <c r="B9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B37" i="38"/>
  <c r="B38" i="38"/>
  <c r="B39" i="38"/>
  <c r="B40" i="38"/>
  <c r="B41" i="38"/>
  <c r="B42" i="38"/>
  <c r="B43" i="38"/>
  <c r="B44" i="38"/>
  <c r="B45" i="38"/>
  <c r="B46" i="38"/>
  <c r="B47" i="38"/>
  <c r="B48" i="38"/>
  <c r="B49" i="38"/>
  <c r="B50" i="38"/>
  <c r="B51" i="38"/>
  <c r="B52" i="38"/>
  <c r="B53" i="38"/>
  <c r="B54" i="38"/>
  <c r="B55" i="38"/>
  <c r="B56" i="38"/>
  <c r="B5" i="38"/>
  <c r="B6" i="36"/>
  <c r="B7" i="36"/>
  <c r="B8" i="36"/>
  <c r="B9" i="36"/>
  <c r="B10" i="36"/>
  <c r="B11" i="36"/>
  <c r="B12" i="36"/>
  <c r="B13" i="36"/>
  <c r="B14" i="36"/>
  <c r="B15" i="36"/>
  <c r="B16" i="36"/>
  <c r="B17" i="36"/>
  <c r="B18" i="36"/>
  <c r="B19" i="36"/>
  <c r="B20" i="36"/>
  <c r="B21" i="36"/>
  <c r="B22" i="36"/>
  <c r="B23" i="36"/>
  <c r="B24" i="36"/>
  <c r="B25" i="36"/>
  <c r="B26" i="36"/>
  <c r="B27" i="36"/>
  <c r="B28" i="36"/>
  <c r="B29" i="36"/>
  <c r="B30" i="36"/>
  <c r="B31" i="36"/>
  <c r="B32" i="36"/>
  <c r="B33" i="36"/>
  <c r="B34" i="36"/>
  <c r="B35" i="36"/>
  <c r="B36" i="36"/>
  <c r="B37" i="36"/>
  <c r="B38" i="36"/>
  <c r="B39" i="36"/>
  <c r="B40" i="36"/>
  <c r="B41" i="36"/>
  <c r="B42" i="36"/>
  <c r="B43" i="36"/>
  <c r="B44" i="36"/>
  <c r="B45" i="36"/>
  <c r="B46" i="36"/>
  <c r="B47" i="36"/>
  <c r="B48" i="36"/>
  <c r="B49" i="36"/>
  <c r="B50" i="36"/>
  <c r="B51" i="36"/>
  <c r="B52" i="36"/>
  <c r="B53" i="36"/>
  <c r="B54" i="36"/>
  <c r="B55" i="36"/>
  <c r="B56" i="36"/>
  <c r="B5" i="36"/>
  <c r="F11" i="38"/>
  <c r="K16" i="38"/>
  <c r="F9" i="38"/>
  <c r="J11" i="38"/>
  <c r="J7" i="38"/>
  <c r="K6" i="38"/>
  <c r="K12" i="38"/>
  <c r="H9" i="38"/>
  <c r="F7" i="38"/>
  <c r="K7" i="38"/>
  <c r="J8" i="38"/>
  <c r="K9" i="38"/>
  <c r="H16" i="38"/>
  <c r="K8" i="38"/>
  <c r="F16" i="38"/>
  <c r="I10" i="38"/>
  <c r="K11" i="38"/>
  <c r="I8" i="38"/>
  <c r="F13" i="38"/>
  <c r="J16" i="38"/>
  <c r="K13" i="38"/>
  <c r="H7" i="38"/>
  <c r="F8" i="38"/>
  <c r="H8" i="38"/>
  <c r="I13" i="38"/>
  <c r="I9" i="38"/>
  <c r="F6" i="38"/>
  <c r="I12" i="38"/>
  <c r="F15" i="38"/>
  <c r="H15" i="38"/>
  <c r="H13" i="38"/>
  <c r="K15" i="38"/>
  <c r="H12" i="38"/>
  <c r="F14" i="38"/>
  <c r="I15" i="38"/>
  <c r="K10" i="38"/>
  <c r="I6" i="38"/>
  <c r="I16" i="38"/>
  <c r="H14" i="38"/>
  <c r="H6" i="38"/>
  <c r="J13" i="38"/>
  <c r="K14" i="38"/>
  <c r="J6" i="38"/>
  <c r="I11" i="38"/>
  <c r="J10" i="38"/>
  <c r="I7" i="38"/>
  <c r="J14" i="38"/>
  <c r="J12" i="38"/>
  <c r="F10" i="38"/>
  <c r="H10" i="38"/>
  <c r="J9" i="38"/>
  <c r="I14" i="38"/>
  <c r="H11" i="38"/>
  <c r="J15" i="38"/>
  <c r="F12" i="38"/>
  <c r="B56" i="42" l="1"/>
  <c r="F14" i="43"/>
  <c r="E14" i="43" s="1"/>
  <c r="F11" i="43"/>
  <c r="F7" i="43"/>
  <c r="F9" i="43"/>
  <c r="F15" i="43"/>
  <c r="E15" i="43" s="1"/>
  <c r="F16" i="43"/>
  <c r="E16" i="43" s="1"/>
  <c r="T66" i="28"/>
  <c r="S69" i="28"/>
  <c r="W66" i="28"/>
  <c r="U66" i="28" l="1"/>
  <c r="T71" i="28"/>
  <c r="T67" i="28"/>
  <c r="T69" i="28" s="1"/>
  <c r="W71" i="28"/>
  <c r="B58" i="42"/>
  <c r="I55" i="42"/>
  <c r="C55" i="42"/>
  <c r="M55" i="41"/>
  <c r="I55" i="41"/>
  <c r="J55" i="41"/>
  <c r="P55" i="42" l="1"/>
  <c r="I56" i="42"/>
  <c r="Q55" i="41"/>
  <c r="J54" i="41"/>
  <c r="J56" i="41"/>
  <c r="D55" i="42"/>
  <c r="K55" i="42" s="1"/>
  <c r="C54" i="42"/>
  <c r="C56" i="42"/>
  <c r="P55" i="41"/>
  <c r="I54" i="41"/>
  <c r="T55" i="41"/>
  <c r="J55" i="42"/>
  <c r="V66" i="28"/>
  <c r="U71" i="28"/>
  <c r="U67" i="28"/>
  <c r="U69" i="28" s="1"/>
  <c r="F58" i="38"/>
  <c r="I58" i="38"/>
  <c r="K58" i="38"/>
  <c r="H58" i="38"/>
  <c r="J58" i="38"/>
  <c r="I58" i="42" l="1"/>
  <c r="R55" i="42"/>
  <c r="K56" i="42"/>
  <c r="Q55" i="42"/>
  <c r="J56" i="42"/>
  <c r="W55" i="42"/>
  <c r="P56" i="42"/>
  <c r="P58" i="42" s="1"/>
  <c r="AA55" i="41"/>
  <c r="AE54" i="42"/>
  <c r="D54" i="42"/>
  <c r="AF54" i="42" s="1"/>
  <c r="D56" i="42"/>
  <c r="E55" i="42"/>
  <c r="W55" i="41"/>
  <c r="P54" i="41"/>
  <c r="C58" i="42"/>
  <c r="X55" i="41"/>
  <c r="Q54" i="41"/>
  <c r="Q56" i="41"/>
  <c r="V71" i="28"/>
  <c r="V67" i="28"/>
  <c r="V69" i="28" s="1"/>
  <c r="L55" i="41"/>
  <c r="K55" i="41"/>
  <c r="J58" i="42" l="1"/>
  <c r="K58" i="42" s="1"/>
  <c r="X55" i="42"/>
  <c r="Q56" i="42"/>
  <c r="Q58" i="42" s="1"/>
  <c r="Y55" i="42"/>
  <c r="R56" i="42"/>
  <c r="AD55" i="42"/>
  <c r="W56" i="42"/>
  <c r="W58" i="42" s="1"/>
  <c r="D58" i="42"/>
  <c r="S55" i="41"/>
  <c r="L54" i="41"/>
  <c r="L56" i="41"/>
  <c r="AE55" i="41"/>
  <c r="X54" i="41"/>
  <c r="AE54" i="41" s="1"/>
  <c r="X56" i="41"/>
  <c r="AE56" i="41" s="1"/>
  <c r="R55" i="41"/>
  <c r="K54" i="41"/>
  <c r="K56" i="41"/>
  <c r="AD55" i="41"/>
  <c r="W54" i="41"/>
  <c r="E54" i="42"/>
  <c r="E56" i="42"/>
  <c r="AH55" i="41"/>
  <c r="AH54" i="41"/>
  <c r="AH56" i="41"/>
  <c r="AH58" i="41" s="1"/>
  <c r="L55" i="42"/>
  <c r="G5" i="38"/>
  <c r="D5" i="38" s="1"/>
  <c r="G7" i="38"/>
  <c r="E7" i="38" s="1"/>
  <c r="G9" i="38"/>
  <c r="E9" i="38" s="1"/>
  <c r="G11" i="38"/>
  <c r="E11" i="38" s="1"/>
  <c r="G13" i="38"/>
  <c r="E13" i="38" s="1"/>
  <c r="G15" i="38"/>
  <c r="E15" i="38" s="1"/>
  <c r="D15" i="38" s="1"/>
  <c r="G6" i="38"/>
  <c r="E6" i="38" s="1"/>
  <c r="G8" i="38"/>
  <c r="E8" i="38" s="1"/>
  <c r="G10" i="38"/>
  <c r="E10" i="38" s="1"/>
  <c r="G12" i="38"/>
  <c r="E12" i="38" s="1"/>
  <c r="G14" i="38"/>
  <c r="E14" i="38" s="1"/>
  <c r="D14" i="38" s="1"/>
  <c r="G16" i="38"/>
  <c r="E16" i="38" s="1"/>
  <c r="D16" i="38" s="1"/>
  <c r="AD56" i="42" l="1"/>
  <c r="AD58" i="42" s="1"/>
  <c r="R58" i="42"/>
  <c r="S55" i="42"/>
  <c r="L56" i="42"/>
  <c r="L58" i="42" s="1"/>
  <c r="AF55" i="42"/>
  <c r="Y56" i="42"/>
  <c r="AF56" i="42" s="1"/>
  <c r="AE55" i="42"/>
  <c r="X56" i="42"/>
  <c r="Z55" i="41"/>
  <c r="S54" i="41"/>
  <c r="S56" i="41"/>
  <c r="E58" i="42"/>
  <c r="Y55" i="41"/>
  <c r="R54" i="41"/>
  <c r="R56" i="41"/>
  <c r="M55" i="42"/>
  <c r="AH54" i="42"/>
  <c r="AG54" i="42"/>
  <c r="AD54" i="41"/>
  <c r="H54" i="41"/>
  <c r="G58" i="38"/>
  <c r="X58" i="42" l="1"/>
  <c r="Y58" i="42" s="1"/>
  <c r="AE56" i="42"/>
  <c r="AE58" i="42" s="1"/>
  <c r="AF58" i="42" s="1"/>
  <c r="Z55" i="42"/>
  <c r="S56" i="42"/>
  <c r="S58" i="42" s="1"/>
  <c r="T55" i="42"/>
  <c r="M56" i="42"/>
  <c r="AF55" i="41"/>
  <c r="Y54" i="41"/>
  <c r="Y56" i="41"/>
  <c r="AF56" i="41" s="1"/>
  <c r="A54" i="42"/>
  <c r="AC54" i="42"/>
  <c r="O54" i="41"/>
  <c r="AG55" i="41"/>
  <c r="Z54" i="41"/>
  <c r="AG54" i="41" s="1"/>
  <c r="Z56" i="41"/>
  <c r="AG56" i="41" s="1"/>
  <c r="D6" i="38"/>
  <c r="E58" i="38"/>
  <c r="D7" i="38" l="1"/>
  <c r="AA55" i="42"/>
  <c r="T56" i="42"/>
  <c r="AG55" i="42"/>
  <c r="Z56" i="42"/>
  <c r="AF54" i="41"/>
  <c r="AC54" i="41" s="1"/>
  <c r="V54" i="41"/>
  <c r="E49" i="36"/>
  <c r="D49" i="36" s="1"/>
  <c r="E43" i="36"/>
  <c r="D43" i="36" s="1"/>
  <c r="E55" i="36"/>
  <c r="D55" i="36" s="1"/>
  <c r="E44" i="36"/>
  <c r="D44" i="36" s="1"/>
  <c r="E52" i="36"/>
  <c r="D52" i="36" s="1"/>
  <c r="E46" i="36"/>
  <c r="D46" i="36" s="1"/>
  <c r="E56" i="36"/>
  <c r="D56" i="36" s="1"/>
  <c r="E54" i="36"/>
  <c r="D54" i="36" s="1"/>
  <c r="E50" i="36"/>
  <c r="D50" i="36" s="1"/>
  <c r="E48" i="36"/>
  <c r="D48" i="36" s="1"/>
  <c r="E42" i="36"/>
  <c r="D42" i="36" s="1"/>
  <c r="E53" i="36"/>
  <c r="D53" i="36" s="1"/>
  <c r="E51" i="36"/>
  <c r="D51" i="36" s="1"/>
  <c r="E47" i="36"/>
  <c r="D47" i="36" s="1"/>
  <c r="E45" i="36"/>
  <c r="D45" i="36" s="1"/>
  <c r="E41" i="36"/>
  <c r="D41" i="36" s="1"/>
  <c r="E40" i="36"/>
  <c r="D40" i="36" s="1"/>
  <c r="E36" i="36"/>
  <c r="D36" i="36" s="1"/>
  <c r="D8" i="38" l="1"/>
  <c r="Z58" i="42"/>
  <c r="AG56" i="42"/>
  <c r="AG58" i="42" s="1"/>
  <c r="AH55" i="42"/>
  <c r="AA56" i="42"/>
  <c r="AH56" i="42" s="1"/>
  <c r="AH58" i="42" s="1"/>
  <c r="D9" i="38" l="1"/>
  <c r="E20" i="36"/>
  <c r="D20" i="36" s="1"/>
  <c r="D10" i="38" l="1"/>
  <c r="E18" i="36"/>
  <c r="D18" i="36" s="1"/>
  <c r="E35" i="36"/>
  <c r="D35" i="36" s="1"/>
  <c r="E19" i="36"/>
  <c r="D19" i="36" s="1"/>
  <c r="E21" i="36"/>
  <c r="D21" i="36" s="1"/>
  <c r="E11" i="36"/>
  <c r="E10" i="36"/>
  <c r="E14" i="36"/>
  <c r="D14" i="36" s="1"/>
  <c r="E29" i="36"/>
  <c r="D29" i="36" s="1"/>
  <c r="E33" i="36"/>
  <c r="D33" i="36" s="1"/>
  <c r="E12" i="36"/>
  <c r="E13" i="36"/>
  <c r="E17" i="36"/>
  <c r="D17" i="36" s="1"/>
  <c r="E16" i="36"/>
  <c r="D16" i="36" s="1"/>
  <c r="E7" i="36"/>
  <c r="E31" i="36"/>
  <c r="D31" i="36" s="1"/>
  <c r="E22" i="36"/>
  <c r="D22" i="36" s="1"/>
  <c r="E32" i="36"/>
  <c r="D32" i="36" s="1"/>
  <c r="E24" i="36"/>
  <c r="D24" i="36" s="1"/>
  <c r="E15" i="36"/>
  <c r="D15" i="36" s="1"/>
  <c r="E28" i="36"/>
  <c r="D28" i="36" s="1"/>
  <c r="E23" i="36"/>
  <c r="D23" i="36" s="1"/>
  <c r="E8" i="36"/>
  <c r="E27" i="36"/>
  <c r="D27" i="36" s="1"/>
  <c r="E25" i="36"/>
  <c r="D25" i="36" s="1"/>
  <c r="E34" i="36"/>
  <c r="D34" i="36" s="1"/>
  <c r="E9" i="36"/>
  <c r="E30" i="36"/>
  <c r="D30" i="36" s="1"/>
  <c r="E26" i="36"/>
  <c r="D26" i="36" s="1"/>
  <c r="D11" i="38" l="1"/>
  <c r="T17" i="28"/>
  <c r="D58" i="33"/>
  <c r="E58" i="33"/>
  <c r="D12" i="38" l="1"/>
  <c r="D13" i="38" s="1"/>
  <c r="F68" i="38"/>
  <c r="F69" i="38"/>
  <c r="J76" i="38"/>
  <c r="F67" i="38"/>
  <c r="F72" i="38"/>
  <c r="F76" i="38"/>
  <c r="I72" i="38"/>
  <c r="U17" i="28"/>
  <c r="V17" i="28" s="1"/>
  <c r="I75" i="38" l="1"/>
  <c r="J69" i="32"/>
  <c r="K76" i="38"/>
  <c r="C58" i="38"/>
  <c r="K75" i="38"/>
  <c r="F66" i="38"/>
  <c r="K67" i="38"/>
  <c r="K71" i="38"/>
  <c r="H65" i="38"/>
  <c r="J70" i="38"/>
  <c r="I71" i="38"/>
  <c r="I74" i="38"/>
  <c r="I73" i="38"/>
  <c r="H69" i="38"/>
  <c r="F70" i="38"/>
  <c r="J75" i="38"/>
  <c r="H71" i="38"/>
  <c r="I76" i="38"/>
  <c r="J67" i="38"/>
  <c r="I68" i="38"/>
  <c r="H66" i="38"/>
  <c r="I67" i="38"/>
  <c r="H67" i="38"/>
  <c r="I66" i="38"/>
  <c r="K66" i="38"/>
  <c r="H68" i="38"/>
  <c r="H72" i="38"/>
  <c r="F71" i="38"/>
  <c r="H74" i="38"/>
  <c r="I65" i="38"/>
  <c r="F65" i="38"/>
  <c r="J65" i="38"/>
  <c r="I69" i="38"/>
  <c r="K74" i="38"/>
  <c r="K68" i="38"/>
  <c r="H73" i="38"/>
  <c r="J68" i="38"/>
  <c r="F75" i="38"/>
  <c r="J69" i="38"/>
  <c r="K72" i="38"/>
  <c r="J74" i="38"/>
  <c r="H70" i="38"/>
  <c r="K69" i="38"/>
  <c r="J72" i="38"/>
  <c r="F74" i="38"/>
  <c r="H76" i="38"/>
  <c r="K65" i="38"/>
  <c r="K70" i="38"/>
  <c r="J73" i="38"/>
  <c r="J71" i="38"/>
  <c r="K73" i="38"/>
  <c r="J66" i="38"/>
  <c r="F73" i="38"/>
  <c r="I70" i="38"/>
  <c r="H75" i="38"/>
  <c r="G58" i="33"/>
  <c r="U20" i="28"/>
  <c r="I58" i="33"/>
  <c r="U23" i="28"/>
  <c r="F58" i="33"/>
  <c r="T20" i="28"/>
  <c r="H58" i="33"/>
  <c r="T23" i="28"/>
  <c r="G76" i="38" l="1"/>
  <c r="E76" i="38" s="1"/>
  <c r="D76" i="38" s="1"/>
  <c r="L69" i="32"/>
  <c r="U95" i="40"/>
  <c r="G74" i="38"/>
  <c r="E74" i="38" s="1"/>
  <c r="D74" i="38" s="1"/>
  <c r="G75" i="38"/>
  <c r="E75" i="38" s="1"/>
  <c r="D75" i="38" s="1"/>
  <c r="G70" i="38"/>
  <c r="E70" i="38" s="1"/>
  <c r="D70" i="38" s="1"/>
  <c r="G71" i="38"/>
  <c r="E71" i="38" s="1"/>
  <c r="D71" i="38" s="1"/>
  <c r="G68" i="38"/>
  <c r="E68" i="38" s="1"/>
  <c r="D68" i="38" s="1"/>
  <c r="G72" i="38"/>
  <c r="E72" i="38" s="1"/>
  <c r="D72" i="38" s="1"/>
  <c r="G67" i="38"/>
  <c r="E67" i="38" s="1"/>
  <c r="D67" i="38" s="1"/>
  <c r="G69" i="38"/>
  <c r="E69" i="38" s="1"/>
  <c r="D69" i="38" s="1"/>
  <c r="F77" i="38"/>
  <c r="G65" i="38"/>
  <c r="E65" i="38" s="1"/>
  <c r="D65" i="38" s="1"/>
  <c r="G73" i="38"/>
  <c r="E73" i="38" s="1"/>
  <c r="D73" i="38" s="1"/>
  <c r="J77" i="38"/>
  <c r="I77" i="38"/>
  <c r="K77" i="38"/>
  <c r="G66" i="38"/>
  <c r="E66" i="38" s="1"/>
  <c r="H77" i="38"/>
  <c r="T26" i="28"/>
  <c r="V23" i="28"/>
  <c r="U26" i="28"/>
  <c r="V20" i="28"/>
  <c r="K58" i="33"/>
  <c r="G66" i="33"/>
  <c r="I65" i="33"/>
  <c r="I66" i="33"/>
  <c r="G65" i="33"/>
  <c r="H65" i="33"/>
  <c r="F66" i="33"/>
  <c r="J58" i="33"/>
  <c r="H66" i="33"/>
  <c r="D66" i="38" l="1"/>
  <c r="G77" i="38"/>
  <c r="E77" i="38" s="1"/>
  <c r="V26" i="28"/>
  <c r="K66" i="33"/>
  <c r="K65" i="33"/>
  <c r="J66" i="33"/>
  <c r="J65" i="33"/>
  <c r="I77" i="33"/>
  <c r="F77" i="33"/>
  <c r="D77" i="33"/>
  <c r="H77" i="33"/>
  <c r="AH57" i="27"/>
  <c r="I78" i="33" l="1"/>
  <c r="K77" i="33"/>
  <c r="E77" i="33"/>
  <c r="E78" i="33" s="1"/>
  <c r="G77" i="33"/>
  <c r="G78" i="33" s="1"/>
  <c r="M56" i="27"/>
  <c r="I56" i="27"/>
  <c r="I54" i="27" s="1"/>
  <c r="T56" i="27" l="1"/>
  <c r="P56" i="27"/>
  <c r="P54" i="27" s="1"/>
  <c r="J77" i="33"/>
  <c r="K78" i="33" s="1"/>
  <c r="L56" i="27"/>
  <c r="L54" i="27" s="1"/>
  <c r="K56" i="27"/>
  <c r="K54" i="27" s="1"/>
  <c r="J56" i="27"/>
  <c r="J54" i="27" s="1"/>
  <c r="AA56" i="27" l="1"/>
  <c r="H54" i="27"/>
  <c r="W56" i="27"/>
  <c r="W54" i="27" s="1"/>
  <c r="Q56" i="27"/>
  <c r="Q54" i="27" s="1"/>
  <c r="R56" i="27"/>
  <c r="R54" i="27" s="1"/>
  <c r="K57" i="27"/>
  <c r="S56" i="27"/>
  <c r="S54" i="27" s="1"/>
  <c r="L57" i="27"/>
  <c r="AH56" i="27" l="1"/>
  <c r="AH54" i="27"/>
  <c r="O54" i="27"/>
  <c r="AD56" i="27"/>
  <c r="AD54" i="27"/>
  <c r="Y56" i="27"/>
  <c r="R57" i="27"/>
  <c r="Z56" i="27"/>
  <c r="S57" i="27"/>
  <c r="X56" i="27"/>
  <c r="Z54" i="27" l="1"/>
  <c r="AG54" i="27" s="1"/>
  <c r="Y54" i="27"/>
  <c r="AF54" i="27" s="1"/>
  <c r="X54" i="27"/>
  <c r="AE54" i="27" s="1"/>
  <c r="AG56" i="27"/>
  <c r="Z57" i="27"/>
  <c r="AG57" i="27" s="1"/>
  <c r="AF56" i="27"/>
  <c r="Y57" i="27"/>
  <c r="AF57" i="27" s="1"/>
  <c r="AE56" i="27"/>
  <c r="V54" i="27" l="1"/>
  <c r="AC54" i="27"/>
  <c r="K70" i="32"/>
  <c r="AH59" i="27" l="1"/>
  <c r="K100" i="16" l="1"/>
  <c r="J100" i="16"/>
  <c r="L100" i="16" s="1"/>
  <c r="K98" i="16"/>
  <c r="J98" i="16"/>
  <c r="L98" i="16" s="1"/>
  <c r="G100" i="16"/>
  <c r="F100" i="16"/>
  <c r="H100" i="16" s="1"/>
  <c r="G98" i="16"/>
  <c r="F98" i="16"/>
  <c r="H98" i="16" s="1"/>
  <c r="B100" i="16"/>
  <c r="D100" i="16" s="1"/>
  <c r="B98" i="16"/>
  <c r="D98" i="16" s="1"/>
  <c r="E6" i="36" l="1"/>
  <c r="X57" i="27" l="1"/>
  <c r="C57" i="27"/>
  <c r="J57" i="27"/>
  <c r="Q57" i="27"/>
  <c r="W57" i="27"/>
  <c r="W59" i="27" s="1"/>
  <c r="P57" i="27"/>
  <c r="P59" i="27" s="1"/>
  <c r="I57" i="27"/>
  <c r="I59" i="27" s="1"/>
  <c r="I58" i="43"/>
  <c r="J58" i="43"/>
  <c r="H58" i="43"/>
  <c r="G58" i="43"/>
  <c r="F6" i="43"/>
  <c r="E6" i="43" s="1"/>
  <c r="E7" i="43" l="1"/>
  <c r="E8" i="43" s="1"/>
  <c r="X59" i="27"/>
  <c r="Y59" i="27" s="1"/>
  <c r="Z59" i="27" s="1"/>
  <c r="Q59" i="27"/>
  <c r="R59" i="27" s="1"/>
  <c r="S59" i="27" s="1"/>
  <c r="J59" i="27"/>
  <c r="K59" i="27" s="1"/>
  <c r="L59" i="27" s="1"/>
  <c r="AE57" i="27"/>
  <c r="AD57" i="27"/>
  <c r="AD59" i="27" s="1"/>
  <c r="B59" i="27"/>
  <c r="C59" i="27" s="1"/>
  <c r="D59" i="27" s="1"/>
  <c r="E59" i="27" s="1"/>
  <c r="F58" i="43"/>
  <c r="E9" i="43" l="1"/>
  <c r="AE59" i="27"/>
  <c r="AF59" i="27" s="1"/>
  <c r="AG59" i="27" s="1"/>
  <c r="E10" i="43" l="1"/>
  <c r="E11" i="43" l="1"/>
  <c r="AR58" i="27"/>
  <c r="E12" i="43" l="1"/>
  <c r="E13" i="43" s="1"/>
  <c r="H66" i="43"/>
  <c r="I74" i="43"/>
  <c r="H68" i="43"/>
  <c r="J74" i="43"/>
  <c r="H69" i="43"/>
  <c r="I69" i="43"/>
  <c r="H76" i="43"/>
  <c r="G68" i="43"/>
  <c r="G73" i="43"/>
  <c r="AR57" i="27"/>
  <c r="AR60" i="27"/>
  <c r="AR59" i="27"/>
  <c r="I68" i="43" l="1"/>
  <c r="G74" i="43"/>
  <c r="G70" i="43"/>
  <c r="I65" i="43"/>
  <c r="I71" i="43"/>
  <c r="J72" i="43"/>
  <c r="G75" i="43"/>
  <c r="I70" i="43"/>
  <c r="I66" i="43"/>
  <c r="I67" i="43"/>
  <c r="G69" i="43"/>
  <c r="H71" i="43"/>
  <c r="J70" i="43"/>
  <c r="G72" i="43"/>
  <c r="H73" i="43"/>
  <c r="J68" i="43"/>
  <c r="I76" i="43"/>
  <c r="J75" i="43"/>
  <c r="H72" i="43"/>
  <c r="G71" i="43"/>
  <c r="H65" i="43"/>
  <c r="J76" i="43"/>
  <c r="J71" i="43"/>
  <c r="I72" i="43"/>
  <c r="F72" i="43" s="1"/>
  <c r="E72" i="43" s="1"/>
  <c r="J67" i="43"/>
  <c r="J73" i="43"/>
  <c r="J69" i="43"/>
  <c r="I73" i="43"/>
  <c r="I75" i="43"/>
  <c r="G76" i="43"/>
  <c r="H74" i="43"/>
  <c r="H70" i="43"/>
  <c r="F70" i="43" s="1"/>
  <c r="E70" i="43" s="1"/>
  <c r="G65" i="43"/>
  <c r="G67" i="43"/>
  <c r="D58" i="43"/>
  <c r="J67" i="32"/>
  <c r="H67" i="43"/>
  <c r="F67" i="43" s="1"/>
  <c r="E67" i="43" s="1"/>
  <c r="G66" i="43"/>
  <c r="J65" i="43"/>
  <c r="H75" i="43"/>
  <c r="J66" i="43"/>
  <c r="F68" i="43"/>
  <c r="E68" i="43" s="1"/>
  <c r="AR62" i="27"/>
  <c r="AW58" i="27"/>
  <c r="AW60" i="27"/>
  <c r="AW57" i="27"/>
  <c r="AV58" i="27"/>
  <c r="AU58" i="27"/>
  <c r="AU60" i="27"/>
  <c r="AU57" i="27"/>
  <c r="AT58" i="27"/>
  <c r="AS58" i="27"/>
  <c r="AS60" i="27"/>
  <c r="AS57" i="27"/>
  <c r="AQ58" i="27"/>
  <c r="F69" i="43" l="1"/>
  <c r="E69" i="43" s="1"/>
  <c r="F76" i="43"/>
  <c r="E76" i="43" s="1"/>
  <c r="F73" i="43"/>
  <c r="E73" i="43" s="1"/>
  <c r="F71" i="43"/>
  <c r="E71" i="43" s="1"/>
  <c r="I77" i="43"/>
  <c r="F74" i="43"/>
  <c r="E74" i="43" s="1"/>
  <c r="F75" i="43"/>
  <c r="E75" i="43" s="1"/>
  <c r="U95" i="26"/>
  <c r="L67" i="32"/>
  <c r="J77" i="43"/>
  <c r="F66" i="43"/>
  <c r="G77" i="43"/>
  <c r="F65" i="43"/>
  <c r="E65" i="43" s="1"/>
  <c r="H77" i="43"/>
  <c r="AQ59" i="27"/>
  <c r="AT59" i="27"/>
  <c r="AV59" i="27"/>
  <c r="AL59" i="27"/>
  <c r="AN59" i="27"/>
  <c r="AP59" i="27"/>
  <c r="AS59" i="27"/>
  <c r="AS62" i="27" s="1"/>
  <c r="AU59" i="27"/>
  <c r="AU62" i="27" s="1"/>
  <c r="AW59" i="27"/>
  <c r="AW62" i="27" s="1"/>
  <c r="AL57" i="27"/>
  <c r="AM58" i="27"/>
  <c r="AN57" i="27"/>
  <c r="AO58" i="27"/>
  <c r="AP57" i="27"/>
  <c r="AL60" i="27"/>
  <c r="AN60" i="27"/>
  <c r="AP60" i="27"/>
  <c r="AL58" i="27"/>
  <c r="AM57" i="27"/>
  <c r="AN58" i="27"/>
  <c r="AO57" i="27"/>
  <c r="AP58" i="27"/>
  <c r="AQ57" i="27"/>
  <c r="AT57" i="27"/>
  <c r="AV57" i="27"/>
  <c r="AM59" i="27"/>
  <c r="AO59" i="27"/>
  <c r="AM60" i="27"/>
  <c r="AO60" i="27"/>
  <c r="AQ60" i="27"/>
  <c r="AT60" i="27"/>
  <c r="AV60" i="27"/>
  <c r="E66" i="43" l="1"/>
  <c r="F77" i="43"/>
  <c r="AP62" i="27"/>
  <c r="AT62" i="27"/>
  <c r="AQ62" i="27"/>
  <c r="AM62" i="27"/>
  <c r="AL62" i="27"/>
  <c r="AO62" i="27"/>
  <c r="AN62" i="27"/>
  <c r="AV62" i="27"/>
  <c r="AK62" i="27" l="1"/>
  <c r="W95" i="26"/>
  <c r="W95" i="40" l="1"/>
  <c r="G5" i="36" l="1"/>
  <c r="H5" i="36"/>
  <c r="P56" i="41" l="1"/>
  <c r="P58" i="41" s="1"/>
  <c r="Q58" i="41" s="1"/>
  <c r="R58" i="41" s="1"/>
  <c r="S58" i="41" s="1"/>
  <c r="H58" i="36"/>
  <c r="I56" i="41"/>
  <c r="I58" i="41" s="1"/>
  <c r="J58" i="41" s="1"/>
  <c r="K58" i="41" s="1"/>
  <c r="L58" i="41" s="1"/>
  <c r="G58" i="36"/>
  <c r="I5" i="36"/>
  <c r="F5" i="36"/>
  <c r="I58" i="36" l="1"/>
  <c r="W56" i="41"/>
  <c r="W58" i="41" s="1"/>
  <c r="X58" i="41" s="1"/>
  <c r="Y58" i="41" s="1"/>
  <c r="Z58" i="41" s="1"/>
  <c r="B56" i="41"/>
  <c r="E5" i="36"/>
  <c r="F58" i="36"/>
  <c r="D5" i="36" l="1"/>
  <c r="E58" i="36"/>
  <c r="B58" i="41"/>
  <c r="C58" i="41" s="1"/>
  <c r="D58" i="41" s="1"/>
  <c r="E58" i="41" s="1"/>
  <c r="AD56" i="41"/>
  <c r="AD58" i="41" s="1"/>
  <c r="AE58" i="41" s="1"/>
  <c r="AF58" i="41" s="1"/>
  <c r="AG58" i="41" s="1"/>
  <c r="D6" i="36" l="1"/>
  <c r="D7" i="36" l="1"/>
  <c r="D8" i="36" l="1"/>
  <c r="D9" i="36" l="1"/>
  <c r="D10" i="36" s="1"/>
  <c r="D11" i="36" l="1"/>
  <c r="D12" i="36" l="1"/>
  <c r="D13" i="36" s="1"/>
  <c r="I72" i="36"/>
  <c r="I73" i="36"/>
  <c r="I69" i="36" l="1"/>
  <c r="J68" i="32"/>
  <c r="C58" i="36"/>
  <c r="I71" i="36"/>
  <c r="F73" i="36"/>
  <c r="G72" i="36"/>
  <c r="G76" i="36"/>
  <c r="I75" i="36"/>
  <c r="H70" i="36"/>
  <c r="G67" i="36"/>
  <c r="F67" i="36"/>
  <c r="I74" i="36"/>
  <c r="F75" i="36"/>
  <c r="G69" i="36"/>
  <c r="H72" i="36"/>
  <c r="G75" i="36"/>
  <c r="F70" i="36"/>
  <c r="H67" i="36"/>
  <c r="H74" i="36"/>
  <c r="I70" i="36"/>
  <c r="G74" i="36"/>
  <c r="F72" i="36"/>
  <c r="H71" i="36"/>
  <c r="H73" i="36"/>
  <c r="F68" i="36"/>
  <c r="G70" i="36"/>
  <c r="H68" i="36"/>
  <c r="G73" i="36"/>
  <c r="I76" i="36"/>
  <c r="F71" i="36"/>
  <c r="G68" i="36"/>
  <c r="F74" i="36"/>
  <c r="H75" i="36"/>
  <c r="F69" i="36"/>
  <c r="H66" i="36"/>
  <c r="I65" i="36"/>
  <c r="G66" i="36"/>
  <c r="G65" i="36"/>
  <c r="F66" i="36"/>
  <c r="G71" i="36"/>
  <c r="I68" i="36"/>
  <c r="I66" i="36"/>
  <c r="F65" i="36"/>
  <c r="H65" i="36"/>
  <c r="H69" i="36"/>
  <c r="I67" i="36"/>
  <c r="F76" i="36"/>
  <c r="H76" i="36"/>
  <c r="U95" i="37" l="1"/>
  <c r="W95" i="37" s="1"/>
  <c r="J70" i="32"/>
  <c r="L70" i="32" s="1"/>
  <c r="L68" i="32"/>
  <c r="E67" i="36"/>
  <c r="D67" i="36" s="1"/>
  <c r="E70" i="36"/>
  <c r="D70" i="36" s="1"/>
  <c r="E75" i="36"/>
  <c r="D75" i="36" s="1"/>
  <c r="E71" i="36"/>
  <c r="D71" i="36" s="1"/>
  <c r="E73" i="36"/>
  <c r="D73" i="36" s="1"/>
  <c r="E72" i="36"/>
  <c r="D72" i="36" s="1"/>
  <c r="E74" i="36"/>
  <c r="D74" i="36" s="1"/>
  <c r="E68" i="36"/>
  <c r="D68" i="36" s="1"/>
  <c r="E69" i="36"/>
  <c r="D69" i="36" s="1"/>
  <c r="G77" i="36"/>
  <c r="G78" i="36" s="1"/>
  <c r="E76" i="36"/>
  <c r="D76" i="36" s="1"/>
  <c r="H77" i="36"/>
  <c r="H78" i="36" s="1"/>
  <c r="I77" i="36"/>
  <c r="I78" i="36" s="1"/>
  <c r="F77" i="36"/>
  <c r="F78" i="36" s="1"/>
  <c r="E66" i="36"/>
  <c r="E65" i="36"/>
  <c r="D65" i="36" s="1"/>
  <c r="E77" i="36" l="1"/>
  <c r="E78" i="36" s="1"/>
  <c r="D66" i="36"/>
</calcChain>
</file>

<file path=xl/comments1.xml><?xml version="1.0" encoding="utf-8"?>
<comments xmlns="http://schemas.openxmlformats.org/spreadsheetml/2006/main">
  <authors>
    <author>Daniel Girard</author>
  </authors>
  <commentList>
    <comment ref="A4" authorId="0" shapeId="0">
      <text>
        <r>
          <rPr>
            <b/>
            <sz val="8"/>
            <color indexed="81"/>
            <rFont val="Tahoma"/>
            <family val="2"/>
          </rPr>
          <t>Attention colonne d'incrémentation pour le calcul des cellules en automatique</t>
        </r>
      </text>
    </comment>
  </commentList>
</comments>
</file>

<file path=xl/comments2.xml><?xml version="1.0" encoding="utf-8"?>
<comments xmlns="http://schemas.openxmlformats.org/spreadsheetml/2006/main">
  <authors>
    <author>Daniel Girard</author>
  </authors>
  <commentList>
    <comment ref="B4" authorId="0" shapeId="0">
      <text>
        <r>
          <rPr>
            <b/>
            <sz val="8"/>
            <color indexed="81"/>
            <rFont val="Tahoma"/>
            <family val="2"/>
          </rPr>
          <t>Attention colonne d'incrémentation pour le calcul des cellules en automatique</t>
        </r>
      </text>
    </comment>
  </commentList>
</comments>
</file>

<file path=xl/comments3.xml><?xml version="1.0" encoding="utf-8"?>
<comments xmlns="http://schemas.openxmlformats.org/spreadsheetml/2006/main">
  <authors>
    <author>Daniel Girard</author>
  </authors>
  <commentList>
    <comment ref="A4" authorId="0" shapeId="0">
      <text>
        <r>
          <rPr>
            <b/>
            <sz val="8"/>
            <color indexed="81"/>
            <rFont val="Tahoma"/>
            <family val="2"/>
          </rPr>
          <t>Attention colonne d'incrémentation pour le calcul des cellules en automatique</t>
        </r>
      </text>
    </comment>
  </commentList>
</comments>
</file>

<file path=xl/comments4.xml><?xml version="1.0" encoding="utf-8"?>
<comments xmlns="http://schemas.openxmlformats.org/spreadsheetml/2006/main">
  <authors>
    <author>Daniel Girard</author>
  </authors>
  <commentList>
    <comment ref="M66" authorId="0" shapeId="0">
      <text>
        <r>
          <rPr>
            <b/>
            <sz val="12"/>
            <color indexed="81"/>
            <rFont val="Tahoma"/>
            <family val="2"/>
          </rPr>
          <t>Daniel Girard:</t>
        </r>
        <r>
          <rPr>
            <sz val="12"/>
            <color indexed="81"/>
            <rFont val="Tahoma"/>
            <family val="2"/>
          </rPr>
          <t xml:space="preserve">
A mettre à jour</t>
        </r>
      </text>
    </comment>
  </commentList>
</comments>
</file>

<file path=xl/sharedStrings.xml><?xml version="1.0" encoding="utf-8"?>
<sst xmlns="http://schemas.openxmlformats.org/spreadsheetml/2006/main" count="519" uniqueCount="242">
  <si>
    <t>J</t>
  </si>
  <si>
    <t>F</t>
  </si>
  <si>
    <t>M</t>
  </si>
  <si>
    <t>A</t>
  </si>
  <si>
    <t>S</t>
  </si>
  <si>
    <t>O</t>
  </si>
  <si>
    <t>N</t>
  </si>
  <si>
    <t>D</t>
  </si>
  <si>
    <t>MOYENNE MOIS</t>
  </si>
  <si>
    <t>L</t>
  </si>
  <si>
    <t>V</t>
  </si>
  <si>
    <t>Productivité</t>
  </si>
  <si>
    <t>Semaine 1</t>
  </si>
  <si>
    <t>Semaine 2</t>
  </si>
  <si>
    <t>Semaine 3</t>
  </si>
  <si>
    <t>Semaine 4</t>
  </si>
  <si>
    <t>Semaine 5</t>
  </si>
  <si>
    <t>Ligne RAPIDE + Ligne SPECIFIQUE +Bi-COULISSANT + HORS COTES</t>
  </si>
  <si>
    <r>
      <t xml:space="preserve">Activité </t>
    </r>
    <r>
      <rPr>
        <b/>
        <sz val="36"/>
        <color theme="0"/>
        <rFont val="Calibri"/>
        <family val="2"/>
        <scheme val="minor"/>
      </rPr>
      <t>(le cumul des menuiseries fabriquées)</t>
    </r>
  </si>
  <si>
    <t>MOIS :</t>
  </si>
  <si>
    <t>Effectif THEORIQUE</t>
  </si>
  <si>
    <t>nb absent(s)</t>
  </si>
  <si>
    <t>Nombre de menuiseries à fabriquer suivant l'effectif présent</t>
  </si>
  <si>
    <t>Objectif Productivité</t>
  </si>
  <si>
    <t>P°/sem</t>
  </si>
  <si>
    <t>P°/jr</t>
  </si>
  <si>
    <t>Base horaire</t>
  </si>
  <si>
    <r>
      <t xml:space="preserve">Activité </t>
    </r>
    <r>
      <rPr>
        <b/>
        <sz val="36"/>
        <color theme="0"/>
        <rFont val="Calibri"/>
        <family val="2"/>
        <scheme val="minor"/>
      </rPr>
      <t>(le cumul des tombées de commandes)</t>
    </r>
  </si>
  <si>
    <t>CUMULE 2019</t>
  </si>
  <si>
    <t>EVOLUTION ANNUELLE</t>
  </si>
  <si>
    <t>SUIVI DES COMMANDES PVC</t>
  </si>
  <si>
    <t>CUMULE</t>
  </si>
  <si>
    <t>BSA</t>
  </si>
  <si>
    <t>A&amp;B</t>
  </si>
  <si>
    <t>FILIALES</t>
  </si>
  <si>
    <t>INDUSTRIE</t>
  </si>
  <si>
    <t>ARCADES ET BAIES</t>
  </si>
  <si>
    <t>cumul
hebdo</t>
  </si>
  <si>
    <t>Ind</t>
  </si>
  <si>
    <t>Filiales</t>
  </si>
  <si>
    <t>Activité DEVIS</t>
  </si>
  <si>
    <t>SUIVI DES COMMANDES PVC / RESEAU</t>
  </si>
  <si>
    <t>ANNEE :</t>
  </si>
  <si>
    <t>PVC</t>
  </si>
  <si>
    <t>BOIS</t>
  </si>
  <si>
    <t>ALU</t>
  </si>
  <si>
    <t>CHANTIERS A VENIR</t>
  </si>
  <si>
    <t>client</t>
  </si>
  <si>
    <t>nb men</t>
  </si>
  <si>
    <t>CHRETIENS</t>
  </si>
  <si>
    <t>K&amp;B BRUYERE</t>
  </si>
  <si>
    <t>FILIALES (Alf / Prodim / Mdf)</t>
  </si>
  <si>
    <t>BSA (dt Uab)</t>
  </si>
  <si>
    <t>LIENS : Chiffre du tableau des commandes, onglet "Ev_mens"</t>
  </si>
  <si>
    <t>GLOBAL</t>
  </si>
  <si>
    <t>sem</t>
  </si>
  <si>
    <t>NB DEVIS</t>
  </si>
  <si>
    <t>NB MEN</t>
  </si>
  <si>
    <t>nb devis</t>
  </si>
  <si>
    <t>pvc</t>
  </si>
  <si>
    <t>alu</t>
  </si>
  <si>
    <t>bois</t>
  </si>
  <si>
    <t>global</t>
  </si>
  <si>
    <t>retard</t>
  </si>
  <si>
    <r>
      <t xml:space="preserve">CUMUL DES DEVIS </t>
    </r>
    <r>
      <rPr>
        <b/>
        <sz val="28"/>
        <rFont val="Calibri"/>
        <family val="2"/>
        <scheme val="minor"/>
      </rPr>
      <t xml:space="preserve">- Retard devis </t>
    </r>
  </si>
  <si>
    <t>Sem</t>
  </si>
  <si>
    <t>total</t>
  </si>
  <si>
    <t>bsa</t>
  </si>
  <si>
    <t>ind</t>
  </si>
  <si>
    <t>filiales</t>
  </si>
  <si>
    <t>ANNEE 2019</t>
  </si>
  <si>
    <t>SUIVI DES COMMANDES BOIS</t>
  </si>
  <si>
    <t>EVOLUTION ANNUELLE SERIE</t>
  </si>
  <si>
    <t>EVOLUTION ANNUELLE PORTES D'ENTREE</t>
  </si>
  <si>
    <t>mois</t>
  </si>
  <si>
    <t>TOTAL</t>
  </si>
  <si>
    <t>ALF</t>
  </si>
  <si>
    <t xml:space="preserve"> S/total</t>
  </si>
  <si>
    <t>SUIVI DES COMMANDES ALU</t>
  </si>
  <si>
    <t>EVOLUTION ANNUELLE FPV</t>
  </si>
  <si>
    <t>PE</t>
  </si>
  <si>
    <t>Portes d'Entrée</t>
  </si>
  <si>
    <t>GLOBAL SERIE + PE</t>
  </si>
  <si>
    <t>SUIVI DES COMMANDES BOIS / RESEAU</t>
  </si>
  <si>
    <t>GLOBAL (sans ALF)</t>
  </si>
  <si>
    <t>DEVIS PVC</t>
  </si>
  <si>
    <t>DEVIS BOIS</t>
  </si>
  <si>
    <t>DEVIS ALU</t>
  </si>
  <si>
    <t>men pvc</t>
  </si>
  <si>
    <t>men bois</t>
  </si>
  <si>
    <t>men alu</t>
  </si>
  <si>
    <t>Qté hebdo</t>
  </si>
  <si>
    <t>DEVIS DU MOIS</t>
  </si>
  <si>
    <t>EVOLUTION DEVIS PAR MOIS</t>
  </si>
  <si>
    <t>MOIS</t>
  </si>
  <si>
    <t>ne pas effacer</t>
  </si>
  <si>
    <t>Tombées de commandes ALU</t>
  </si>
  <si>
    <t>Tombées de commandes PVC</t>
  </si>
  <si>
    <t>S02-20</t>
  </si>
  <si>
    <t>S03-20</t>
  </si>
  <si>
    <t>S04-20</t>
  </si>
  <si>
    <t>S05-20</t>
  </si>
  <si>
    <t>S06-20</t>
  </si>
  <si>
    <t>S07-20</t>
  </si>
  <si>
    <t>S08-20</t>
  </si>
  <si>
    <t>S09-20</t>
  </si>
  <si>
    <t>S10-20</t>
  </si>
  <si>
    <t>S11-20</t>
  </si>
  <si>
    <t>S12-20</t>
  </si>
  <si>
    <t>S13-20</t>
  </si>
  <si>
    <t>S14-20</t>
  </si>
  <si>
    <t>S15-20</t>
  </si>
  <si>
    <t>S16-20</t>
  </si>
  <si>
    <t>S17-20</t>
  </si>
  <si>
    <t>S18-20</t>
  </si>
  <si>
    <t>S19-20</t>
  </si>
  <si>
    <t>S20-20</t>
  </si>
  <si>
    <t>S21-20</t>
  </si>
  <si>
    <t>S22-20</t>
  </si>
  <si>
    <t>S23-20</t>
  </si>
  <si>
    <t>S24-20</t>
  </si>
  <si>
    <t>S25-20</t>
  </si>
  <si>
    <t>S26-20</t>
  </si>
  <si>
    <t>S27-20</t>
  </si>
  <si>
    <t>S28-20</t>
  </si>
  <si>
    <t>S29-20</t>
  </si>
  <si>
    <t>S30-20</t>
  </si>
  <si>
    <t>S31-20</t>
  </si>
  <si>
    <t>S32-20</t>
  </si>
  <si>
    <t>S33-20</t>
  </si>
  <si>
    <t>S34-20</t>
  </si>
  <si>
    <t>S35-20</t>
  </si>
  <si>
    <t>S36-20</t>
  </si>
  <si>
    <t>S37-20</t>
  </si>
  <si>
    <t>S38-20</t>
  </si>
  <si>
    <t>S39-20</t>
  </si>
  <si>
    <t>S40-20</t>
  </si>
  <si>
    <t>S41-20</t>
  </si>
  <si>
    <t>S42-20</t>
  </si>
  <si>
    <t>S43-20</t>
  </si>
  <si>
    <t>S44-20</t>
  </si>
  <si>
    <t>S45-20</t>
  </si>
  <si>
    <t>S46-20</t>
  </si>
  <si>
    <t>S47-20</t>
  </si>
  <si>
    <t>S48-20</t>
  </si>
  <si>
    <t>S49-20</t>
  </si>
  <si>
    <t>S50-20</t>
  </si>
  <si>
    <t>S51-20</t>
  </si>
  <si>
    <t>S52-20</t>
  </si>
  <si>
    <t>S01-20</t>
  </si>
  <si>
    <t>S01-19</t>
  </si>
  <si>
    <t>S02-19</t>
  </si>
  <si>
    <t>S03-19</t>
  </si>
  <si>
    <t>S04-19</t>
  </si>
  <si>
    <t>S05-19</t>
  </si>
  <si>
    <t>S06-19</t>
  </si>
  <si>
    <t>S07-19</t>
  </si>
  <si>
    <t>S08-19</t>
  </si>
  <si>
    <t>S09-19</t>
  </si>
  <si>
    <t>S10-19</t>
  </si>
  <si>
    <t>S11-19</t>
  </si>
  <si>
    <t>S12-19</t>
  </si>
  <si>
    <t>S13-19</t>
  </si>
  <si>
    <t>S14-19</t>
  </si>
  <si>
    <t>S15-19</t>
  </si>
  <si>
    <t>S16-19</t>
  </si>
  <si>
    <t>S17-19</t>
  </si>
  <si>
    <t>S18-19</t>
  </si>
  <si>
    <t>S19-19</t>
  </si>
  <si>
    <t>S20-19</t>
  </si>
  <si>
    <t>S21-19</t>
  </si>
  <si>
    <t>S22-19</t>
  </si>
  <si>
    <t>S23-19</t>
  </si>
  <si>
    <t>S24-19</t>
  </si>
  <si>
    <t>S25-19</t>
  </si>
  <si>
    <t>S26-19</t>
  </si>
  <si>
    <t>S27-19</t>
  </si>
  <si>
    <t>S28-19</t>
  </si>
  <si>
    <t>S29-19</t>
  </si>
  <si>
    <t>S30-19</t>
  </si>
  <si>
    <t>S31-19</t>
  </si>
  <si>
    <t>S32-19</t>
  </si>
  <si>
    <t>S33-19</t>
  </si>
  <si>
    <t>S34-19</t>
  </si>
  <si>
    <t>S35-19</t>
  </si>
  <si>
    <t>S36-19</t>
  </si>
  <si>
    <t>S37-19</t>
  </si>
  <si>
    <t>S38-19</t>
  </si>
  <si>
    <t>S39-19</t>
  </si>
  <si>
    <t>S40-19</t>
  </si>
  <si>
    <t>S41-19</t>
  </si>
  <si>
    <t>S42-19</t>
  </si>
  <si>
    <t>S43-19</t>
  </si>
  <si>
    <t>S44-19</t>
  </si>
  <si>
    <t>S45-19</t>
  </si>
  <si>
    <t>S46-19</t>
  </si>
  <si>
    <t>S47-19</t>
  </si>
  <si>
    <t>S48-19</t>
  </si>
  <si>
    <t>S49-19</t>
  </si>
  <si>
    <t>S50-19</t>
  </si>
  <si>
    <t>S51-19</t>
  </si>
  <si>
    <t>S52-19</t>
  </si>
  <si>
    <t>moyenne hebdo</t>
  </si>
  <si>
    <t>RECAP DEVIS</t>
  </si>
  <si>
    <t>ANNEE 2020</t>
  </si>
  <si>
    <t>Total</t>
  </si>
  <si>
    <t>CUMUL</t>
  </si>
  <si>
    <t xml:space="preserve">Tombées de commandes ALU </t>
  </si>
  <si>
    <t>(données dynamiques liés au fichier cde)</t>
  </si>
  <si>
    <t xml:space="preserve">  (valeurs copiées en dur)</t>
  </si>
  <si>
    <t>fonction recherche</t>
  </si>
  <si>
    <t>Tombées de commandes BOIS</t>
  </si>
  <si>
    <t>moyennes hebdomadaires</t>
  </si>
  <si>
    <t>nb men
/devis</t>
  </si>
  <si>
    <t>EVOLUTION ANNUELLE ALF</t>
  </si>
  <si>
    <t>Pas d'historique sur 2019</t>
  </si>
  <si>
    <t>SUIVI DES COMMANDES ALU / RESEAU  (FPV)</t>
  </si>
  <si>
    <t>alu 2018</t>
  </si>
  <si>
    <t>dt alf</t>
  </si>
  <si>
    <t>bsa 2018</t>
  </si>
  <si>
    <t>CASEO</t>
  </si>
  <si>
    <t>OLIER</t>
  </si>
  <si>
    <t>Evolution tombées de Commandes (GLOBAL)</t>
  </si>
  <si>
    <r>
      <t xml:space="preserve">54 pces </t>
    </r>
    <r>
      <rPr>
        <b/>
        <sz val="18"/>
        <color theme="1"/>
        <rFont val="Calibri"/>
        <family val="2"/>
        <scheme val="minor"/>
      </rPr>
      <t>S10</t>
    </r>
    <r>
      <rPr>
        <sz val="18"/>
        <color theme="1"/>
        <rFont val="Calibri"/>
        <family val="2"/>
        <scheme val="minor"/>
      </rPr>
      <t xml:space="preserve"> - 50 pces </t>
    </r>
    <r>
      <rPr>
        <b/>
        <sz val="18"/>
        <color theme="1"/>
        <rFont val="Calibri"/>
        <family val="2"/>
        <scheme val="minor"/>
      </rPr>
      <t>S13</t>
    </r>
    <r>
      <rPr>
        <sz val="18"/>
        <color theme="1"/>
        <rFont val="Calibri"/>
        <family val="2"/>
        <scheme val="minor"/>
      </rPr>
      <t xml:space="preserve"> puis 2nd semestre</t>
    </r>
  </si>
  <si>
    <t>67 pces lot 9 délai 10 plaxé 1f avec VRI</t>
  </si>
  <si>
    <t>FABRICATION</t>
  </si>
  <si>
    <t>HEBDO</t>
  </si>
  <si>
    <t>FPV</t>
  </si>
  <si>
    <t>Production N/N-1</t>
  </si>
  <si>
    <t>P°</t>
  </si>
  <si>
    <t>Evolu° N/N-1</t>
  </si>
  <si>
    <t>CDE</t>
  </si>
  <si>
    <t>Attention pas de S01 cette année contre 1/2 sem en 2019 (cde et P°)</t>
  </si>
  <si>
    <t>SAME</t>
  </si>
  <si>
    <t>360 pces K&amp;B elancourt</t>
  </si>
  <si>
    <t>CUMULE 2020</t>
  </si>
  <si>
    <t>s06</t>
  </si>
  <si>
    <t>s07</t>
  </si>
  <si>
    <t>s08</t>
  </si>
  <si>
    <t>s09</t>
  </si>
  <si>
    <t>FEVRIER</t>
  </si>
  <si>
    <t>110 cde PIN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</si>
</sst>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0.0%"/>
  </numFmts>
  <fonts count="7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7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28"/>
      <name val="Calibri"/>
      <family val="2"/>
      <scheme val="minor"/>
    </font>
    <font>
      <sz val="6.85"/>
      <color rgb="FF4685DF"/>
      <name val="Segoe UI"/>
      <family val="2"/>
    </font>
    <font>
      <b/>
      <sz val="22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8"/>
      <name val="Calibri"/>
      <family val="2"/>
      <scheme val="minor"/>
    </font>
    <font>
      <b/>
      <sz val="22"/>
      <color rgb="FF0070C0"/>
      <name val="Calibri"/>
      <family val="2"/>
      <scheme val="minor"/>
    </font>
    <font>
      <b/>
      <sz val="22"/>
      <name val="Calibri"/>
      <family val="2"/>
      <scheme val="minor"/>
    </font>
    <font>
      <sz val="22"/>
      <color rgb="FF0070C0"/>
      <name val="Calibri"/>
      <family val="2"/>
      <scheme val="minor"/>
    </font>
    <font>
      <sz val="22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2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name val="Arial"/>
      <family val="2"/>
    </font>
    <font>
      <sz val="8"/>
      <name val="Times New Roman"/>
      <family val="1"/>
    </font>
    <font>
      <b/>
      <sz val="8"/>
      <color indexed="81"/>
      <name val="Tahoma"/>
      <family val="2"/>
    </font>
    <font>
      <b/>
      <sz val="8"/>
      <name val="Arial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2248C2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0070C0"/>
      <name val="Calibri"/>
      <family val="2"/>
      <scheme val="minor"/>
    </font>
    <font>
      <sz val="10"/>
      <color rgb="FF2248C2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rgb="FFFFFF99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9" fontId="24" fillId="0" borderId="0" applyFont="0" applyFill="0" applyBorder="0" applyAlignment="0" applyProtection="0"/>
    <xf numFmtId="0" fontId="49" fillId="0" borderId="0"/>
    <xf numFmtId="9" fontId="50" fillId="0" borderId="0" applyFill="0" applyAlignment="0" applyProtection="0"/>
    <xf numFmtId="0" fontId="50" fillId="0" borderId="0"/>
    <xf numFmtId="164" fontId="50" fillId="0" borderId="0" applyFont="0" applyFill="0" applyBorder="0" applyAlignment="0" applyProtection="0"/>
  </cellStyleXfs>
  <cellXfs count="544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6" fillId="0" borderId="0" xfId="0" applyFont="1"/>
    <xf numFmtId="0" fontId="4" fillId="0" borderId="0" xfId="0" applyFont="1" applyFill="1" applyBorder="1" applyAlignment="1">
      <alignment vertical="center" wrapText="1"/>
    </xf>
    <xf numFmtId="0" fontId="0" fillId="0" borderId="0" xfId="0" applyBorder="1" applyAlignment="1"/>
    <xf numFmtId="9" fontId="12" fillId="0" borderId="0" xfId="0" applyNumberFormat="1" applyFont="1" applyBorder="1" applyAlignment="1"/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11" xfId="0" applyFill="1" applyBorder="1"/>
    <xf numFmtId="0" fontId="0" fillId="3" borderId="13" xfId="0" applyFill="1" applyBorder="1"/>
    <xf numFmtId="0" fontId="0" fillId="0" borderId="7" xfId="0" applyFill="1" applyBorder="1" applyAlignment="1">
      <alignment horizontal="center" vertical="center"/>
    </xf>
    <xf numFmtId="0" fontId="0" fillId="3" borderId="18" xfId="0" applyFill="1" applyBorder="1"/>
    <xf numFmtId="0" fontId="0" fillId="3" borderId="16" xfId="0" applyFill="1" applyBorder="1"/>
    <xf numFmtId="0" fontId="0" fillId="3" borderId="20" xfId="0" applyFill="1" applyBorder="1"/>
    <xf numFmtId="0" fontId="0" fillId="3" borderId="22" xfId="0" applyFill="1" applyBorder="1"/>
    <xf numFmtId="0" fontId="13" fillId="0" borderId="0" xfId="0" applyFont="1"/>
    <xf numFmtId="0" fontId="14" fillId="0" borderId="0" xfId="0" applyFont="1" applyBorder="1"/>
    <xf numFmtId="0" fontId="0" fillId="2" borderId="13" xfId="0" applyFill="1" applyBorder="1"/>
    <xf numFmtId="0" fontId="0" fillId="2" borderId="25" xfId="0" applyFill="1" applyBorder="1"/>
    <xf numFmtId="0" fontId="0" fillId="3" borderId="25" xfId="0" applyFill="1" applyBorder="1"/>
    <xf numFmtId="0" fontId="0" fillId="0" borderId="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9" fontId="12" fillId="0" borderId="0" xfId="0" applyNumberFormat="1" applyFont="1" applyBorder="1" applyAlignment="1">
      <alignment horizontal="center"/>
    </xf>
    <xf numFmtId="0" fontId="0" fillId="2" borderId="14" xfId="0" applyFill="1" applyBorder="1"/>
    <xf numFmtId="0" fontId="0" fillId="3" borderId="26" xfId="0" applyFill="1" applyBorder="1"/>
    <xf numFmtId="0" fontId="0" fillId="3" borderId="19" xfId="0" applyFill="1" applyBorder="1"/>
    <xf numFmtId="0" fontId="0" fillId="3" borderId="17" xfId="0" applyFill="1" applyBorder="1"/>
    <xf numFmtId="0" fontId="18" fillId="3" borderId="5" xfId="0" applyFont="1" applyFill="1" applyBorder="1"/>
    <xf numFmtId="0" fontId="18" fillId="0" borderId="0" xfId="0" applyFont="1" applyBorder="1"/>
    <xf numFmtId="0" fontId="18" fillId="0" borderId="7" xfId="0" applyFont="1" applyFill="1" applyBorder="1" applyAlignment="1">
      <alignment horizontal="center" vertical="center"/>
    </xf>
    <xf numFmtId="0" fontId="0" fillId="2" borderId="18" xfId="0" applyFill="1" applyBorder="1"/>
    <xf numFmtId="0" fontId="18" fillId="2" borderId="27" xfId="0" applyFont="1" applyFill="1" applyBorder="1"/>
    <xf numFmtId="0" fontId="0" fillId="2" borderId="28" xfId="0" applyFill="1" applyBorder="1"/>
    <xf numFmtId="0" fontId="17" fillId="3" borderId="18" xfId="0" applyFont="1" applyFill="1" applyBorder="1"/>
    <xf numFmtId="0" fontId="18" fillId="3" borderId="26" xfId="0" applyFont="1" applyFill="1" applyBorder="1"/>
    <xf numFmtId="0" fontId="18" fillId="2" borderId="25" xfId="0" applyFont="1" applyFill="1" applyBorder="1"/>
    <xf numFmtId="0" fontId="0" fillId="2" borderId="21" xfId="0" applyFill="1" applyBorder="1"/>
    <xf numFmtId="0" fontId="0" fillId="2" borderId="12" xfId="0" applyFill="1" applyBorder="1"/>
    <xf numFmtId="0" fontId="0" fillId="2" borderId="26" xfId="0" applyFill="1" applyBorder="1"/>
    <xf numFmtId="0" fontId="18" fillId="2" borderId="26" xfId="0" applyFont="1" applyFill="1" applyBorder="1"/>
    <xf numFmtId="0" fontId="18" fillId="3" borderId="15" xfId="0" applyFont="1" applyFill="1" applyBorder="1"/>
    <xf numFmtId="0" fontId="18" fillId="3" borderId="30" xfId="0" applyFont="1" applyFill="1" applyBorder="1"/>
    <xf numFmtId="0" fontId="18" fillId="3" borderId="27" xfId="0" applyFont="1" applyFill="1" applyBorder="1"/>
    <xf numFmtId="0" fontId="18" fillId="2" borderId="15" xfId="0" applyFont="1" applyFill="1" applyBorder="1"/>
    <xf numFmtId="0" fontId="17" fillId="3" borderId="13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4" xfId="0" applyBorder="1" applyAlignment="1">
      <alignment horizontal="center"/>
    </xf>
    <xf numFmtId="0" fontId="18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9" fillId="0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/>
    </xf>
    <xf numFmtId="0" fontId="0" fillId="4" borderId="0" xfId="0" applyFill="1" applyBorder="1"/>
    <xf numFmtId="0" fontId="0" fillId="5" borderId="0" xfId="0" applyFill="1" applyBorder="1"/>
    <xf numFmtId="0" fontId="0" fillId="4" borderId="2" xfId="0" applyFill="1" applyBorder="1"/>
    <xf numFmtId="0" fontId="0" fillId="4" borderId="1" xfId="0" applyFill="1" applyBorder="1"/>
    <xf numFmtId="0" fontId="0" fillId="0" borderId="7" xfId="0" applyFill="1" applyBorder="1" applyAlignment="1">
      <alignment horizontal="center" vertical="center"/>
    </xf>
    <xf numFmtId="0" fontId="0" fillId="0" borderId="6" xfId="0" applyBorder="1"/>
    <xf numFmtId="0" fontId="0" fillId="0" borderId="31" xfId="0" applyBorder="1"/>
    <xf numFmtId="0" fontId="0" fillId="0" borderId="3" xfId="0" applyBorder="1"/>
    <xf numFmtId="0" fontId="0" fillId="0" borderId="32" xfId="0" applyBorder="1"/>
    <xf numFmtId="0" fontId="0" fillId="0" borderId="11" xfId="0" applyBorder="1"/>
    <xf numFmtId="0" fontId="0" fillId="0" borderId="12" xfId="0" applyBorder="1"/>
    <xf numFmtId="0" fontId="20" fillId="0" borderId="0" xfId="0" applyFont="1" applyAlignment="1">
      <alignment horizontal="center"/>
    </xf>
    <xf numFmtId="0" fontId="22" fillId="0" borderId="0" xfId="0" applyFont="1"/>
    <xf numFmtId="0" fontId="14" fillId="0" borderId="0" xfId="0" applyFont="1" applyAlignment="1">
      <alignment horizontal="right"/>
    </xf>
    <xf numFmtId="0" fontId="23" fillId="0" borderId="0" xfId="0" applyFont="1"/>
    <xf numFmtId="0" fontId="0" fillId="0" borderId="25" xfId="0" applyFill="1" applyBorder="1"/>
    <xf numFmtId="0" fontId="0" fillId="0" borderId="13" xfId="0" applyFill="1" applyBorder="1"/>
    <xf numFmtId="0" fontId="0" fillId="0" borderId="26" xfId="0" applyFill="1" applyBorder="1"/>
    <xf numFmtId="0" fontId="0" fillId="0" borderId="18" xfId="0" applyFill="1" applyBorder="1"/>
    <xf numFmtId="0" fontId="0" fillId="0" borderId="20" xfId="0" applyFill="1" applyBorder="1"/>
    <xf numFmtId="0" fontId="0" fillId="0" borderId="16" xfId="0" applyFill="1" applyBorder="1"/>
    <xf numFmtId="0" fontId="0" fillId="0" borderId="35" xfId="0" applyFill="1" applyBorder="1"/>
    <xf numFmtId="0" fontId="0" fillId="0" borderId="36" xfId="0" applyFill="1" applyBorder="1"/>
    <xf numFmtId="0" fontId="0" fillId="0" borderId="37" xfId="0" applyFill="1" applyBorder="1"/>
    <xf numFmtId="0" fontId="0" fillId="0" borderId="38" xfId="0" applyFill="1" applyBorder="1"/>
    <xf numFmtId="0" fontId="0" fillId="0" borderId="29" xfId="0" applyFill="1" applyBorder="1"/>
    <xf numFmtId="0" fontId="0" fillId="0" borderId="39" xfId="0" applyFill="1" applyBorder="1"/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3" fillId="0" borderId="0" xfId="0" applyFont="1" applyFill="1" applyBorder="1"/>
    <xf numFmtId="0" fontId="2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25" fillId="0" borderId="0" xfId="0" applyFont="1" applyFill="1" applyBorder="1"/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horizontal="right"/>
    </xf>
    <xf numFmtId="9" fontId="25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/>
    <xf numFmtId="0" fontId="28" fillId="7" borderId="0" xfId="0" applyFont="1" applyFill="1" applyBorder="1" applyAlignment="1">
      <alignment horizontal="center"/>
    </xf>
    <xf numFmtId="0" fontId="27" fillId="7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0" fillId="0" borderId="0" xfId="0" applyFill="1" applyBorder="1" applyAlignment="1"/>
    <xf numFmtId="9" fontId="12" fillId="0" borderId="0" xfId="0" applyNumberFormat="1" applyFont="1" applyFill="1" applyBorder="1" applyAlignment="1"/>
    <xf numFmtId="9" fontId="12" fillId="0" borderId="0" xfId="0" applyNumberFormat="1" applyFont="1" applyFill="1" applyBorder="1" applyAlignment="1">
      <alignment horizontal="center"/>
    </xf>
    <xf numFmtId="0" fontId="0" fillId="0" borderId="14" xfId="0" applyFill="1" applyBorder="1"/>
    <xf numFmtId="0" fontId="0" fillId="0" borderId="28" xfId="0" applyFill="1" applyBorder="1"/>
    <xf numFmtId="0" fontId="8" fillId="4" borderId="0" xfId="0" applyFont="1" applyFill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0" fillId="0" borderId="43" xfId="0" applyFill="1" applyBorder="1"/>
    <xf numFmtId="0" fontId="0" fillId="0" borderId="41" xfId="0" applyFill="1" applyBorder="1"/>
    <xf numFmtId="0" fontId="0" fillId="0" borderId="40" xfId="0" applyFill="1" applyBorder="1"/>
    <xf numFmtId="0" fontId="0" fillId="0" borderId="42" xfId="0" applyFill="1" applyBorder="1"/>
    <xf numFmtId="0" fontId="0" fillId="0" borderId="47" xfId="0" applyFill="1" applyBorder="1"/>
    <xf numFmtId="0" fontId="0" fillId="0" borderId="7" xfId="0" applyFill="1" applyBorder="1"/>
    <xf numFmtId="0" fontId="0" fillId="0" borderId="44" xfId="0" applyFill="1" applyBorder="1"/>
    <xf numFmtId="0" fontId="0" fillId="0" borderId="23" xfId="0" applyFill="1" applyBorder="1"/>
    <xf numFmtId="0" fontId="0" fillId="0" borderId="27" xfId="0" applyFill="1" applyBorder="1"/>
    <xf numFmtId="0" fontId="0" fillId="0" borderId="15" xfId="0" applyFill="1" applyBorder="1"/>
    <xf numFmtId="0" fontId="0" fillId="0" borderId="46" xfId="0" applyFill="1" applyBorder="1"/>
    <xf numFmtId="0" fontId="0" fillId="0" borderId="10" xfId="0" applyFill="1" applyBorder="1"/>
    <xf numFmtId="0" fontId="0" fillId="0" borderId="24" xfId="0" applyFill="1" applyBorder="1"/>
    <xf numFmtId="0" fontId="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8" fillId="0" borderId="4" xfId="0" applyFont="1" applyFill="1" applyBorder="1" applyAlignment="1">
      <alignment horizontal="right" vertical="center"/>
    </xf>
    <xf numFmtId="0" fontId="37" fillId="0" borderId="0" xfId="0" applyFont="1" applyFill="1" applyBorder="1" applyAlignment="1">
      <alignment horizontal="center"/>
    </xf>
    <xf numFmtId="0" fontId="27" fillId="7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left" vertical="center"/>
    </xf>
    <xf numFmtId="1" fontId="27" fillId="7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/>
    <xf numFmtId="0" fontId="14" fillId="0" borderId="7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39" fillId="0" borderId="0" xfId="0" applyFont="1" applyFill="1" applyBorder="1"/>
    <xf numFmtId="0" fontId="38" fillId="0" borderId="0" xfId="0" applyFont="1" applyFill="1" applyBorder="1"/>
    <xf numFmtId="0" fontId="8" fillId="4" borderId="3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4" fillId="0" borderId="0" xfId="0" applyFont="1"/>
    <xf numFmtId="0" fontId="40" fillId="4" borderId="1" xfId="0" applyFont="1" applyFill="1" applyBorder="1" applyAlignment="1">
      <alignment horizontal="left" vertical="center"/>
    </xf>
    <xf numFmtId="0" fontId="40" fillId="4" borderId="2" xfId="0" applyFont="1" applyFill="1" applyBorder="1" applyAlignment="1">
      <alignment horizontal="left" vertical="center"/>
    </xf>
    <xf numFmtId="0" fontId="40" fillId="4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9" fontId="30" fillId="0" borderId="0" xfId="3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41" fillId="0" borderId="0" xfId="0" applyFont="1" applyBorder="1"/>
    <xf numFmtId="0" fontId="14" fillId="0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center"/>
    </xf>
    <xf numFmtId="0" fontId="45" fillId="0" borderId="0" xfId="0" applyFont="1" applyBorder="1"/>
    <xf numFmtId="0" fontId="0" fillId="0" borderId="0" xfId="0" applyAlignment="1">
      <alignment horizontal="center"/>
    </xf>
    <xf numFmtId="0" fontId="16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8" fillId="4" borderId="31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32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/>
    </xf>
    <xf numFmtId="0" fontId="46" fillId="0" borderId="0" xfId="0" applyFont="1" applyFill="1" applyBorder="1"/>
    <xf numFmtId="0" fontId="22" fillId="0" borderId="0" xfId="0" applyFont="1" applyFill="1" applyBorder="1"/>
    <xf numFmtId="0" fontId="21" fillId="0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8" fillId="4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4" fillId="12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8" fillId="0" borderId="0" xfId="0" applyFont="1" applyFill="1" applyBorder="1"/>
    <xf numFmtId="0" fontId="0" fillId="4" borderId="0" xfId="0" applyFill="1" applyBorder="1" applyAlignment="1">
      <alignment horizontal="left"/>
    </xf>
    <xf numFmtId="0" fontId="7" fillId="4" borderId="6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17" fontId="14" fillId="0" borderId="0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3" fontId="34" fillId="0" borderId="1" xfId="0" applyNumberFormat="1" applyFont="1" applyFill="1" applyBorder="1" applyAlignment="1">
      <alignment vertical="center"/>
    </xf>
    <xf numFmtId="0" fontId="36" fillId="0" borderId="0" xfId="0" applyFont="1" applyFill="1" applyBorder="1" applyAlignment="1">
      <alignment vertical="center" wrapText="1"/>
    </xf>
    <xf numFmtId="3" fontId="34" fillId="0" borderId="0" xfId="0" applyNumberFormat="1" applyFont="1" applyFill="1" applyBorder="1" applyAlignment="1">
      <alignment vertical="center"/>
    </xf>
    <xf numFmtId="0" fontId="23" fillId="0" borderId="0" xfId="0" applyFont="1" applyBorder="1"/>
    <xf numFmtId="0" fontId="49" fillId="10" borderId="50" xfId="4" applyFont="1" applyFill="1" applyBorder="1" applyAlignment="1">
      <alignment horizontal="center"/>
    </xf>
    <xf numFmtId="0" fontId="49" fillId="7" borderId="50" xfId="4" applyFont="1" applyFill="1" applyBorder="1" applyAlignment="1">
      <alignment horizontal="center"/>
    </xf>
    <xf numFmtId="0" fontId="49" fillId="2" borderId="52" xfId="4" applyFont="1" applyFill="1" applyBorder="1" applyAlignment="1">
      <alignment horizontal="center"/>
    </xf>
    <xf numFmtId="9" fontId="16" fillId="0" borderId="0" xfId="0" applyNumberFormat="1" applyFont="1" applyBorder="1" applyAlignment="1">
      <alignment horizontal="center"/>
    </xf>
    <xf numFmtId="0" fontId="18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8" fillId="4" borderId="0" xfId="0" applyFont="1" applyFill="1" applyBorder="1" applyAlignment="1">
      <alignment horizontal="left" vertical="center"/>
    </xf>
    <xf numFmtId="9" fontId="16" fillId="0" borderId="0" xfId="0" applyNumberFormat="1" applyFont="1" applyBorder="1" applyAlignment="1"/>
    <xf numFmtId="1" fontId="0" fillId="0" borderId="0" xfId="0" applyNumberFormat="1"/>
    <xf numFmtId="17" fontId="0" fillId="0" borderId="0" xfId="0" applyNumberFormat="1"/>
    <xf numFmtId="0" fontId="0" fillId="0" borderId="54" xfId="0" applyBorder="1"/>
    <xf numFmtId="0" fontId="0" fillId="0" borderId="55" xfId="0" applyBorder="1"/>
    <xf numFmtId="17" fontId="0" fillId="13" borderId="0" xfId="0" applyNumberFormat="1" applyFill="1" applyAlignment="1">
      <alignment horizontal="center"/>
    </xf>
    <xf numFmtId="0" fontId="53" fillId="0" borderId="55" xfId="0" applyFont="1" applyBorder="1"/>
    <xf numFmtId="0" fontId="9" fillId="13" borderId="55" xfId="0" applyFont="1" applyFill="1" applyBorder="1" applyAlignment="1">
      <alignment horizontal="right"/>
    </xf>
    <xf numFmtId="0" fontId="55" fillId="0" borderId="0" xfId="0" applyFont="1"/>
    <xf numFmtId="0" fontId="55" fillId="0" borderId="55" xfId="0" applyFont="1" applyBorder="1"/>
    <xf numFmtId="0" fontId="5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55" xfId="0" applyFont="1" applyBorder="1"/>
    <xf numFmtId="1" fontId="55" fillId="0" borderId="0" xfId="0" applyNumberFormat="1" applyFont="1"/>
    <xf numFmtId="0" fontId="8" fillId="4" borderId="56" xfId="0" applyFont="1" applyFill="1" applyBorder="1" applyAlignment="1">
      <alignment horizontal="left" vertical="center"/>
    </xf>
    <xf numFmtId="0" fontId="8" fillId="4" borderId="54" xfId="0" applyFont="1" applyFill="1" applyBorder="1" applyAlignment="1">
      <alignment horizontal="left" vertical="center"/>
    </xf>
    <xf numFmtId="0" fontId="16" fillId="0" borderId="0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" fontId="0" fillId="0" borderId="0" xfId="0" applyNumberFormat="1" applyFont="1"/>
    <xf numFmtId="0" fontId="14" fillId="13" borderId="7" xfId="0" applyFont="1" applyFill="1" applyBorder="1" applyAlignment="1">
      <alignment horizontal="center"/>
    </xf>
    <xf numFmtId="0" fontId="26" fillId="13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55" xfId="0" applyFont="1" applyBorder="1"/>
    <xf numFmtId="0" fontId="52" fillId="13" borderId="50" xfId="4" applyFont="1" applyFill="1" applyBorder="1" applyAlignment="1">
      <alignment horizontal="center"/>
    </xf>
    <xf numFmtId="0" fontId="52" fillId="13" borderId="51" xfId="4" applyFont="1" applyFill="1" applyBorder="1" applyAlignment="1">
      <alignment horizontal="center"/>
    </xf>
    <xf numFmtId="0" fontId="9" fillId="0" borderId="0" xfId="0" applyFont="1"/>
    <xf numFmtId="0" fontId="17" fillId="0" borderId="53" xfId="0" applyFont="1" applyBorder="1"/>
    <xf numFmtId="0" fontId="17" fillId="0" borderId="0" xfId="0" applyFont="1"/>
    <xf numFmtId="0" fontId="17" fillId="0" borderId="55" xfId="0" applyFont="1" applyBorder="1"/>
    <xf numFmtId="0" fontId="56" fillId="0" borderId="0" xfId="0" applyFont="1"/>
    <xf numFmtId="0" fontId="0" fillId="0" borderId="0" xfId="0" applyAlignment="1">
      <alignment horizontal="center"/>
    </xf>
    <xf numFmtId="0" fontId="9" fillId="0" borderId="54" xfId="0" applyFont="1" applyBorder="1"/>
    <xf numFmtId="0" fontId="17" fillId="0" borderId="54" xfId="0" applyFont="1" applyBorder="1"/>
    <xf numFmtId="0" fontId="54" fillId="0" borderId="0" xfId="0" applyFont="1"/>
    <xf numFmtId="1" fontId="17" fillId="0" borderId="0" xfId="0" applyNumberFormat="1" applyFont="1"/>
    <xf numFmtId="1" fontId="0" fillId="7" borderId="0" xfId="0" applyNumberFormat="1" applyFont="1" applyFill="1"/>
    <xf numFmtId="1" fontId="0" fillId="2" borderId="0" xfId="0" applyNumberFormat="1" applyFont="1" applyFill="1"/>
    <xf numFmtId="1" fontId="0" fillId="10" borderId="0" xfId="0" applyNumberFormat="1" applyFont="1" applyFill="1"/>
    <xf numFmtId="0" fontId="9" fillId="0" borderId="55" xfId="0" applyFont="1" applyFill="1" applyBorder="1"/>
    <xf numFmtId="1" fontId="0" fillId="7" borderId="55" xfId="0" applyNumberFormat="1" applyFont="1" applyFill="1" applyBorder="1"/>
    <xf numFmtId="1" fontId="0" fillId="2" borderId="55" xfId="0" applyNumberFormat="1" applyFont="1" applyFill="1" applyBorder="1"/>
    <xf numFmtId="1" fontId="0" fillId="10" borderId="55" xfId="0" applyNumberFormat="1" applyFont="1" applyFill="1" applyBorder="1"/>
    <xf numFmtId="0" fontId="0" fillId="17" borderId="0" xfId="0" applyFill="1"/>
    <xf numFmtId="0" fontId="56" fillId="17" borderId="0" xfId="0" applyFont="1" applyFill="1"/>
    <xf numFmtId="0" fontId="53" fillId="17" borderId="0" xfId="0" applyFont="1" applyFill="1"/>
    <xf numFmtId="14" fontId="0" fillId="17" borderId="0" xfId="0" applyNumberFormat="1" applyFont="1" applyFill="1" applyAlignment="1">
      <alignment horizontal="center"/>
    </xf>
    <xf numFmtId="14" fontId="0" fillId="17" borderId="0" xfId="0" applyNumberFormat="1" applyFont="1" applyFill="1" applyAlignment="1"/>
    <xf numFmtId="0" fontId="56" fillId="0" borderId="0" xfId="0" applyFont="1" applyFill="1"/>
    <xf numFmtId="0" fontId="57" fillId="15" borderId="0" xfId="0" applyFont="1" applyFill="1"/>
    <xf numFmtId="0" fontId="37" fillId="15" borderId="0" xfId="0" applyFont="1" applyFill="1"/>
    <xf numFmtId="0" fontId="25" fillId="15" borderId="0" xfId="0" applyFont="1" applyFill="1"/>
    <xf numFmtId="0" fontId="25" fillId="0" borderId="0" xfId="0" applyFont="1"/>
    <xf numFmtId="0" fontId="25" fillId="0" borderId="0" xfId="0" applyFont="1" applyAlignment="1">
      <alignment horizontal="center"/>
    </xf>
    <xf numFmtId="0" fontId="58" fillId="0" borderId="0" xfId="0" applyFont="1"/>
    <xf numFmtId="0" fontId="25" fillId="13" borderId="0" xfId="0" applyFont="1" applyFill="1"/>
    <xf numFmtId="0" fontId="25" fillId="13" borderId="0" xfId="0" applyFont="1" applyFill="1" applyAlignment="1">
      <alignment horizontal="center"/>
    </xf>
    <xf numFmtId="17" fontId="25" fillId="0" borderId="0" xfId="0" applyNumberFormat="1" applyFont="1"/>
    <xf numFmtId="0" fontId="59" fillId="0" borderId="0" xfId="0" applyFont="1"/>
    <xf numFmtId="17" fontId="58" fillId="0" borderId="0" xfId="0" applyNumberFormat="1" applyFont="1"/>
    <xf numFmtId="0" fontId="60" fillId="13" borderId="0" xfId="0" applyFont="1" applyFill="1"/>
    <xf numFmtId="1" fontId="25" fillId="13" borderId="0" xfId="0" applyNumberFormat="1" applyFont="1" applyFill="1"/>
    <xf numFmtId="0" fontId="25" fillId="0" borderId="54" xfId="0" applyFont="1" applyBorder="1"/>
    <xf numFmtId="0" fontId="60" fillId="13" borderId="54" xfId="0" applyFont="1" applyFill="1" applyBorder="1"/>
    <xf numFmtId="1" fontId="25" fillId="13" borderId="54" xfId="0" applyNumberFormat="1" applyFont="1" applyFill="1" applyBorder="1"/>
    <xf numFmtId="0" fontId="25" fillId="13" borderId="54" xfId="0" applyFont="1" applyFill="1" applyBorder="1"/>
    <xf numFmtId="0" fontId="37" fillId="0" borderId="0" xfId="0" applyFont="1"/>
    <xf numFmtId="0" fontId="25" fillId="0" borderId="55" xfId="0" applyFont="1" applyBorder="1"/>
    <xf numFmtId="0" fontId="60" fillId="13" borderId="55" xfId="0" applyFont="1" applyFill="1" applyBorder="1"/>
    <xf numFmtId="0" fontId="60" fillId="13" borderId="0" xfId="0" applyFont="1" applyFill="1" applyAlignment="1">
      <alignment horizontal="center"/>
    </xf>
    <xf numFmtId="17" fontId="60" fillId="13" borderId="0" xfId="0" applyNumberFormat="1" applyFont="1" applyFill="1" applyAlignment="1">
      <alignment horizontal="center"/>
    </xf>
    <xf numFmtId="0" fontId="61" fillId="18" borderId="58" xfId="0" applyFont="1" applyFill="1" applyBorder="1"/>
    <xf numFmtId="1" fontId="60" fillId="13" borderId="0" xfId="0" applyNumberFormat="1" applyFont="1" applyFill="1"/>
    <xf numFmtId="0" fontId="60" fillId="13" borderId="0" xfId="0" applyFont="1" applyFill="1" applyAlignment="1">
      <alignment horizontal="right"/>
    </xf>
    <xf numFmtId="17" fontId="25" fillId="19" borderId="58" xfId="0" applyNumberFormat="1" applyFont="1" applyFill="1" applyBorder="1"/>
    <xf numFmtId="17" fontId="25" fillId="0" borderId="58" xfId="0" applyNumberFormat="1" applyFont="1" applyBorder="1"/>
    <xf numFmtId="1" fontId="60" fillId="0" borderId="56" xfId="3" applyNumberFormat="1" applyFont="1" applyBorder="1"/>
    <xf numFmtId="0" fontId="57" fillId="13" borderId="56" xfId="0" applyFont="1" applyFill="1" applyBorder="1"/>
    <xf numFmtId="0" fontId="25" fillId="0" borderId="56" xfId="0" applyFont="1" applyBorder="1"/>
    <xf numFmtId="0" fontId="60" fillId="13" borderId="56" xfId="0" applyFont="1" applyFill="1" applyBorder="1" applyAlignment="1">
      <alignment horizontal="right"/>
    </xf>
    <xf numFmtId="0" fontId="57" fillId="19" borderId="59" xfId="0" applyFont="1" applyFill="1" applyBorder="1"/>
    <xf numFmtId="0" fontId="57" fillId="20" borderId="59" xfId="0" applyFont="1" applyFill="1" applyBorder="1"/>
    <xf numFmtId="165" fontId="25" fillId="0" borderId="0" xfId="0" applyNumberFormat="1" applyFont="1"/>
    <xf numFmtId="1" fontId="25" fillId="0" borderId="0" xfId="0" applyNumberFormat="1" applyFont="1"/>
    <xf numFmtId="1" fontId="60" fillId="13" borderId="54" xfId="0" applyNumberFormat="1" applyFont="1" applyFill="1" applyBorder="1"/>
    <xf numFmtId="1" fontId="60" fillId="13" borderId="55" xfId="0" applyNumberFormat="1" applyFont="1" applyFill="1" applyBorder="1"/>
    <xf numFmtId="1" fontId="25" fillId="0" borderId="55" xfId="0" applyNumberFormat="1" applyFont="1" applyBorder="1"/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right"/>
    </xf>
    <xf numFmtId="0" fontId="57" fillId="0" borderId="56" xfId="0" applyFont="1" applyBorder="1"/>
    <xf numFmtId="0" fontId="60" fillId="13" borderId="56" xfId="0" applyFont="1" applyFill="1" applyBorder="1"/>
    <xf numFmtId="0" fontId="25" fillId="0" borderId="56" xfId="0" applyFont="1" applyFill="1" applyBorder="1" applyAlignment="1">
      <alignment horizontal="center"/>
    </xf>
    <xf numFmtId="0" fontId="25" fillId="0" borderId="56" xfId="0" applyFont="1" applyFill="1" applyBorder="1" applyAlignment="1">
      <alignment horizontal="right"/>
    </xf>
    <xf numFmtId="0" fontId="57" fillId="16" borderId="0" xfId="0" applyFont="1" applyFill="1"/>
    <xf numFmtId="0" fontId="37" fillId="16" borderId="0" xfId="0" applyFont="1" applyFill="1"/>
    <xf numFmtId="0" fontId="25" fillId="16" borderId="0" xfId="0" applyFont="1" applyFill="1"/>
    <xf numFmtId="0" fontId="25" fillId="14" borderId="0" xfId="0" applyFont="1" applyFill="1"/>
    <xf numFmtId="0" fontId="60" fillId="14" borderId="0" xfId="0" applyFont="1" applyFill="1"/>
    <xf numFmtId="1" fontId="25" fillId="0" borderId="54" xfId="0" applyNumberFormat="1" applyFont="1" applyBorder="1"/>
    <xf numFmtId="0" fontId="60" fillId="14" borderId="54" xfId="0" applyFont="1" applyFill="1" applyBorder="1"/>
    <xf numFmtId="0" fontId="25" fillId="14" borderId="54" xfId="0" applyFont="1" applyFill="1" applyBorder="1"/>
    <xf numFmtId="1" fontId="60" fillId="14" borderId="55" xfId="0" applyNumberFormat="1" applyFont="1" applyFill="1" applyBorder="1"/>
    <xf numFmtId="0" fontId="62" fillId="13" borderId="0" xfId="0" applyFont="1" applyFill="1" applyAlignment="1">
      <alignment horizontal="center"/>
    </xf>
    <xf numFmtId="0" fontId="62" fillId="14" borderId="0" xfId="0" applyFont="1" applyFill="1"/>
    <xf numFmtId="0" fontId="62" fillId="14" borderId="56" xfId="0" applyFont="1" applyFill="1" applyBorder="1"/>
    <xf numFmtId="0" fontId="27" fillId="0" borderId="0" xfId="0" applyFont="1"/>
    <xf numFmtId="1" fontId="27" fillId="0" borderId="0" xfId="0" applyNumberFormat="1" applyFont="1"/>
    <xf numFmtId="0" fontId="27" fillId="0" borderId="54" xfId="0" applyFont="1" applyBorder="1"/>
    <xf numFmtId="17" fontId="57" fillId="0" borderId="56" xfId="0" applyNumberFormat="1" applyFont="1" applyBorder="1"/>
    <xf numFmtId="0" fontId="37" fillId="8" borderId="0" xfId="0" applyFont="1" applyFill="1" applyAlignment="1">
      <alignment horizontal="center"/>
    </xf>
    <xf numFmtId="0" fontId="27" fillId="0" borderId="0" xfId="0" applyFont="1" applyAlignment="1">
      <alignment horizontal="center"/>
    </xf>
    <xf numFmtId="0" fontId="25" fillId="16" borderId="0" xfId="0" applyFont="1" applyFill="1" applyAlignment="1">
      <alignment horizontal="right"/>
    </xf>
    <xf numFmtId="9" fontId="27" fillId="0" borderId="55" xfId="3" applyFont="1" applyBorder="1"/>
    <xf numFmtId="0" fontId="25" fillId="0" borderId="54" xfId="0" applyFont="1" applyBorder="1" applyAlignment="1">
      <alignment horizontal="center"/>
    </xf>
    <xf numFmtId="9" fontId="27" fillId="0" borderId="55" xfId="3" applyFont="1" applyBorder="1" applyAlignment="1">
      <alignment horizontal="center"/>
    </xf>
    <xf numFmtId="1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27" fillId="0" borderId="54" xfId="0" applyFont="1" applyBorder="1" applyAlignment="1">
      <alignment horizontal="right"/>
    </xf>
    <xf numFmtId="0" fontId="27" fillId="0" borderId="0" xfId="0" applyNumberFormat="1" applyFont="1"/>
    <xf numFmtId="0" fontId="12" fillId="15" borderId="0" xfId="0" applyFont="1" applyFill="1"/>
    <xf numFmtId="0" fontId="12" fillId="16" borderId="0" xfId="0" applyFont="1" applyFill="1"/>
    <xf numFmtId="0" fontId="41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63" fillId="0" borderId="0" xfId="0" applyFont="1"/>
    <xf numFmtId="0" fontId="0" fillId="0" borderId="0" xfId="0" applyBorder="1" applyAlignment="1">
      <alignment horizontal="center"/>
    </xf>
    <xf numFmtId="0" fontId="41" fillId="0" borderId="0" xfId="0" applyFont="1" applyBorder="1" applyAlignment="1">
      <alignment vertical="center"/>
    </xf>
    <xf numFmtId="0" fontId="56" fillId="0" borderId="0" xfId="0" applyFont="1" applyFill="1" applyBorder="1"/>
    <xf numFmtId="0" fontId="64" fillId="0" borderId="0" xfId="0" applyFont="1" applyBorder="1" applyAlignment="1">
      <alignment horizontal="right" vertical="center"/>
    </xf>
    <xf numFmtId="0" fontId="14" fillId="16" borderId="7" xfId="0" applyFont="1" applyFill="1" applyBorder="1" applyAlignment="1">
      <alignment horizontal="center" vertical="center"/>
    </xf>
    <xf numFmtId="0" fontId="61" fillId="18" borderId="60" xfId="0" applyFont="1" applyFill="1" applyBorder="1" applyAlignment="1">
      <alignment horizontal="center"/>
    </xf>
    <xf numFmtId="0" fontId="25" fillId="19" borderId="55" xfId="0" applyFont="1" applyFill="1" applyBorder="1"/>
    <xf numFmtId="0" fontId="27" fillId="19" borderId="60" xfId="0" applyFont="1" applyFill="1" applyBorder="1"/>
    <xf numFmtId="0" fontId="27" fillId="0" borderId="60" xfId="0" applyFont="1" applyBorder="1"/>
    <xf numFmtId="0" fontId="8" fillId="4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/>
    </xf>
    <xf numFmtId="9" fontId="43" fillId="0" borderId="0" xfId="3" applyFont="1" applyFill="1" applyBorder="1" applyAlignment="1">
      <alignment horizontal="center" vertical="center"/>
    </xf>
    <xf numFmtId="0" fontId="65" fillId="8" borderId="7" xfId="0" applyFont="1" applyFill="1" applyBorder="1" applyAlignment="1">
      <alignment horizontal="center" vertical="center"/>
    </xf>
    <xf numFmtId="0" fontId="32" fillId="7" borderId="7" xfId="0" applyFont="1" applyFill="1" applyBorder="1" applyAlignment="1">
      <alignment horizontal="left"/>
    </xf>
    <xf numFmtId="9" fontId="21" fillId="0" borderId="7" xfId="3" applyFont="1" applyFill="1" applyBorder="1" applyAlignment="1">
      <alignment horizontal="center"/>
    </xf>
    <xf numFmtId="0" fontId="32" fillId="11" borderId="7" xfId="0" applyFont="1" applyFill="1" applyBorder="1" applyAlignment="1">
      <alignment horizontal="left"/>
    </xf>
    <xf numFmtId="1" fontId="67" fillId="0" borderId="7" xfId="0" applyNumberFormat="1" applyFont="1" applyFill="1" applyBorder="1" applyAlignment="1">
      <alignment horizontal="center"/>
    </xf>
    <xf numFmtId="1" fontId="66" fillId="13" borderId="7" xfId="3" applyNumberFormat="1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left"/>
    </xf>
    <xf numFmtId="1" fontId="10" fillId="13" borderId="7" xfId="0" applyNumberFormat="1" applyFont="1" applyFill="1" applyBorder="1" applyAlignment="1">
      <alignment horizontal="center"/>
    </xf>
    <xf numFmtId="9" fontId="10" fillId="13" borderId="7" xfId="3" applyFont="1" applyFill="1" applyBorder="1" applyAlignment="1">
      <alignment horizontal="center"/>
    </xf>
    <xf numFmtId="0" fontId="32" fillId="21" borderId="7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5" fillId="15" borderId="0" xfId="0" applyFont="1" applyFill="1" applyAlignment="1">
      <alignment horizontal="right"/>
    </xf>
    <xf numFmtId="0" fontId="57" fillId="22" borderId="0" xfId="0" applyFont="1" applyFill="1"/>
    <xf numFmtId="0" fontId="37" fillId="22" borderId="0" xfId="0" applyFont="1" applyFill="1"/>
    <xf numFmtId="0" fontId="25" fillId="22" borderId="0" xfId="0" applyFont="1" applyFill="1"/>
    <xf numFmtId="0" fontId="25" fillId="22" borderId="0" xfId="0" applyFont="1" applyFill="1" applyAlignment="1">
      <alignment horizontal="right"/>
    </xf>
    <xf numFmtId="0" fontId="12" fillId="22" borderId="0" xfId="0" applyFont="1" applyFill="1"/>
    <xf numFmtId="0" fontId="10" fillId="9" borderId="0" xfId="0" applyFont="1" applyFill="1" applyBorder="1" applyAlignment="1">
      <alignment horizontal="center" vertical="center"/>
    </xf>
    <xf numFmtId="0" fontId="23" fillId="9" borderId="0" xfId="0" applyFont="1" applyFill="1" applyBorder="1"/>
    <xf numFmtId="0" fontId="21" fillId="9" borderId="0" xfId="0" applyFont="1" applyFill="1" applyBorder="1" applyAlignment="1">
      <alignment horizontal="center"/>
    </xf>
    <xf numFmtId="0" fontId="0" fillId="9" borderId="0" xfId="0" applyFill="1"/>
    <xf numFmtId="0" fontId="0" fillId="0" borderId="0" xfId="0" applyAlignment="1"/>
    <xf numFmtId="0" fontId="21" fillId="0" borderId="0" xfId="0" applyFont="1" applyFill="1" applyBorder="1" applyAlignment="1">
      <alignment horizontal="left"/>
    </xf>
    <xf numFmtId="0" fontId="68" fillId="0" borderId="0" xfId="0" applyFont="1"/>
    <xf numFmtId="0" fontId="68" fillId="0" borderId="54" xfId="0" applyFont="1" applyBorder="1"/>
    <xf numFmtId="0" fontId="30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right"/>
    </xf>
    <xf numFmtId="0" fontId="70" fillId="0" borderId="0" xfId="0" applyFont="1"/>
    <xf numFmtId="0" fontId="70" fillId="0" borderId="0" xfId="0" applyFont="1" applyBorder="1"/>
    <xf numFmtId="0" fontId="71" fillId="0" borderId="0" xfId="0" applyFont="1"/>
    <xf numFmtId="0" fontId="71" fillId="0" borderId="55" xfId="0" applyFont="1" applyBorder="1"/>
    <xf numFmtId="1" fontId="70" fillId="0" borderId="0" xfId="0" applyNumberFormat="1" applyFont="1"/>
    <xf numFmtId="1" fontId="71" fillId="0" borderId="0" xfId="0" applyNumberFormat="1" applyFont="1"/>
    <xf numFmtId="0" fontId="71" fillId="0" borderId="0" xfId="0" applyFont="1" applyBorder="1"/>
    <xf numFmtId="1" fontId="71" fillId="0" borderId="55" xfId="0" applyNumberFormat="1" applyFont="1" applyBorder="1"/>
    <xf numFmtId="0" fontId="69" fillId="22" borderId="0" xfId="0" applyFont="1" applyFill="1" applyAlignment="1">
      <alignment textRotation="90"/>
    </xf>
    <xf numFmtId="0" fontId="70" fillId="22" borderId="0" xfId="0" applyFont="1" applyFill="1" applyAlignment="1">
      <alignment horizontal="center"/>
    </xf>
    <xf numFmtId="0" fontId="70" fillId="15" borderId="0" xfId="0" applyFont="1" applyFill="1" applyAlignment="1">
      <alignment horizontal="center"/>
    </xf>
    <xf numFmtId="0" fontId="70" fillId="0" borderId="55" xfId="0" applyFont="1" applyBorder="1"/>
    <xf numFmtId="9" fontId="71" fillId="0" borderId="0" xfId="3" applyFont="1"/>
    <xf numFmtId="0" fontId="70" fillId="16" borderId="0" xfId="0" applyFont="1" applyFill="1" applyAlignment="1">
      <alignment horizontal="center"/>
    </xf>
    <xf numFmtId="0" fontId="25" fillId="0" borderId="0" xfId="0" applyFont="1" applyAlignment="1">
      <alignment horizontal="right"/>
    </xf>
    <xf numFmtId="1" fontId="20" fillId="13" borderId="7" xfId="3" applyNumberFormat="1" applyFont="1" applyFill="1" applyBorder="1" applyAlignment="1">
      <alignment horizontal="center" vertical="center"/>
    </xf>
    <xf numFmtId="9" fontId="72" fillId="0" borderId="7" xfId="3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1" fontId="27" fillId="0" borderId="54" xfId="0" applyNumberFormat="1" applyFont="1" applyBorder="1"/>
    <xf numFmtId="0" fontId="18" fillId="0" borderId="4" xfId="0" applyFont="1" applyBorder="1" applyAlignment="1">
      <alignment horizontal="right" vertical="center"/>
    </xf>
    <xf numFmtId="0" fontId="9" fillId="0" borderId="29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11" fillId="0" borderId="4" xfId="0" applyFont="1" applyBorder="1" applyAlignment="1">
      <alignment horizontal="right" vertical="center"/>
    </xf>
    <xf numFmtId="0" fontId="18" fillId="0" borderId="5" xfId="0" applyFont="1" applyBorder="1" applyAlignment="1">
      <alignment horizontal="right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9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1" fillId="0" borderId="5" xfId="0" applyFont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textRotation="45"/>
    </xf>
    <xf numFmtId="0" fontId="0" fillId="0" borderId="2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/>
    </xf>
    <xf numFmtId="0" fontId="23" fillId="6" borderId="32" xfId="0" applyFont="1" applyFill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3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21" fillId="6" borderId="28" xfId="0" applyFont="1" applyFill="1" applyBorder="1" applyAlignment="1">
      <alignment horizontal="center" vertical="center"/>
    </xf>
    <xf numFmtId="0" fontId="21" fillId="6" borderId="34" xfId="0" applyFont="1" applyFill="1" applyBorder="1" applyAlignment="1">
      <alignment horizontal="center" vertical="center"/>
    </xf>
    <xf numFmtId="0" fontId="21" fillId="6" borderId="2" xfId="0" applyFont="1" applyFill="1" applyBorder="1" applyAlignment="1">
      <alignment horizontal="center" vertical="center"/>
    </xf>
    <xf numFmtId="0" fontId="21" fillId="6" borderId="3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20" fillId="0" borderId="2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4" fillId="5" borderId="0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31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3" fontId="33" fillId="0" borderId="6" xfId="0" applyNumberFormat="1" applyFont="1" applyFill="1" applyBorder="1" applyAlignment="1">
      <alignment horizontal="center" vertical="center"/>
    </xf>
    <xf numFmtId="3" fontId="33" fillId="0" borderId="31" xfId="0" applyNumberFormat="1" applyFont="1" applyFill="1" applyBorder="1" applyAlignment="1">
      <alignment horizontal="center" vertical="center"/>
    </xf>
    <xf numFmtId="3" fontId="33" fillId="0" borderId="5" xfId="0" applyNumberFormat="1" applyFont="1" applyFill="1" applyBorder="1" applyAlignment="1">
      <alignment horizontal="center" vertical="center"/>
    </xf>
    <xf numFmtId="3" fontId="33" fillId="0" borderId="4" xfId="0" applyNumberFormat="1" applyFont="1" applyFill="1" applyBorder="1" applyAlignment="1">
      <alignment horizontal="center" vertical="center"/>
    </xf>
    <xf numFmtId="3" fontId="33" fillId="0" borderId="3" xfId="0" applyNumberFormat="1" applyFont="1" applyFill="1" applyBorder="1" applyAlignment="1">
      <alignment horizontal="center" vertical="center"/>
    </xf>
    <xf numFmtId="3" fontId="33" fillId="0" borderId="32" xfId="0" applyNumberFormat="1" applyFont="1" applyFill="1" applyBorder="1" applyAlignment="1">
      <alignment horizontal="center" vertical="center"/>
    </xf>
    <xf numFmtId="3" fontId="34" fillId="0" borderId="6" xfId="0" applyNumberFormat="1" applyFont="1" applyFill="1" applyBorder="1" applyAlignment="1">
      <alignment horizontal="center" vertical="center"/>
    </xf>
    <xf numFmtId="3" fontId="34" fillId="0" borderId="31" xfId="0" applyNumberFormat="1" applyFont="1" applyFill="1" applyBorder="1" applyAlignment="1">
      <alignment horizontal="center" vertical="center"/>
    </xf>
    <xf numFmtId="3" fontId="34" fillId="0" borderId="3" xfId="0" applyNumberFormat="1" applyFont="1" applyFill="1" applyBorder="1" applyAlignment="1">
      <alignment horizontal="center" vertical="center"/>
    </xf>
    <xf numFmtId="3" fontId="34" fillId="0" borderId="32" xfId="0" applyNumberFormat="1" applyFont="1" applyFill="1" applyBorder="1" applyAlignment="1">
      <alignment horizontal="center" vertical="center"/>
    </xf>
    <xf numFmtId="0" fontId="5" fillId="7" borderId="45" xfId="0" applyFont="1" applyFill="1" applyBorder="1" applyAlignment="1">
      <alignment horizontal="center" vertical="center"/>
    </xf>
    <xf numFmtId="0" fontId="5" fillId="7" borderId="48" xfId="0" applyFont="1" applyFill="1" applyBorder="1" applyAlignment="1">
      <alignment horizontal="center" vertical="center"/>
    </xf>
    <xf numFmtId="0" fontId="5" fillId="7" borderId="49" xfId="0" applyFont="1" applyFill="1" applyBorder="1" applyAlignment="1">
      <alignment horizontal="center" vertical="center"/>
    </xf>
    <xf numFmtId="0" fontId="35" fillId="0" borderId="6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5" fillId="0" borderId="31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165" fontId="33" fillId="0" borderId="6" xfId="3" applyNumberFormat="1" applyFont="1" applyFill="1" applyBorder="1" applyAlignment="1">
      <alignment horizontal="center" vertical="center"/>
    </xf>
    <xf numFmtId="165" fontId="33" fillId="0" borderId="31" xfId="3" applyNumberFormat="1" applyFont="1" applyFill="1" applyBorder="1" applyAlignment="1">
      <alignment horizontal="center" vertical="center"/>
    </xf>
    <xf numFmtId="165" fontId="33" fillId="0" borderId="5" xfId="3" applyNumberFormat="1" applyFont="1" applyFill="1" applyBorder="1" applyAlignment="1">
      <alignment horizontal="center" vertical="center"/>
    </xf>
    <xf numFmtId="165" fontId="33" fillId="0" borderId="4" xfId="3" applyNumberFormat="1" applyFont="1" applyFill="1" applyBorder="1" applyAlignment="1">
      <alignment horizontal="center" vertical="center"/>
    </xf>
    <xf numFmtId="165" fontId="33" fillId="0" borderId="3" xfId="3" applyNumberFormat="1" applyFont="1" applyFill="1" applyBorder="1" applyAlignment="1">
      <alignment horizontal="center" vertical="center"/>
    </xf>
    <xf numFmtId="165" fontId="33" fillId="0" borderId="32" xfId="3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42" fillId="0" borderId="0" xfId="0" applyFont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26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left" vertical="center"/>
    </xf>
    <xf numFmtId="0" fontId="30" fillId="0" borderId="49" xfId="0" applyFont="1" applyFill="1" applyBorder="1" applyAlignment="1">
      <alignment horizontal="center" vertical="center"/>
    </xf>
    <xf numFmtId="0" fontId="19" fillId="9" borderId="7" xfId="0" applyFont="1" applyFill="1" applyBorder="1" applyAlignment="1">
      <alignment horizontal="center" vertical="center" wrapText="1"/>
    </xf>
    <xf numFmtId="0" fontId="31" fillId="9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9" fontId="33" fillId="0" borderId="6" xfId="3" applyFont="1" applyFill="1" applyBorder="1" applyAlignment="1">
      <alignment horizontal="center" vertical="center"/>
    </xf>
    <xf numFmtId="9" fontId="33" fillId="0" borderId="31" xfId="3" applyFont="1" applyFill="1" applyBorder="1" applyAlignment="1">
      <alignment horizontal="center" vertical="center"/>
    </xf>
    <xf numFmtId="9" fontId="33" fillId="0" borderId="5" xfId="3" applyFont="1" applyFill="1" applyBorder="1" applyAlignment="1">
      <alignment horizontal="center" vertical="center"/>
    </xf>
    <xf numFmtId="9" fontId="33" fillId="0" borderId="4" xfId="3" applyFont="1" applyFill="1" applyBorder="1" applyAlignment="1">
      <alignment horizontal="center" vertical="center"/>
    </xf>
    <xf numFmtId="9" fontId="33" fillId="0" borderId="3" xfId="3" applyFont="1" applyFill="1" applyBorder="1" applyAlignment="1">
      <alignment horizontal="center" vertical="center"/>
    </xf>
    <xf numFmtId="9" fontId="33" fillId="0" borderId="32" xfId="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 vertical="center" wrapText="1"/>
    </xf>
    <xf numFmtId="1" fontId="14" fillId="7" borderId="7" xfId="0" applyNumberFormat="1" applyFont="1" applyFill="1" applyBorder="1" applyAlignment="1">
      <alignment horizontal="center" vertical="center"/>
    </xf>
    <xf numFmtId="1" fontId="14" fillId="15" borderId="7" xfId="0" applyNumberFormat="1" applyFont="1" applyFill="1" applyBorder="1" applyAlignment="1">
      <alignment horizontal="center" vertical="center"/>
    </xf>
    <xf numFmtId="1" fontId="14" fillId="16" borderId="7" xfId="0" applyNumberFormat="1" applyFont="1" applyFill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26" fillId="0" borderId="5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/>
    </xf>
    <xf numFmtId="0" fontId="18" fillId="15" borderId="7" xfId="0" applyFont="1" applyFill="1" applyBorder="1" applyAlignment="1">
      <alignment horizontal="center" vertical="center"/>
    </xf>
    <xf numFmtId="0" fontId="18" fillId="16" borderId="7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0" fontId="71" fillId="16" borderId="0" xfId="0" applyFont="1" applyFill="1" applyAlignment="1">
      <alignment horizontal="center"/>
    </xf>
    <xf numFmtId="0" fontId="71" fillId="15" borderId="0" xfId="0" applyFont="1" applyFill="1" applyAlignment="1">
      <alignment horizontal="center"/>
    </xf>
    <xf numFmtId="0" fontId="71" fillId="22" borderId="0" xfId="0" applyFont="1" applyFill="1" applyAlignment="1">
      <alignment horizontal="center"/>
    </xf>
    <xf numFmtId="1" fontId="66" fillId="13" borderId="45" xfId="3" applyNumberFormat="1" applyFont="1" applyFill="1" applyBorder="1" applyAlignment="1">
      <alignment horizontal="center" vertical="center"/>
    </xf>
    <xf numFmtId="1" fontId="66" fillId="13" borderId="49" xfId="3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wrapText="1"/>
    </xf>
    <xf numFmtId="0" fontId="16" fillId="0" borderId="0" xfId="0" applyFont="1" applyFill="1" applyBorder="1" applyAlignment="1">
      <alignment horizontal="center"/>
    </xf>
  </cellXfs>
  <cellStyles count="8">
    <cellStyle name="Euro" xfId="7"/>
    <cellStyle name="Normal" xfId="0" builtinId="0"/>
    <cellStyle name="Normal 2" xfId="2"/>
    <cellStyle name="Normal 3" xfId="1"/>
    <cellStyle name="Normal 3 2" xfId="6"/>
    <cellStyle name="Normal_Classeur1" xfId="4"/>
    <cellStyle name="Pourcentage" xfId="3" builtinId="5"/>
    <cellStyle name="Pourcentage 2" xfId="5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2" formatCode="mmm\-yy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2" formatCode="mmm\-yy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%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%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%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%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%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2" formatCode="mmm\-yy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2" formatCode="mmm\-yy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2" formatCode="mmm\-yy"/>
    </dxf>
    <dxf>
      <numFmt numFmtId="22" formatCode="mmm\-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2" formatCode="mmm\-yy"/>
    </dxf>
    <dxf>
      <numFmt numFmtId="22" formatCode="mmm\-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2248C2"/>
      <color rgb="FFF85A69"/>
      <color rgb="FFFF7575"/>
      <color rgb="FFB482DA"/>
      <color rgb="FFFFCC66"/>
      <color rgb="FFE6DF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737022455526396E-2"/>
          <c:y val="2.8843033940085045E-2"/>
          <c:w val="0.92907779235928845"/>
          <c:h val="0.91853354837194312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chemeClr val="accent4">
                <a:shade val="86000"/>
              </a:schemeClr>
            </a:solidFill>
            <a:ln>
              <a:noFill/>
            </a:ln>
            <a:effectLst/>
          </c:spPr>
          <c:invertIfNegative val="0"/>
          <c:val>
            <c:numRef>
              <c:f>[1]Ev_mens.!$C$115:$N$115</c:f>
              <c:numCache>
                <c:formatCode>General</c:formatCode>
                <c:ptCount val="12"/>
                <c:pt idx="0">
                  <c:v>5837</c:v>
                </c:pt>
                <c:pt idx="1">
                  <c:v>4769</c:v>
                </c:pt>
                <c:pt idx="2">
                  <c:v>5745</c:v>
                </c:pt>
                <c:pt idx="3">
                  <c:v>5501</c:v>
                </c:pt>
                <c:pt idx="4">
                  <c:v>5137</c:v>
                </c:pt>
                <c:pt idx="5">
                  <c:v>6371</c:v>
                </c:pt>
                <c:pt idx="6">
                  <c:v>5888</c:v>
                </c:pt>
                <c:pt idx="7">
                  <c:v>1580</c:v>
                </c:pt>
                <c:pt idx="8">
                  <c:v>6138</c:v>
                </c:pt>
                <c:pt idx="9">
                  <c:v>6515</c:v>
                </c:pt>
                <c:pt idx="10">
                  <c:v>5185</c:v>
                </c:pt>
                <c:pt idx="11">
                  <c:v>3535</c:v>
                </c:pt>
              </c:numCache>
            </c:numRef>
          </c:val>
        </c:ser>
        <c:ser>
          <c:idx val="3"/>
          <c:order val="1"/>
          <c:tx>
            <c:v>2019</c:v>
          </c:tx>
          <c:spPr>
            <a:solidFill>
              <a:schemeClr val="accent4">
                <a:tint val="58000"/>
              </a:schemeClr>
            </a:solidFill>
            <a:ln>
              <a:noFill/>
            </a:ln>
            <a:effectLst/>
          </c:spPr>
          <c:invertIfNegative val="0"/>
          <c:val>
            <c:numRef>
              <c:f>Recap_cde_P!$P$65:$P$76</c:f>
              <c:numCache>
                <c:formatCode>General</c:formatCode>
                <c:ptCount val="12"/>
                <c:pt idx="0">
                  <c:v>5211</c:v>
                </c:pt>
                <c:pt idx="1">
                  <c:v>4825</c:v>
                </c:pt>
                <c:pt idx="2">
                  <c:v>5346</c:v>
                </c:pt>
                <c:pt idx="3">
                  <c:v>6320</c:v>
                </c:pt>
                <c:pt idx="4">
                  <c:v>4593</c:v>
                </c:pt>
                <c:pt idx="5">
                  <c:v>5147</c:v>
                </c:pt>
                <c:pt idx="6">
                  <c:v>5540</c:v>
                </c:pt>
                <c:pt idx="7">
                  <c:v>791</c:v>
                </c:pt>
                <c:pt idx="8">
                  <c:v>7367</c:v>
                </c:pt>
                <c:pt idx="9">
                  <c:v>5334</c:v>
                </c:pt>
                <c:pt idx="10">
                  <c:v>5205</c:v>
                </c:pt>
                <c:pt idx="11">
                  <c:v>3744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742536"/>
        <c:axId val="163741360"/>
      </c:barChart>
      <c:lineChart>
        <c:grouping val="standard"/>
        <c:varyColors val="0"/>
        <c:ser>
          <c:idx val="0"/>
          <c:order val="2"/>
          <c:tx>
            <c:v>2020</c:v>
          </c:tx>
          <c:spPr>
            <a:ln w="28575" cap="rnd">
              <a:solidFill>
                <a:schemeClr val="accent4">
                  <a:shade val="58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Recap_cde_P!$F$65:$F$76</c:f>
              <c:numCache>
                <c:formatCode>General</c:formatCode>
                <c:ptCount val="12"/>
                <c:pt idx="0">
                  <c:v>5254</c:v>
                </c:pt>
                <c:pt idx="1">
                  <c:v>5317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42536"/>
        <c:axId val="163741360"/>
      </c:lineChart>
      <c:catAx>
        <c:axId val="163742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741360"/>
        <c:crosses val="autoZero"/>
        <c:auto val="1"/>
        <c:lblAlgn val="ctr"/>
        <c:lblOffset val="100"/>
        <c:noMultiLvlLbl val="0"/>
      </c:catAx>
      <c:valAx>
        <c:axId val="163741360"/>
        <c:scaling>
          <c:orientation val="minMax"/>
          <c:max val="79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63742536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1200743657042873"/>
          <c:y val="7.3854277369333907E-2"/>
          <c:w val="0.29626662292213479"/>
          <c:h val="6.13026836482489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16757604469567"/>
          <c:y val="4.4214448882706522E-2"/>
          <c:w val="0.73118927042833337"/>
          <c:h val="0.83848645337485161"/>
        </c:manualLayout>
      </c:layout>
      <c:barChart>
        <c:barDir val="col"/>
        <c:grouping val="clustered"/>
        <c:varyColors val="0"/>
        <c:ser>
          <c:idx val="3"/>
          <c:order val="0"/>
          <c:tx>
            <c:v>bsa N-1</c:v>
          </c:tx>
          <c:spPr>
            <a:solidFill>
              <a:srgbClr val="FFFF99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'Indicateur Cde CCE P'!$AL$63:$AW$63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Recap_cde_P!$Q$65:$Q$76</c:f>
              <c:numCache>
                <c:formatCode>General</c:formatCode>
                <c:ptCount val="12"/>
                <c:pt idx="0">
                  <c:v>2386</c:v>
                </c:pt>
                <c:pt idx="1">
                  <c:v>1854</c:v>
                </c:pt>
                <c:pt idx="2">
                  <c:v>2126</c:v>
                </c:pt>
                <c:pt idx="3">
                  <c:v>2477</c:v>
                </c:pt>
                <c:pt idx="4">
                  <c:v>1937</c:v>
                </c:pt>
                <c:pt idx="5">
                  <c:v>2422</c:v>
                </c:pt>
                <c:pt idx="6">
                  <c:v>2335</c:v>
                </c:pt>
                <c:pt idx="7">
                  <c:v>461</c:v>
                </c:pt>
                <c:pt idx="8">
                  <c:v>3434</c:v>
                </c:pt>
                <c:pt idx="9">
                  <c:v>2288</c:v>
                </c:pt>
                <c:pt idx="10">
                  <c:v>2457</c:v>
                </c:pt>
                <c:pt idx="11">
                  <c:v>1674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739008"/>
        <c:axId val="246010728"/>
      </c:barChart>
      <c:lineChart>
        <c:grouping val="standard"/>
        <c:varyColors val="0"/>
        <c:ser>
          <c:idx val="0"/>
          <c:order val="1"/>
          <c:tx>
            <c:v>bsa 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Recap_cde_P!$G$65:$G$76</c:f>
              <c:numCache>
                <c:formatCode>General</c:formatCode>
                <c:ptCount val="12"/>
                <c:pt idx="0">
                  <c:v>2678</c:v>
                </c:pt>
                <c:pt idx="1">
                  <c:v>2514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39008"/>
        <c:axId val="246010728"/>
      </c:lineChart>
      <c:catAx>
        <c:axId val="163739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010728"/>
        <c:crosses val="autoZero"/>
        <c:auto val="1"/>
        <c:lblAlgn val="ctr"/>
        <c:lblOffset val="100"/>
        <c:noMultiLvlLbl val="0"/>
      </c:catAx>
      <c:valAx>
        <c:axId val="246010728"/>
        <c:scaling>
          <c:orientation val="minMax"/>
          <c:max val="36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63739008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089195282125003"/>
          <c:y val="4.2139384116693678E-2"/>
          <c:w val="0.51856568758780675"/>
          <c:h val="6.05890835768705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16757604469567"/>
          <c:y val="5.0697431054505547E-2"/>
          <c:w val="0.73118927042833337"/>
          <c:h val="0.83200347120305274"/>
        </c:manualLayout>
      </c:layout>
      <c:barChart>
        <c:barDir val="col"/>
        <c:grouping val="clustered"/>
        <c:varyColors val="0"/>
        <c:ser>
          <c:idx val="3"/>
          <c:order val="0"/>
          <c:tx>
            <c:v>ind N-1</c:v>
          </c:tx>
          <c:spPr>
            <a:solidFill>
              <a:schemeClr val="accent2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'Indicateur Cde CCE P'!$AL$63:$AW$63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Recap_cde_P!$R$65:$R$76</c:f>
              <c:numCache>
                <c:formatCode>General</c:formatCode>
                <c:ptCount val="12"/>
                <c:pt idx="0">
                  <c:v>1610</c:v>
                </c:pt>
                <c:pt idx="1">
                  <c:v>1848</c:v>
                </c:pt>
                <c:pt idx="2">
                  <c:v>1711</c:v>
                </c:pt>
                <c:pt idx="3">
                  <c:v>1962</c:v>
                </c:pt>
                <c:pt idx="4">
                  <c:v>1310</c:v>
                </c:pt>
                <c:pt idx="5">
                  <c:v>1543</c:v>
                </c:pt>
                <c:pt idx="6">
                  <c:v>1675</c:v>
                </c:pt>
                <c:pt idx="7">
                  <c:v>232</c:v>
                </c:pt>
                <c:pt idx="8">
                  <c:v>1735</c:v>
                </c:pt>
                <c:pt idx="9">
                  <c:v>1218</c:v>
                </c:pt>
                <c:pt idx="10">
                  <c:v>1351</c:v>
                </c:pt>
                <c:pt idx="11">
                  <c:v>1004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6011512"/>
        <c:axId val="246012296"/>
      </c:barChart>
      <c:lineChart>
        <c:grouping val="standard"/>
        <c:varyColors val="0"/>
        <c:ser>
          <c:idx val="0"/>
          <c:order val="1"/>
          <c:tx>
            <c:v>Ind 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Recap_cde_P!$H$65:$H$76</c:f>
              <c:numCache>
                <c:formatCode>General</c:formatCode>
                <c:ptCount val="12"/>
                <c:pt idx="0">
                  <c:v>1147</c:v>
                </c:pt>
                <c:pt idx="1">
                  <c:v>1383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011512"/>
        <c:axId val="246012296"/>
      </c:lineChart>
      <c:catAx>
        <c:axId val="24601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012296"/>
        <c:crosses val="autoZero"/>
        <c:auto val="1"/>
        <c:lblAlgn val="ctr"/>
        <c:lblOffset val="100"/>
        <c:noMultiLvlLbl val="0"/>
      </c:catAx>
      <c:valAx>
        <c:axId val="246012296"/>
        <c:scaling>
          <c:orientation val="minMax"/>
          <c:max val="2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46011512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6464762962720948"/>
          <c:y val="7.7795786061588337E-2"/>
          <c:w val="0.5076861502270722"/>
          <c:h val="6.05890835768705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16757604469567"/>
          <c:y val="5.3938922140405056E-2"/>
          <c:w val="0.73118927042833337"/>
          <c:h val="0.82876198011715307"/>
        </c:manualLayout>
      </c:layout>
      <c:barChart>
        <c:barDir val="col"/>
        <c:grouping val="clustered"/>
        <c:varyColors val="0"/>
        <c:ser>
          <c:idx val="3"/>
          <c:order val="0"/>
          <c:tx>
            <c:v>A&amp;B N-1</c:v>
          </c:tx>
          <c:spPr>
            <a:solidFill>
              <a:schemeClr val="accent1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'Indicateur Cde CCE P'!$AL$63:$AW$63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Recap_cde_P!$S$65:$S$76</c:f>
              <c:numCache>
                <c:formatCode>General</c:formatCode>
                <c:ptCount val="12"/>
                <c:pt idx="0">
                  <c:v>346</c:v>
                </c:pt>
                <c:pt idx="1">
                  <c:v>288</c:v>
                </c:pt>
                <c:pt idx="2">
                  <c:v>657</c:v>
                </c:pt>
                <c:pt idx="3">
                  <c:v>825</c:v>
                </c:pt>
                <c:pt idx="4">
                  <c:v>455</c:v>
                </c:pt>
                <c:pt idx="5">
                  <c:v>381</c:v>
                </c:pt>
                <c:pt idx="6">
                  <c:v>611</c:v>
                </c:pt>
                <c:pt idx="7">
                  <c:v>98</c:v>
                </c:pt>
                <c:pt idx="8">
                  <c:v>675</c:v>
                </c:pt>
                <c:pt idx="9">
                  <c:v>824</c:v>
                </c:pt>
                <c:pt idx="10">
                  <c:v>501</c:v>
                </c:pt>
                <c:pt idx="11">
                  <c:v>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1071232"/>
        <c:axId val="1091071624"/>
      </c:barChart>
      <c:lineChart>
        <c:grouping val="standard"/>
        <c:varyColors val="0"/>
        <c:ser>
          <c:idx val="0"/>
          <c:order val="1"/>
          <c:tx>
            <c:v>A&amp;B 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Recap_cde_P!$I$65:$I$76</c:f>
              <c:numCache>
                <c:formatCode>General</c:formatCode>
                <c:ptCount val="12"/>
                <c:pt idx="0">
                  <c:v>417</c:v>
                </c:pt>
                <c:pt idx="1">
                  <c:v>397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1071232"/>
        <c:axId val="1091071624"/>
      </c:lineChart>
      <c:catAx>
        <c:axId val="109107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1071624"/>
        <c:crosses val="autoZero"/>
        <c:auto val="1"/>
        <c:lblAlgn val="ctr"/>
        <c:lblOffset val="100"/>
        <c:noMultiLvlLbl val="0"/>
      </c:catAx>
      <c:valAx>
        <c:axId val="1091071624"/>
        <c:scaling>
          <c:orientation val="minMax"/>
          <c:max val="2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091071232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1702453687065052"/>
          <c:y val="8.4278768233387355E-2"/>
          <c:w val="0.56133694906393949"/>
          <c:h val="6.05890835768705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16757604469567"/>
          <c:y val="5.0697431054505547E-2"/>
          <c:w val="0.73118927042833337"/>
          <c:h val="0.83200347120305274"/>
        </c:manualLayout>
      </c:layout>
      <c:barChart>
        <c:barDir val="col"/>
        <c:grouping val="clustered"/>
        <c:varyColors val="0"/>
        <c:ser>
          <c:idx val="3"/>
          <c:order val="0"/>
          <c:tx>
            <c:v>Filiale N-1</c:v>
          </c:tx>
          <c:spPr>
            <a:solidFill>
              <a:schemeClr val="accent6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'Indicateur Cde CCE P'!$AL$63:$AW$63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Recap_cde_P!$T$65:$T$76</c:f>
              <c:numCache>
                <c:formatCode>General</c:formatCode>
                <c:ptCount val="12"/>
                <c:pt idx="0">
                  <c:v>869</c:v>
                </c:pt>
                <c:pt idx="1">
                  <c:v>835</c:v>
                </c:pt>
                <c:pt idx="2">
                  <c:v>852</c:v>
                </c:pt>
                <c:pt idx="3">
                  <c:v>1056</c:v>
                </c:pt>
                <c:pt idx="4">
                  <c:v>891</c:v>
                </c:pt>
                <c:pt idx="5">
                  <c:v>801</c:v>
                </c:pt>
                <c:pt idx="6">
                  <c:v>919</c:v>
                </c:pt>
                <c:pt idx="7">
                  <c:v>0</c:v>
                </c:pt>
                <c:pt idx="8">
                  <c:v>1523</c:v>
                </c:pt>
                <c:pt idx="9">
                  <c:v>1004</c:v>
                </c:pt>
                <c:pt idx="10">
                  <c:v>896</c:v>
                </c:pt>
                <c:pt idx="11">
                  <c:v>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1072408"/>
        <c:axId val="1091072800"/>
      </c:barChart>
      <c:lineChart>
        <c:grouping val="standard"/>
        <c:varyColors val="0"/>
        <c:ser>
          <c:idx val="0"/>
          <c:order val="1"/>
          <c:tx>
            <c:v>Filiales N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Recap_cde_P!$J$65:$J$76</c:f>
              <c:numCache>
                <c:formatCode>General</c:formatCode>
                <c:ptCount val="12"/>
                <c:pt idx="0">
                  <c:v>1012</c:v>
                </c:pt>
                <c:pt idx="1">
                  <c:v>1023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1072408"/>
        <c:axId val="1091072800"/>
      </c:lineChart>
      <c:catAx>
        <c:axId val="1091072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1072800"/>
        <c:crosses val="autoZero"/>
        <c:auto val="1"/>
        <c:lblAlgn val="ctr"/>
        <c:lblOffset val="100"/>
        <c:noMultiLvlLbl val="0"/>
      </c:catAx>
      <c:valAx>
        <c:axId val="1091072800"/>
        <c:scaling>
          <c:orientation val="minMax"/>
          <c:max val="2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091072408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8781193844545366"/>
          <c:y val="8.4278768233387355E-2"/>
          <c:w val="0.63928774463358062"/>
          <c:h val="6.05890835768705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16757604469567"/>
          <c:y val="4.8796213712286408E-2"/>
          <c:w val="0.73118927042833337"/>
          <c:h val="0.85647403708743097"/>
        </c:manualLayout>
      </c:layout>
      <c:lineChart>
        <c:grouping val="standard"/>
        <c:varyColors val="0"/>
        <c:ser>
          <c:idx val="1"/>
          <c:order val="0"/>
          <c:tx>
            <c:v>hebdo N</c:v>
          </c:tx>
          <c:spPr>
            <a:ln w="28575" cap="rnd">
              <a:solidFill>
                <a:srgbClr val="2248C2"/>
              </a:solidFill>
              <a:round/>
            </a:ln>
            <a:effectLst/>
          </c:spPr>
          <c:marker>
            <c:symbol val="none"/>
          </c:marker>
          <c:cat>
            <c:strRef>
              <c:f>'Indicateur Cde CCE P'!$B$56:$F$56</c:f>
              <c:strCache>
                <c:ptCount val="4"/>
                <c:pt idx="0">
                  <c:v>s06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</c:strCache>
            </c:strRef>
          </c:cat>
          <c:val>
            <c:numRef>
              <c:f>'Indicateur Cde CCE P'!$B$57:$F$57</c:f>
              <c:numCache>
                <c:formatCode>General</c:formatCode>
                <c:ptCount val="5"/>
                <c:pt idx="0">
                  <c:v>621</c:v>
                </c:pt>
                <c:pt idx="1">
                  <c:v>535</c:v>
                </c:pt>
                <c:pt idx="2">
                  <c:v>639</c:v>
                </c:pt>
                <c:pt idx="3">
                  <c:v>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073584"/>
        <c:axId val="1091073976"/>
      </c:lineChart>
      <c:catAx>
        <c:axId val="109107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1073976"/>
        <c:crosses val="autoZero"/>
        <c:auto val="1"/>
        <c:lblAlgn val="ctr"/>
        <c:lblOffset val="100"/>
        <c:noMultiLvlLbl val="0"/>
      </c:catAx>
      <c:valAx>
        <c:axId val="1091073976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091073584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339931807589472"/>
          <c:y val="4.8796213712286408E-2"/>
          <c:w val="0.73091013156065776"/>
          <c:h val="0.85647403708743097"/>
        </c:manualLayout>
      </c:layout>
      <c:lineChart>
        <c:grouping val="standard"/>
        <c:varyColors val="0"/>
        <c:ser>
          <c:idx val="3"/>
          <c:order val="0"/>
          <c:tx>
            <c:v>hebdo N-1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'Indicateur Cde CCE P'!$I$56:$M$56</c:f>
              <c:strCache>
                <c:ptCount val="5"/>
                <c:pt idx="0">
                  <c:v>s06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  <c:pt idx="4">
                  <c:v>0</c:v>
                </c:pt>
              </c:strCache>
            </c:strRef>
          </c:cat>
          <c:val>
            <c:numRef>
              <c:f>'Indicateur Cde CCE P'!$I$57:$M$57</c:f>
              <c:numCache>
                <c:formatCode>General</c:formatCode>
                <c:ptCount val="5"/>
                <c:pt idx="0">
                  <c:v>273</c:v>
                </c:pt>
                <c:pt idx="1">
                  <c:v>228</c:v>
                </c:pt>
                <c:pt idx="2">
                  <c:v>367</c:v>
                </c:pt>
                <c:pt idx="3">
                  <c:v>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070448"/>
        <c:axId val="1312634848"/>
      </c:lineChart>
      <c:catAx>
        <c:axId val="109107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2634848"/>
        <c:crosses val="autoZero"/>
        <c:auto val="1"/>
        <c:lblAlgn val="ctr"/>
        <c:lblOffset val="100"/>
        <c:noMultiLvlLbl val="0"/>
      </c:catAx>
      <c:valAx>
        <c:axId val="1312634848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091070448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971292139884383"/>
          <c:y val="5.5559776646174952E-2"/>
          <c:w val="0.76459652823770863"/>
          <c:h val="0.82361630969823452"/>
        </c:manualLayout>
      </c:layout>
      <c:lineChart>
        <c:grouping val="standard"/>
        <c:varyColors val="0"/>
        <c:ser>
          <c:idx val="0"/>
          <c:order val="0"/>
          <c:tx>
            <c:v>Hebdo 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'Indicateur Cde CCE P'!$P$56:$T$56</c:f>
              <c:strCache>
                <c:ptCount val="5"/>
                <c:pt idx="0">
                  <c:v>s06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  <c:pt idx="4">
                  <c:v>0</c:v>
                </c:pt>
              </c:strCache>
            </c:strRef>
          </c:cat>
          <c:val>
            <c:numRef>
              <c:f>'Indicateur Cde CCE P'!$P$57:$T$57</c:f>
              <c:numCache>
                <c:formatCode>General</c:formatCode>
                <c:ptCount val="5"/>
                <c:pt idx="0">
                  <c:v>85</c:v>
                </c:pt>
                <c:pt idx="1">
                  <c:v>141</c:v>
                </c:pt>
                <c:pt idx="2">
                  <c:v>40</c:v>
                </c:pt>
                <c:pt idx="3">
                  <c:v>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2634064"/>
        <c:axId val="1312634456"/>
      </c:lineChart>
      <c:catAx>
        <c:axId val="131263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2634456"/>
        <c:crosses val="autoZero"/>
        <c:auto val="1"/>
        <c:lblAlgn val="ctr"/>
        <c:lblOffset val="100"/>
        <c:noMultiLvlLbl val="0"/>
      </c:catAx>
      <c:valAx>
        <c:axId val="1312634456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12634064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971292139884383"/>
          <c:y val="5.5559776646174952E-2"/>
          <c:w val="0.76459652823770863"/>
          <c:h val="0.82361630969823452"/>
        </c:manualLayout>
      </c:layout>
      <c:lineChart>
        <c:grouping val="standard"/>
        <c:varyColors val="0"/>
        <c:ser>
          <c:idx val="0"/>
          <c:order val="0"/>
          <c:tx>
            <c:v>Hebdo N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'Indicateur Cde CCE P'!$W$56:$AA$56</c:f>
              <c:strCache>
                <c:ptCount val="5"/>
                <c:pt idx="0">
                  <c:v>s06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  <c:pt idx="4">
                  <c:v>0</c:v>
                </c:pt>
              </c:strCache>
            </c:strRef>
          </c:cat>
          <c:val>
            <c:numRef>
              <c:f>'Indicateur Cde CCE P'!$W$57:$AA$57</c:f>
              <c:numCache>
                <c:formatCode>General</c:formatCode>
                <c:ptCount val="5"/>
                <c:pt idx="0">
                  <c:v>172</c:v>
                </c:pt>
                <c:pt idx="1">
                  <c:v>394</c:v>
                </c:pt>
                <c:pt idx="2">
                  <c:v>216</c:v>
                </c:pt>
                <c:pt idx="3">
                  <c:v>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12635632"/>
        <c:axId val="1312632888"/>
      </c:lineChart>
      <c:catAx>
        <c:axId val="131263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2632888"/>
        <c:crosses val="autoZero"/>
        <c:auto val="1"/>
        <c:lblAlgn val="ctr"/>
        <c:lblOffset val="100"/>
        <c:noMultiLvlLbl val="0"/>
      </c:catAx>
      <c:valAx>
        <c:axId val="1312632888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12635632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666046427193718"/>
          <c:y val="3.6013617109742477E-2"/>
          <c:w val="0.75107248481547872"/>
          <c:h val="0.86844375146176034"/>
        </c:manualLayout>
      </c:layout>
      <c:barChart>
        <c:barDir val="col"/>
        <c:grouping val="clustered"/>
        <c:varyColors val="0"/>
        <c:ser>
          <c:idx val="3"/>
          <c:order val="0"/>
          <c:tx>
            <c:v>Global N-1</c:v>
          </c:tx>
          <c:spPr>
            <a:solidFill>
              <a:srgbClr val="FFFF99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'Indicateur Cde CCE P'!$AD$56:$AH$56</c:f>
              <c:strCache>
                <c:ptCount val="5"/>
                <c:pt idx="0">
                  <c:v>s06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  <c:pt idx="4">
                  <c:v>0</c:v>
                </c:pt>
              </c:strCache>
            </c:strRef>
          </c:cat>
          <c:val>
            <c:numRef>
              <c:f>'Indicateur Cde CCE P'!$AD$54:$AH$54</c:f>
              <c:numCache>
                <c:formatCode>General</c:formatCode>
                <c:ptCount val="5"/>
                <c:pt idx="0">
                  <c:v>1264</c:v>
                </c:pt>
                <c:pt idx="1">
                  <c:v>1305</c:v>
                </c:pt>
                <c:pt idx="2">
                  <c:v>1081</c:v>
                </c:pt>
                <c:pt idx="3">
                  <c:v>1175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2633280"/>
        <c:axId val="1312633672"/>
      </c:barChart>
      <c:lineChart>
        <c:grouping val="standard"/>
        <c:varyColors val="0"/>
        <c:ser>
          <c:idx val="0"/>
          <c:order val="1"/>
          <c:tx>
            <c:v>Global N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'Indicateur Cde CCE P'!$AD$57:$AH$57</c:f>
              <c:numCache>
                <c:formatCode>General</c:formatCode>
                <c:ptCount val="5"/>
                <c:pt idx="0">
                  <c:v>1151</c:v>
                </c:pt>
                <c:pt idx="1">
                  <c:v>1298</c:v>
                </c:pt>
                <c:pt idx="2">
                  <c:v>1262</c:v>
                </c:pt>
                <c:pt idx="3">
                  <c:v>1606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2633280"/>
        <c:axId val="1312633672"/>
      </c:lineChart>
      <c:catAx>
        <c:axId val="131263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2633672"/>
        <c:crosses val="autoZero"/>
        <c:auto val="1"/>
        <c:lblAlgn val="ctr"/>
        <c:lblOffset val="100"/>
        <c:noMultiLvlLbl val="0"/>
      </c:catAx>
      <c:valAx>
        <c:axId val="1312633672"/>
        <c:scaling>
          <c:orientation val="minMax"/>
          <c:max val="2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12633280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3509239298978116"/>
          <c:y val="4.7524752475247525E-2"/>
          <c:w val="0.51914585910381561"/>
          <c:h val="4.59480163138033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6.0737022455526396E-2"/>
          <c:y val="6.8423101102891931E-2"/>
          <c:w val="0.92907779235928845"/>
          <c:h val="0.87895354553492122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val>
            <c:numRef>
              <c:f>[1]Ev_mens.!$C$119:$N$119</c:f>
              <c:numCache>
                <c:formatCode>General</c:formatCode>
                <c:ptCount val="12"/>
                <c:pt idx="0">
                  <c:v>1134</c:v>
                </c:pt>
                <c:pt idx="1">
                  <c:v>1034</c:v>
                </c:pt>
                <c:pt idx="2">
                  <c:v>1106</c:v>
                </c:pt>
                <c:pt idx="3">
                  <c:v>1068</c:v>
                </c:pt>
                <c:pt idx="4">
                  <c:v>1021</c:v>
                </c:pt>
                <c:pt idx="5">
                  <c:v>1129</c:v>
                </c:pt>
                <c:pt idx="6">
                  <c:v>1347</c:v>
                </c:pt>
                <c:pt idx="7">
                  <c:v>370</c:v>
                </c:pt>
                <c:pt idx="8">
                  <c:v>1334</c:v>
                </c:pt>
                <c:pt idx="9">
                  <c:v>1719</c:v>
                </c:pt>
                <c:pt idx="10">
                  <c:v>800</c:v>
                </c:pt>
                <c:pt idx="11">
                  <c:v>785</c:v>
                </c:pt>
              </c:numCache>
            </c:numRef>
          </c:val>
        </c:ser>
        <c:ser>
          <c:idx val="3"/>
          <c:order val="1"/>
          <c:tx>
            <c:v>2019</c:v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val>
            <c:numRef>
              <c:f>Recap_cde_B!$O$65:$O$76</c:f>
              <c:numCache>
                <c:formatCode>0</c:formatCode>
                <c:ptCount val="12"/>
                <c:pt idx="0">
                  <c:v>1001</c:v>
                </c:pt>
                <c:pt idx="1">
                  <c:v>864</c:v>
                </c:pt>
                <c:pt idx="2">
                  <c:v>1076</c:v>
                </c:pt>
                <c:pt idx="3">
                  <c:v>1227</c:v>
                </c:pt>
                <c:pt idx="4">
                  <c:v>1078</c:v>
                </c:pt>
                <c:pt idx="5">
                  <c:v>1153</c:v>
                </c:pt>
                <c:pt idx="6">
                  <c:v>1335</c:v>
                </c:pt>
                <c:pt idx="7">
                  <c:v>265</c:v>
                </c:pt>
                <c:pt idx="8">
                  <c:v>1752</c:v>
                </c:pt>
                <c:pt idx="9">
                  <c:v>1310</c:v>
                </c:pt>
                <c:pt idx="10">
                  <c:v>1096</c:v>
                </c:pt>
                <c:pt idx="11">
                  <c:v>1167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524488"/>
        <c:axId val="80524880"/>
      </c:barChart>
      <c:lineChart>
        <c:grouping val="standard"/>
        <c:varyColors val="0"/>
        <c:ser>
          <c:idx val="2"/>
          <c:order val="2"/>
          <c:tx>
            <c:v>2020</c:v>
          </c:tx>
          <c:spPr>
            <a:ln w="28575" cap="rnd">
              <a:solidFill>
                <a:schemeClr val="accent1">
                  <a:tint val="8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86000"/>
                </a:schemeClr>
              </a:solidFill>
              <a:ln w="9525">
                <a:solidFill>
                  <a:schemeClr val="accent1">
                    <a:tint val="86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Recap_cde_B!$E$65:$E$76</c:f>
              <c:numCache>
                <c:formatCode>0</c:formatCode>
                <c:ptCount val="12"/>
                <c:pt idx="0">
                  <c:v>1112</c:v>
                </c:pt>
                <c:pt idx="1">
                  <c:v>1314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524488"/>
        <c:axId val="80524880"/>
      </c:lineChart>
      <c:catAx>
        <c:axId val="80524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524880"/>
        <c:crosses val="autoZero"/>
        <c:auto val="1"/>
        <c:lblAlgn val="ctr"/>
        <c:lblOffset val="100"/>
        <c:noMultiLvlLbl val="0"/>
      </c:catAx>
      <c:valAx>
        <c:axId val="80524880"/>
        <c:scaling>
          <c:orientation val="minMax"/>
          <c:max val="2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80524488"/>
        <c:crosses val="autoZero"/>
        <c:crossBetween val="between"/>
        <c:majorUnit val="200"/>
      </c:valAx>
      <c:spPr>
        <a:noFill/>
        <a:ln w="25400">
          <a:noFill/>
        </a:ln>
        <a:effectLst/>
      </c:spPr>
    </c:plotArea>
    <c:legend>
      <c:legendPos val="t"/>
      <c:layout>
        <c:manualLayout>
          <c:xMode val="edge"/>
          <c:yMode val="edge"/>
          <c:x val="0.14348891805191016"/>
          <c:y val="7.9018957904804329E-2"/>
          <c:w val="0.29626662292213479"/>
          <c:h val="5.94666631729270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7915822047988"/>
          <c:y val="4.2116003090941566E-2"/>
          <c:w val="0.87442428931149785"/>
          <c:h val="0.9051737489649101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chemeClr val="accent6">
                <a:shade val="86000"/>
              </a:schemeClr>
            </a:solidFill>
            <a:ln>
              <a:noFill/>
            </a:ln>
            <a:effectLst/>
          </c:spPr>
          <c:invertIfNegative val="0"/>
          <c:val>
            <c:numRef>
              <c:f>[1]Ev_mens.!$C$123:$N$123</c:f>
              <c:numCache>
                <c:formatCode>General</c:formatCode>
                <c:ptCount val="12"/>
                <c:pt idx="0">
                  <c:v>94</c:v>
                </c:pt>
                <c:pt idx="1">
                  <c:v>75</c:v>
                </c:pt>
                <c:pt idx="2">
                  <c:v>82</c:v>
                </c:pt>
                <c:pt idx="3">
                  <c:v>70</c:v>
                </c:pt>
                <c:pt idx="4">
                  <c:v>53</c:v>
                </c:pt>
                <c:pt idx="5">
                  <c:v>77</c:v>
                </c:pt>
                <c:pt idx="6">
                  <c:v>69</c:v>
                </c:pt>
                <c:pt idx="7">
                  <c:v>16</c:v>
                </c:pt>
                <c:pt idx="8">
                  <c:v>79</c:v>
                </c:pt>
                <c:pt idx="9">
                  <c:v>98</c:v>
                </c:pt>
                <c:pt idx="10">
                  <c:v>88</c:v>
                </c:pt>
                <c:pt idx="11">
                  <c:v>57</c:v>
                </c:pt>
              </c:numCache>
            </c:numRef>
          </c:val>
        </c:ser>
        <c:ser>
          <c:idx val="3"/>
          <c:order val="1"/>
          <c:tx>
            <c:v>2019</c:v>
          </c:tx>
          <c:spPr>
            <a:solidFill>
              <a:schemeClr val="accent6">
                <a:tint val="58000"/>
              </a:schemeClr>
            </a:solidFill>
            <a:ln>
              <a:noFill/>
            </a:ln>
            <a:effectLst/>
          </c:spPr>
          <c:invertIfNegative val="0"/>
          <c:val>
            <c:numRef>
              <c:f>Recap_cde_B!$S$65:$S$76</c:f>
              <c:numCache>
                <c:formatCode>General</c:formatCode>
                <c:ptCount val="12"/>
                <c:pt idx="0">
                  <c:v>78</c:v>
                </c:pt>
                <c:pt idx="1">
                  <c:v>58</c:v>
                </c:pt>
                <c:pt idx="2">
                  <c:v>74</c:v>
                </c:pt>
                <c:pt idx="3">
                  <c:v>71</c:v>
                </c:pt>
                <c:pt idx="4">
                  <c:v>59</c:v>
                </c:pt>
                <c:pt idx="5">
                  <c:v>70</c:v>
                </c:pt>
                <c:pt idx="6">
                  <c:v>120</c:v>
                </c:pt>
                <c:pt idx="7">
                  <c:v>7</c:v>
                </c:pt>
                <c:pt idx="8">
                  <c:v>86</c:v>
                </c:pt>
                <c:pt idx="9">
                  <c:v>99</c:v>
                </c:pt>
                <c:pt idx="10">
                  <c:v>57</c:v>
                </c:pt>
                <c:pt idx="11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525272"/>
        <c:axId val="80525664"/>
      </c:barChart>
      <c:lineChart>
        <c:grouping val="standard"/>
        <c:varyColors val="0"/>
        <c:ser>
          <c:idx val="2"/>
          <c:order val="2"/>
          <c:tx>
            <c:v>2020</c:v>
          </c:tx>
          <c:spPr>
            <a:ln w="28575" cap="rnd">
              <a:solidFill>
                <a:schemeClr val="accent6">
                  <a:tint val="8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tint val="86000"/>
                </a:schemeClr>
              </a:solidFill>
              <a:ln w="9525">
                <a:solidFill>
                  <a:schemeClr val="accent6">
                    <a:tint val="86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Recap_cde_B!$I$65:$I$76</c:f>
              <c:numCache>
                <c:formatCode>General</c:formatCode>
                <c:ptCount val="12"/>
                <c:pt idx="0">
                  <c:v>80</c:v>
                </c:pt>
                <c:pt idx="1">
                  <c:v>108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525272"/>
        <c:axId val="80525664"/>
      </c:lineChart>
      <c:catAx>
        <c:axId val="80525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525664"/>
        <c:crosses val="autoZero"/>
        <c:auto val="1"/>
        <c:lblAlgn val="ctr"/>
        <c:lblOffset val="100"/>
        <c:noMultiLvlLbl val="0"/>
      </c:catAx>
      <c:valAx>
        <c:axId val="80525664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8052527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2974585191494423"/>
          <c:y val="7.6618237824216798E-2"/>
          <c:w val="0.60456864006784228"/>
          <c:h val="5.90149740495505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17871580485429"/>
          <c:y val="3.2082260721142043E-2"/>
          <c:w val="0.73285201720918902"/>
          <c:h val="0.9142062876740078"/>
        </c:manualLayout>
      </c:layout>
      <c:barChart>
        <c:barDir val="col"/>
        <c:grouping val="clustered"/>
        <c:varyColors val="0"/>
        <c:ser>
          <c:idx val="3"/>
          <c:order val="0"/>
          <c:tx>
            <c:v>bsa N-1</c:v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'Indicateur Cde CCE B'!$AL$62:$AW$62</c:f>
              <c:numCache>
                <c:formatCode>General</c:formatCode>
                <c:ptCount val="12"/>
              </c:numCache>
            </c:numRef>
          </c:cat>
          <c:val>
            <c:numRef>
              <c:f>Recap_cde_B!$P$65:$P$76</c:f>
              <c:numCache>
                <c:formatCode>General</c:formatCode>
                <c:ptCount val="12"/>
                <c:pt idx="0">
                  <c:v>849</c:v>
                </c:pt>
                <c:pt idx="1">
                  <c:v>804</c:v>
                </c:pt>
                <c:pt idx="2">
                  <c:v>901</c:v>
                </c:pt>
                <c:pt idx="3">
                  <c:v>1130</c:v>
                </c:pt>
                <c:pt idx="4">
                  <c:v>1014</c:v>
                </c:pt>
                <c:pt idx="5">
                  <c:v>1066</c:v>
                </c:pt>
                <c:pt idx="6">
                  <c:v>1116</c:v>
                </c:pt>
                <c:pt idx="7">
                  <c:v>242</c:v>
                </c:pt>
                <c:pt idx="8">
                  <c:v>1636</c:v>
                </c:pt>
                <c:pt idx="9">
                  <c:v>1200</c:v>
                </c:pt>
                <c:pt idx="10">
                  <c:v>1026</c:v>
                </c:pt>
                <c:pt idx="11">
                  <c:v>1105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80523312"/>
        <c:axId val="80523704"/>
      </c:barChart>
      <c:lineChart>
        <c:grouping val="standard"/>
        <c:varyColors val="0"/>
        <c:ser>
          <c:idx val="0"/>
          <c:order val="1"/>
          <c:tx>
            <c:v>bsa N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Recap_cde_B!$F$65:$F$76</c:f>
              <c:numCache>
                <c:formatCode>General</c:formatCode>
                <c:ptCount val="12"/>
                <c:pt idx="0">
                  <c:v>1026</c:v>
                </c:pt>
                <c:pt idx="1">
                  <c:v>1242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523312"/>
        <c:axId val="80523704"/>
      </c:lineChart>
      <c:catAx>
        <c:axId val="8052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523704"/>
        <c:crosses val="autoZero"/>
        <c:auto val="1"/>
        <c:lblAlgn val="ctr"/>
        <c:lblOffset val="100"/>
        <c:noMultiLvlLbl val="0"/>
      </c:catAx>
      <c:valAx>
        <c:axId val="80523704"/>
        <c:scaling>
          <c:orientation val="minMax"/>
          <c:max val="2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80523312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0620959493465377"/>
          <c:y val="4.271046675477802E-2"/>
          <c:w val="0.51535806477798518"/>
          <c:h val="6.14102166774197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4.7229465984998317E-2"/>
          <c:w val="0.76629531617826119"/>
          <c:h val="0.88961719595477107"/>
        </c:manualLayout>
      </c:layout>
      <c:barChart>
        <c:barDir val="col"/>
        <c:grouping val="clustered"/>
        <c:varyColors val="0"/>
        <c:ser>
          <c:idx val="3"/>
          <c:order val="0"/>
          <c:tx>
            <c:v>ind N-1</c:v>
          </c:tx>
          <c:spPr>
            <a:solidFill>
              <a:schemeClr val="accent2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'Indicateur Cde CCE B'!$AL$62:$AW$62</c:f>
              <c:numCache>
                <c:formatCode>General</c:formatCode>
                <c:ptCount val="12"/>
              </c:numCache>
            </c:numRef>
          </c:cat>
          <c:val>
            <c:numRef>
              <c:f>Recap_cde_B!$Q$65:$Q$76</c:f>
              <c:numCache>
                <c:formatCode>General</c:formatCode>
                <c:ptCount val="12"/>
                <c:pt idx="0">
                  <c:v>104</c:v>
                </c:pt>
                <c:pt idx="1">
                  <c:v>33</c:v>
                </c:pt>
                <c:pt idx="2">
                  <c:v>99</c:v>
                </c:pt>
                <c:pt idx="3">
                  <c:v>50</c:v>
                </c:pt>
                <c:pt idx="4">
                  <c:v>21</c:v>
                </c:pt>
                <c:pt idx="5">
                  <c:v>52</c:v>
                </c:pt>
                <c:pt idx="6">
                  <c:v>115</c:v>
                </c:pt>
                <c:pt idx="7">
                  <c:v>23</c:v>
                </c:pt>
                <c:pt idx="8">
                  <c:v>21</c:v>
                </c:pt>
                <c:pt idx="9">
                  <c:v>6</c:v>
                </c:pt>
                <c:pt idx="10">
                  <c:v>0</c:v>
                </c:pt>
                <c:pt idx="11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1530440"/>
        <c:axId val="211532400"/>
      </c:barChart>
      <c:lineChart>
        <c:grouping val="standard"/>
        <c:varyColors val="0"/>
        <c:ser>
          <c:idx val="0"/>
          <c:order val="1"/>
          <c:tx>
            <c:v>ind N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Recap_cde_B!$G$65:$G$76</c:f>
              <c:numCache>
                <c:formatCode>General</c:formatCode>
                <c:ptCount val="12"/>
                <c:pt idx="0">
                  <c:v>21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530440"/>
        <c:axId val="211532400"/>
      </c:lineChart>
      <c:catAx>
        <c:axId val="211530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532400"/>
        <c:crosses val="autoZero"/>
        <c:auto val="1"/>
        <c:lblAlgn val="ctr"/>
        <c:lblOffset val="100"/>
        <c:noMultiLvlLbl val="0"/>
      </c:catAx>
      <c:valAx>
        <c:axId val="21153240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1530440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2501793976783827"/>
          <c:y val="5.3080568720379147E-2"/>
          <c:w val="0.50338274210569045"/>
          <c:h val="7.08691271410978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4.3438009758707243E-2"/>
          <c:w val="0.76629531617826119"/>
          <c:h val="0.89340863332720333"/>
        </c:manualLayout>
      </c:layout>
      <c:barChart>
        <c:barDir val="col"/>
        <c:grouping val="clustered"/>
        <c:varyColors val="0"/>
        <c:ser>
          <c:idx val="3"/>
          <c:order val="0"/>
          <c:tx>
            <c:v>filiales N-1</c:v>
          </c:tx>
          <c:spPr>
            <a:solidFill>
              <a:schemeClr val="accent1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'Indicateur Cde CCE B'!$AL$62:$AW$62</c:f>
              <c:numCache>
                <c:formatCode>General</c:formatCode>
                <c:ptCount val="12"/>
              </c:numCache>
            </c:numRef>
          </c:cat>
          <c:val>
            <c:numRef>
              <c:f>Recap_cde_B!$R$65:$R$76</c:f>
              <c:numCache>
                <c:formatCode>General</c:formatCode>
                <c:ptCount val="12"/>
                <c:pt idx="0">
                  <c:v>48</c:v>
                </c:pt>
                <c:pt idx="1">
                  <c:v>27</c:v>
                </c:pt>
                <c:pt idx="2">
                  <c:v>76</c:v>
                </c:pt>
                <c:pt idx="3">
                  <c:v>47</c:v>
                </c:pt>
                <c:pt idx="4">
                  <c:v>43</c:v>
                </c:pt>
                <c:pt idx="5">
                  <c:v>35</c:v>
                </c:pt>
                <c:pt idx="6">
                  <c:v>104</c:v>
                </c:pt>
                <c:pt idx="7">
                  <c:v>0</c:v>
                </c:pt>
                <c:pt idx="8">
                  <c:v>95</c:v>
                </c:pt>
                <c:pt idx="9">
                  <c:v>104</c:v>
                </c:pt>
                <c:pt idx="10">
                  <c:v>70</c:v>
                </c:pt>
                <c:pt idx="11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1529656"/>
        <c:axId val="211529264"/>
      </c:barChart>
      <c:lineChart>
        <c:grouping val="standard"/>
        <c:varyColors val="0"/>
        <c:ser>
          <c:idx val="0"/>
          <c:order val="1"/>
          <c:tx>
            <c:v>filiales N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Recap_cde_B!$H$65:$H$76</c:f>
              <c:numCache>
                <c:formatCode>General</c:formatCode>
                <c:ptCount val="12"/>
                <c:pt idx="0">
                  <c:v>65</c:v>
                </c:pt>
                <c:pt idx="1">
                  <c:v>57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529656"/>
        <c:axId val="211529264"/>
      </c:lineChart>
      <c:catAx>
        <c:axId val="211529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529264"/>
        <c:crosses val="autoZero"/>
        <c:auto val="1"/>
        <c:lblAlgn val="ctr"/>
        <c:lblOffset val="100"/>
        <c:noMultiLvlLbl val="0"/>
      </c:catAx>
      <c:valAx>
        <c:axId val="211529264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1529656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5430375842194985"/>
          <c:y val="4.9289114240881962E-2"/>
          <c:w val="0.63961392970208608"/>
          <c:h val="7.08691482984358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4.3437996790685524E-2"/>
          <c:w val="0.76629531617826119"/>
          <c:h val="0.89340866514908368"/>
        </c:manualLayout>
      </c:layout>
      <c:barChart>
        <c:barDir val="col"/>
        <c:grouping val="clustered"/>
        <c:varyColors val="0"/>
        <c:ser>
          <c:idx val="3"/>
          <c:order val="0"/>
          <c:tx>
            <c:v>PE N-1</c:v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'Indicateur Cde CCE B'!$AL$62:$AW$62</c:f>
              <c:numCache>
                <c:formatCode>General</c:formatCode>
                <c:ptCount val="12"/>
              </c:numCache>
            </c:numRef>
          </c:cat>
          <c:val>
            <c:numRef>
              <c:f>Recap_cde_B!$S$65:$S$76</c:f>
              <c:numCache>
                <c:formatCode>General</c:formatCode>
                <c:ptCount val="12"/>
                <c:pt idx="0">
                  <c:v>78</c:v>
                </c:pt>
                <c:pt idx="1">
                  <c:v>58</c:v>
                </c:pt>
                <c:pt idx="2">
                  <c:v>74</c:v>
                </c:pt>
                <c:pt idx="3">
                  <c:v>71</c:v>
                </c:pt>
                <c:pt idx="4">
                  <c:v>59</c:v>
                </c:pt>
                <c:pt idx="5">
                  <c:v>70</c:v>
                </c:pt>
                <c:pt idx="6">
                  <c:v>120</c:v>
                </c:pt>
                <c:pt idx="7">
                  <c:v>7</c:v>
                </c:pt>
                <c:pt idx="8">
                  <c:v>86</c:v>
                </c:pt>
                <c:pt idx="9">
                  <c:v>99</c:v>
                </c:pt>
                <c:pt idx="10">
                  <c:v>57</c:v>
                </c:pt>
                <c:pt idx="11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1530832"/>
        <c:axId val="211531224"/>
      </c:barChart>
      <c:lineChart>
        <c:grouping val="standard"/>
        <c:varyColors val="0"/>
        <c:ser>
          <c:idx val="0"/>
          <c:order val="1"/>
          <c:tx>
            <c:v>PE N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Recap_cde_B!$I$65:$I$76</c:f>
              <c:numCache>
                <c:formatCode>General</c:formatCode>
                <c:ptCount val="12"/>
                <c:pt idx="0">
                  <c:v>80</c:v>
                </c:pt>
                <c:pt idx="1">
                  <c:v>108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530832"/>
        <c:axId val="211531224"/>
      </c:lineChart>
      <c:catAx>
        <c:axId val="21153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531224"/>
        <c:crosses val="autoZero"/>
        <c:auto val="1"/>
        <c:lblAlgn val="ctr"/>
        <c:lblOffset val="100"/>
        <c:noMultiLvlLbl val="0"/>
      </c:catAx>
      <c:valAx>
        <c:axId val="211531224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153083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997230294666775"/>
          <c:y val="5.3080568720379147E-2"/>
          <c:w val="0.47478074519035635"/>
          <c:h val="7.08691271410978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B'!$B$55:$F$55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cat>
          <c:val>
            <c:numRef>
              <c:f>'Indicateur Cde CCE B'!$B$56:$F$56</c:f>
              <c:numCache>
                <c:formatCode>General</c:formatCode>
                <c:ptCount val="5"/>
                <c:pt idx="0">
                  <c:v>384</c:v>
                </c:pt>
                <c:pt idx="1">
                  <c:v>356</c:v>
                </c:pt>
                <c:pt idx="2">
                  <c:v>238</c:v>
                </c:pt>
                <c:pt idx="3">
                  <c:v>264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531616"/>
        <c:axId val="1307969904"/>
      </c:lineChart>
      <c:catAx>
        <c:axId val="21153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7969904"/>
        <c:crosses val="autoZero"/>
        <c:auto val="1"/>
        <c:lblAlgn val="ctr"/>
        <c:lblOffset val="100"/>
        <c:noMultiLvlLbl val="0"/>
      </c:catAx>
      <c:valAx>
        <c:axId val="130796990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1531616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B'!$P$55:$T$55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B'!$I$56:$M$56</c:f>
              <c:numCache>
                <c:formatCode>General</c:formatCode>
                <c:ptCount val="5"/>
                <c:pt idx="0">
                  <c:v>7</c:v>
                </c:pt>
                <c:pt idx="1">
                  <c:v>8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7969120"/>
        <c:axId val="1307970296"/>
      </c:lineChart>
      <c:catAx>
        <c:axId val="130796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7970296"/>
        <c:crosses val="autoZero"/>
        <c:auto val="1"/>
        <c:lblAlgn val="ctr"/>
        <c:lblOffset val="100"/>
        <c:noMultiLvlLbl val="0"/>
      </c:catAx>
      <c:valAx>
        <c:axId val="1307970296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7969120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B'!$P$55:$T$55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B'!$P$56:$T$56</c:f>
              <c:numCache>
                <c:formatCode>General</c:formatCode>
                <c:ptCount val="5"/>
                <c:pt idx="0">
                  <c:v>15</c:v>
                </c:pt>
                <c:pt idx="1">
                  <c:v>17</c:v>
                </c:pt>
                <c:pt idx="2">
                  <c:v>12</c:v>
                </c:pt>
                <c:pt idx="3">
                  <c:v>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7971080"/>
        <c:axId val="1307969512"/>
      </c:lineChart>
      <c:catAx>
        <c:axId val="1307971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7969512"/>
        <c:crosses val="autoZero"/>
        <c:auto val="1"/>
        <c:lblAlgn val="ctr"/>
        <c:lblOffset val="100"/>
        <c:noMultiLvlLbl val="0"/>
      </c:catAx>
      <c:valAx>
        <c:axId val="1307969512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7971080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83050498191134"/>
          <c:y val="6.1985192149488763E-2"/>
          <c:w val="0.76569146624485285"/>
          <c:h val="0.75910854181202037"/>
        </c:manualLayout>
      </c:layout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B'!$W$55:$AA$55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B'!$W$56:$AA$56</c:f>
              <c:numCache>
                <c:formatCode>General</c:formatCode>
                <c:ptCount val="5"/>
                <c:pt idx="0">
                  <c:v>24</c:v>
                </c:pt>
                <c:pt idx="1">
                  <c:v>26</c:v>
                </c:pt>
                <c:pt idx="2">
                  <c:v>36</c:v>
                </c:pt>
                <c:pt idx="3">
                  <c:v>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7968336"/>
        <c:axId val="1307968728"/>
      </c:lineChart>
      <c:catAx>
        <c:axId val="130796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7968728"/>
        <c:crosses val="autoZero"/>
        <c:auto val="1"/>
        <c:lblAlgn val="ctr"/>
        <c:lblOffset val="100"/>
        <c:noMultiLvlLbl val="0"/>
      </c:catAx>
      <c:valAx>
        <c:axId val="1307968728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7968336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1"/>
          <c:tx>
            <c:v>Global N-1</c:v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'Indicateur Cde CCE B'!$AD$54:$AH$54</c:f>
              <c:numCache>
                <c:formatCode>General</c:formatCode>
                <c:ptCount val="5"/>
                <c:pt idx="0">
                  <c:v>226</c:v>
                </c:pt>
                <c:pt idx="1">
                  <c:v>214</c:v>
                </c:pt>
                <c:pt idx="2">
                  <c:v>161</c:v>
                </c:pt>
                <c:pt idx="3">
                  <c:v>321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778176"/>
        <c:axId val="216775824"/>
      </c:barChart>
      <c:lineChart>
        <c:grouping val="standard"/>
        <c:varyColors val="0"/>
        <c:ser>
          <c:idx val="3"/>
          <c:order val="0"/>
          <c:tx>
            <c:v>Global N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B'!$AD$55:$AH$55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B'!$AD$56:$AH$56</c:f>
              <c:numCache>
                <c:formatCode>General</c:formatCode>
                <c:ptCount val="5"/>
                <c:pt idx="0">
                  <c:v>430</c:v>
                </c:pt>
                <c:pt idx="1">
                  <c:v>407</c:v>
                </c:pt>
                <c:pt idx="2">
                  <c:v>286</c:v>
                </c:pt>
                <c:pt idx="3">
                  <c:v>299</c:v>
                </c:pt>
                <c:pt idx="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778176"/>
        <c:axId val="216775824"/>
      </c:lineChart>
      <c:catAx>
        <c:axId val="21677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775824"/>
        <c:crosses val="autoZero"/>
        <c:auto val="1"/>
        <c:lblAlgn val="ctr"/>
        <c:lblOffset val="100"/>
        <c:noMultiLvlLbl val="0"/>
      </c:catAx>
      <c:valAx>
        <c:axId val="216775824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6778176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4708015678843531"/>
          <c:y val="0.10392902408111533"/>
          <c:w val="0.59807917852237724"/>
          <c:h val="4.7380816941608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9394439831753E-2"/>
          <c:y val="3.3795332678671464E-2"/>
          <c:w val="0.92899561135391096"/>
          <c:h val="0.85360478628983183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chemeClr val="accent2">
                <a:tint val="86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Recap_cde_A!$AC$65:$AC$76</c:f>
            </c:numRef>
          </c:val>
        </c:ser>
        <c:ser>
          <c:idx val="3"/>
          <c:order val="1"/>
          <c:tx>
            <c:v>2019</c:v>
          </c:tx>
          <c:spPr>
            <a:solidFill>
              <a:schemeClr val="accent2">
                <a:shade val="58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Recap_cde_A!$S$65:$S$76</c:f>
              <c:numCache>
                <c:formatCode>General</c:formatCode>
                <c:ptCount val="12"/>
                <c:pt idx="0">
                  <c:v>1492</c:v>
                </c:pt>
                <c:pt idx="1">
                  <c:v>1090</c:v>
                </c:pt>
                <c:pt idx="2">
                  <c:v>1234</c:v>
                </c:pt>
                <c:pt idx="3">
                  <c:v>1700</c:v>
                </c:pt>
                <c:pt idx="4">
                  <c:v>1202</c:v>
                </c:pt>
                <c:pt idx="5">
                  <c:v>1297</c:v>
                </c:pt>
                <c:pt idx="6">
                  <c:v>1463</c:v>
                </c:pt>
                <c:pt idx="7">
                  <c:v>285</c:v>
                </c:pt>
                <c:pt idx="8">
                  <c:v>1508</c:v>
                </c:pt>
                <c:pt idx="9">
                  <c:v>1257</c:v>
                </c:pt>
                <c:pt idx="10">
                  <c:v>1216</c:v>
                </c:pt>
                <c:pt idx="11">
                  <c:v>1005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776216"/>
        <c:axId val="216777000"/>
      </c:barChart>
      <c:lineChart>
        <c:grouping val="standard"/>
        <c:varyColors val="0"/>
        <c:ser>
          <c:idx val="0"/>
          <c:order val="2"/>
          <c:tx>
            <c:v>2020</c:v>
          </c:tx>
          <c:spPr>
            <a:ln w="28575" cap="rnd">
              <a:solidFill>
                <a:schemeClr val="accent2">
                  <a:tint val="58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Recap_cde_A!$G$65:$G$76</c:f>
              <c:numCache>
                <c:formatCode>General</c:formatCode>
                <c:ptCount val="12"/>
                <c:pt idx="0">
                  <c:v>1139</c:v>
                </c:pt>
                <c:pt idx="1">
                  <c:v>1269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776216"/>
        <c:axId val="216777000"/>
      </c:lineChart>
      <c:catAx>
        <c:axId val="216776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777000"/>
        <c:crosses val="autoZero"/>
        <c:auto val="1"/>
        <c:lblAlgn val="ctr"/>
        <c:lblOffset val="100"/>
        <c:noMultiLvlLbl val="0"/>
      </c:catAx>
      <c:valAx>
        <c:axId val="216777000"/>
        <c:scaling>
          <c:orientation val="minMax"/>
          <c:max val="2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6776216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2082780266603405"/>
          <c:y val="7.0628190915144148E-2"/>
          <c:w val="0.29660992144232262"/>
          <c:h val="6.067821458264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7915822047988"/>
          <c:y val="4.2116003090941566E-2"/>
          <c:w val="0.87442428931149785"/>
          <c:h val="0.84929643590121928"/>
        </c:manualLayout>
      </c:layout>
      <c:barChart>
        <c:barDir val="col"/>
        <c:grouping val="clustered"/>
        <c:varyColors val="0"/>
        <c:ser>
          <c:idx val="1"/>
          <c:order val="0"/>
          <c:tx>
            <c:v>2018</c:v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Recap_cde_A!$AB$65:$AB$76</c:f>
            </c:numRef>
          </c:val>
        </c:ser>
        <c:ser>
          <c:idx val="0"/>
          <c:order val="1"/>
          <c:tx>
            <c:v>2019</c:v>
          </c:tx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Recap_cde_A!$R$65:$R$76</c:f>
              <c:numCache>
                <c:formatCode>0</c:formatCode>
                <c:ptCount val="12"/>
                <c:pt idx="0" formatCode="General">
                  <c:v>179</c:v>
                </c:pt>
                <c:pt idx="1">
                  <c:v>158</c:v>
                </c:pt>
                <c:pt idx="2">
                  <c:v>155</c:v>
                </c:pt>
                <c:pt idx="3" formatCode="General">
                  <c:v>143</c:v>
                </c:pt>
                <c:pt idx="4" formatCode="General">
                  <c:v>147</c:v>
                </c:pt>
                <c:pt idx="5" formatCode="General">
                  <c:v>160</c:v>
                </c:pt>
                <c:pt idx="6" formatCode="General">
                  <c:v>209</c:v>
                </c:pt>
                <c:pt idx="7" formatCode="General">
                  <c:v>25</c:v>
                </c:pt>
                <c:pt idx="8" formatCode="General">
                  <c:v>200</c:v>
                </c:pt>
                <c:pt idx="9" formatCode="General">
                  <c:v>156</c:v>
                </c:pt>
                <c:pt idx="10" formatCode="General">
                  <c:v>127</c:v>
                </c:pt>
                <c:pt idx="11" formatCode="General">
                  <c:v>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776608"/>
        <c:axId val="216778960"/>
      </c:barChart>
      <c:lineChart>
        <c:grouping val="standard"/>
        <c:varyColors val="0"/>
        <c:ser>
          <c:idx val="2"/>
          <c:order val="2"/>
          <c:tx>
            <c:v>2020</c:v>
          </c:tx>
          <c:spPr>
            <a:ln w="28575" cap="rnd">
              <a:solidFill>
                <a:schemeClr val="accent6">
                  <a:tint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tint val="86000"/>
                </a:schemeClr>
              </a:solidFill>
              <a:ln w="9525">
                <a:solidFill>
                  <a:schemeClr val="accent6">
                    <a:tint val="86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Recap_cde_A!$F$65:$F$76</c:f>
              <c:numCache>
                <c:formatCode>General</c:formatCode>
                <c:ptCount val="12"/>
                <c:pt idx="0">
                  <c:v>135</c:v>
                </c:pt>
                <c:pt idx="1">
                  <c:v>133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776608"/>
        <c:axId val="216778960"/>
      </c:lineChart>
      <c:catAx>
        <c:axId val="216776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778960"/>
        <c:crosses val="autoZero"/>
        <c:auto val="1"/>
        <c:lblAlgn val="ctr"/>
        <c:lblOffset val="100"/>
        <c:noMultiLvlLbl val="0"/>
      </c:catAx>
      <c:valAx>
        <c:axId val="216778960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16776608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573545985070243"/>
          <c:y val="5.5447246224847944E-2"/>
          <c:w val="0.60456864006784228"/>
          <c:h val="6.08849481549048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bsa N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</c:v>
              </c:pt>
              <c:pt idx="1">
                <c:v>F</c:v>
              </c:pt>
              <c:pt idx="2">
                <c:v>M</c:v>
              </c:pt>
              <c:pt idx="3">
                <c:v>A</c:v>
              </c:pt>
              <c:pt idx="4">
                <c:v>M</c:v>
              </c:pt>
              <c:pt idx="5">
                <c:v>J</c:v>
              </c:pt>
              <c:pt idx="6">
                <c:v>J</c:v>
              </c:pt>
              <c:pt idx="7">
                <c:v>A</c:v>
              </c:pt>
              <c:pt idx="8">
                <c:v>S</c:v>
              </c:pt>
              <c:pt idx="9">
                <c:v>O</c:v>
              </c:pt>
              <c:pt idx="10">
                <c:v>N</c:v>
              </c:pt>
              <c:pt idx="11">
                <c:v>D</c:v>
              </c:pt>
            </c:strLit>
          </c:cat>
          <c:val>
            <c:numRef>
              <c:f>Recap_cde_A!$H$65:$H$76</c:f>
              <c:numCache>
                <c:formatCode>General</c:formatCode>
                <c:ptCount val="12"/>
                <c:pt idx="0">
                  <c:v>716</c:v>
                </c:pt>
                <c:pt idx="1">
                  <c:v>866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25624"/>
        <c:axId val="235028368"/>
      </c:lineChart>
      <c:catAx>
        <c:axId val="235025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28368"/>
        <c:crosses val="autoZero"/>
        <c:auto val="1"/>
        <c:lblAlgn val="ctr"/>
        <c:lblOffset val="100"/>
        <c:noMultiLvlLbl val="0"/>
      </c:catAx>
      <c:valAx>
        <c:axId val="235028368"/>
        <c:scaling>
          <c:orientation val="minMax"/>
          <c:max val="1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25624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4670119327867521"/>
          <c:y val="0.13470227615027258"/>
          <c:w val="0.22634837361912891"/>
          <c:h val="6.31301110298517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4.7229465984998317E-2"/>
          <c:w val="0.76629531617826119"/>
          <c:h val="0.81556950404896067"/>
        </c:manualLayout>
      </c:layout>
      <c:lineChart>
        <c:grouping val="standard"/>
        <c:varyColors val="0"/>
        <c:ser>
          <c:idx val="3"/>
          <c:order val="0"/>
          <c:tx>
            <c:strRef>
              <c:f>Recap_cde_A!$I$64</c:f>
              <c:strCache>
                <c:ptCount val="1"/>
                <c:pt idx="0">
                  <c:v>ind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</c:v>
              </c:pt>
              <c:pt idx="1">
                <c:v>F</c:v>
              </c:pt>
              <c:pt idx="2">
                <c:v>M</c:v>
              </c:pt>
              <c:pt idx="3">
                <c:v>A</c:v>
              </c:pt>
              <c:pt idx="4">
                <c:v>M</c:v>
              </c:pt>
              <c:pt idx="5">
                <c:v>J</c:v>
              </c:pt>
              <c:pt idx="6">
                <c:v>J</c:v>
              </c:pt>
              <c:pt idx="7">
                <c:v>A</c:v>
              </c:pt>
              <c:pt idx="8">
                <c:v>S</c:v>
              </c:pt>
              <c:pt idx="9">
                <c:v>O</c:v>
              </c:pt>
              <c:pt idx="10">
                <c:v>N</c:v>
              </c:pt>
              <c:pt idx="11">
                <c:v>D</c:v>
              </c:pt>
            </c:strLit>
          </c:cat>
          <c:val>
            <c:numRef>
              <c:f>Recap_cde_A!$I$65:$I$76</c:f>
              <c:numCache>
                <c:formatCode>General</c:formatCode>
                <c:ptCount val="12"/>
                <c:pt idx="0">
                  <c:v>416</c:v>
                </c:pt>
                <c:pt idx="1">
                  <c:v>403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24840"/>
        <c:axId val="235029152"/>
      </c:lineChart>
      <c:catAx>
        <c:axId val="235024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29152"/>
        <c:crosses val="autoZero"/>
        <c:auto val="1"/>
        <c:lblAlgn val="ctr"/>
        <c:lblOffset val="100"/>
        <c:noMultiLvlLbl val="0"/>
      </c:catAx>
      <c:valAx>
        <c:axId val="235029152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24840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3890705414400523"/>
          <c:y val="5.6872037914691941E-2"/>
          <c:w val="0.17725054852407185"/>
          <c:h val="7.2874331111661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5.5507722657826671E-2"/>
          <c:w val="0.76629531617826119"/>
          <c:h val="0.80729120641600371"/>
        </c:manualLayout>
      </c:layout>
      <c:lineChart>
        <c:grouping val="standard"/>
        <c:varyColors val="0"/>
        <c:ser>
          <c:idx val="3"/>
          <c:order val="0"/>
          <c:tx>
            <c:strRef>
              <c:f>Recap_cde_A!$J$64</c:f>
              <c:strCache>
                <c:ptCount val="1"/>
                <c:pt idx="0">
                  <c:v>A&amp;B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</c:v>
              </c:pt>
              <c:pt idx="1">
                <c:v>F</c:v>
              </c:pt>
              <c:pt idx="2">
                <c:v>M</c:v>
              </c:pt>
              <c:pt idx="3">
                <c:v>A</c:v>
              </c:pt>
              <c:pt idx="4">
                <c:v>M</c:v>
              </c:pt>
              <c:pt idx="5">
                <c:v>J</c:v>
              </c:pt>
              <c:pt idx="6">
                <c:v>J</c:v>
              </c:pt>
              <c:pt idx="7">
                <c:v>A</c:v>
              </c:pt>
              <c:pt idx="8">
                <c:v>S</c:v>
              </c:pt>
              <c:pt idx="9">
                <c:v>O</c:v>
              </c:pt>
              <c:pt idx="10">
                <c:v>N</c:v>
              </c:pt>
              <c:pt idx="11">
                <c:v>D</c:v>
              </c:pt>
            </c:strLit>
          </c:cat>
          <c:val>
            <c:numRef>
              <c:f>Recap_cde_A!$K$65:$K$76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27584"/>
        <c:axId val="235029544"/>
      </c:lineChart>
      <c:catAx>
        <c:axId val="23502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29544"/>
        <c:crosses val="autoZero"/>
        <c:auto val="1"/>
        <c:lblAlgn val="ctr"/>
        <c:lblOffset val="100"/>
        <c:noMultiLvlLbl val="0"/>
      </c:catAx>
      <c:valAx>
        <c:axId val="235029544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2758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485769948859484"/>
          <c:y val="6.4454995545768723E-2"/>
          <c:w val="0.19053012464384367"/>
          <c:h val="6.5791832644861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834385907947074"/>
          <c:y val="4.4133298503563831E-2"/>
          <c:w val="0.76629531617826119"/>
          <c:h val="0.81866567153039516"/>
        </c:manualLayout>
      </c:layout>
      <c:lineChart>
        <c:grouping val="standard"/>
        <c:varyColors val="0"/>
        <c:ser>
          <c:idx val="3"/>
          <c:order val="0"/>
          <c:tx>
            <c:strRef>
              <c:f>Recap_cde_A!$K$64</c:f>
              <c:strCache>
                <c:ptCount val="1"/>
                <c:pt idx="0">
                  <c:v>filiales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</c:v>
              </c:pt>
              <c:pt idx="1">
                <c:v>F</c:v>
              </c:pt>
              <c:pt idx="2">
                <c:v>M</c:v>
              </c:pt>
              <c:pt idx="3">
                <c:v>A</c:v>
              </c:pt>
              <c:pt idx="4">
                <c:v>M</c:v>
              </c:pt>
              <c:pt idx="5">
                <c:v>J</c:v>
              </c:pt>
              <c:pt idx="6">
                <c:v>J</c:v>
              </c:pt>
              <c:pt idx="7">
                <c:v>A</c:v>
              </c:pt>
              <c:pt idx="8">
                <c:v>S</c:v>
              </c:pt>
              <c:pt idx="9">
                <c:v>O</c:v>
              </c:pt>
              <c:pt idx="10">
                <c:v>N</c:v>
              </c:pt>
              <c:pt idx="11">
                <c:v>D</c:v>
              </c:pt>
            </c:strLit>
          </c:cat>
          <c:val>
            <c:numRef>
              <c:f>Recap_cde_A!$K$65:$K$76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31112"/>
        <c:axId val="235031504"/>
      </c:lineChart>
      <c:catAx>
        <c:axId val="235031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31504"/>
        <c:crosses val="autoZero"/>
        <c:auto val="1"/>
        <c:lblAlgn val="ctr"/>
        <c:lblOffset val="100"/>
        <c:noMultiLvlLbl val="0"/>
      </c:catAx>
      <c:valAx>
        <c:axId val="235031504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31112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324068512054554"/>
          <c:y val="4.5497630331753552E-2"/>
          <c:w val="0.2240019856530972"/>
          <c:h val="6.57918124475626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FFF00"/>
                </a:solidFill>
              </a:ln>
              <a:effectLst/>
            </c:spPr>
          </c:marker>
          <c:cat>
            <c:numRef>
              <c:f>'Indicateur Cde CCE A'!$B$55:$F$55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cat>
          <c:val>
            <c:numRef>
              <c:f>'Indicateur Cde CCE A'!$B$56:$F$56</c:f>
              <c:numCache>
                <c:formatCode>General</c:formatCode>
                <c:ptCount val="5"/>
                <c:pt idx="0">
                  <c:v>220</c:v>
                </c:pt>
                <c:pt idx="1">
                  <c:v>248</c:v>
                </c:pt>
                <c:pt idx="2">
                  <c:v>209</c:v>
                </c:pt>
                <c:pt idx="3">
                  <c:v>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031896"/>
        <c:axId val="235030720"/>
      </c:lineChart>
      <c:catAx>
        <c:axId val="235031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30720"/>
        <c:crosses val="autoZero"/>
        <c:auto val="1"/>
        <c:lblAlgn val="ctr"/>
        <c:lblOffset val="100"/>
        <c:noMultiLvlLbl val="0"/>
      </c:catAx>
      <c:valAx>
        <c:axId val="235030720"/>
        <c:scaling>
          <c:orientation val="minMax"/>
          <c:max val="3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31896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A'!$I$55:$M$55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A'!$I$56:$M$56</c:f>
              <c:numCache>
                <c:formatCode>General</c:formatCode>
                <c:ptCount val="5"/>
                <c:pt idx="0">
                  <c:v>86</c:v>
                </c:pt>
                <c:pt idx="1">
                  <c:v>110</c:v>
                </c:pt>
                <c:pt idx="2">
                  <c:v>84</c:v>
                </c:pt>
                <c:pt idx="3">
                  <c:v>123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26800"/>
        <c:axId val="235025232"/>
      </c:lineChart>
      <c:catAx>
        <c:axId val="23502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25232"/>
        <c:crosses val="autoZero"/>
        <c:auto val="1"/>
        <c:lblAlgn val="ctr"/>
        <c:lblOffset val="100"/>
        <c:noMultiLvlLbl val="0"/>
      </c:catAx>
      <c:valAx>
        <c:axId val="235025232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26800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A'!$P$55:$T$55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A'!$P$56:$T$56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5026408"/>
        <c:axId val="235027976"/>
      </c:lineChart>
      <c:catAx>
        <c:axId val="235026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27976"/>
        <c:crosses val="autoZero"/>
        <c:auto val="1"/>
        <c:lblAlgn val="ctr"/>
        <c:lblOffset val="100"/>
        <c:noMultiLvlLbl val="0"/>
      </c:catAx>
      <c:valAx>
        <c:axId val="235027976"/>
        <c:scaling>
          <c:orientation val="minMax"/>
          <c:max val="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235026408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3"/>
          <c:order val="0"/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A'!$W$55:$AA$55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A'!$W$56:$AA$56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1537440"/>
        <c:axId val="1301539400"/>
      </c:lineChart>
      <c:catAx>
        <c:axId val="130153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9400"/>
        <c:crosses val="autoZero"/>
        <c:auto val="1"/>
        <c:lblAlgn val="ctr"/>
        <c:lblOffset val="100"/>
        <c:noMultiLvlLbl val="0"/>
      </c:catAx>
      <c:valAx>
        <c:axId val="1301539400"/>
        <c:scaling>
          <c:orientation val="minMax"/>
          <c:max val="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1537440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1"/>
          <c:tx>
            <c:v>2019</c:v>
          </c:tx>
          <c:spPr>
            <a:solidFill>
              <a:srgbClr val="FF7575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'Indicateur Cde CCE A'!$AD$54:$AH$54</c:f>
              <c:numCache>
                <c:formatCode>General</c:formatCode>
                <c:ptCount val="5"/>
                <c:pt idx="0">
                  <c:v>235</c:v>
                </c:pt>
                <c:pt idx="1">
                  <c:v>294</c:v>
                </c:pt>
                <c:pt idx="2">
                  <c:v>234</c:v>
                </c:pt>
                <c:pt idx="3">
                  <c:v>327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1534304"/>
        <c:axId val="1301537832"/>
      </c:barChart>
      <c:lineChart>
        <c:grouping val="standard"/>
        <c:varyColors val="0"/>
        <c:ser>
          <c:idx val="3"/>
          <c:order val="0"/>
          <c:tx>
            <c:v>2020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Cde CCE A'!$W$55:$AA$55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0</c:v>
                </c:pt>
              </c:numCache>
            </c:numRef>
          </c:cat>
          <c:val>
            <c:numRef>
              <c:f>'Indicateur Cde CCE A'!$AD$56:$AH$56</c:f>
              <c:numCache>
                <c:formatCode>General</c:formatCode>
                <c:ptCount val="5"/>
                <c:pt idx="0">
                  <c:v>306</c:v>
                </c:pt>
                <c:pt idx="1">
                  <c:v>358</c:v>
                </c:pt>
                <c:pt idx="2">
                  <c:v>293</c:v>
                </c:pt>
                <c:pt idx="3">
                  <c:v>312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534304"/>
        <c:axId val="1301537832"/>
      </c:lineChart>
      <c:catAx>
        <c:axId val="130153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7832"/>
        <c:crosses val="autoZero"/>
        <c:auto val="1"/>
        <c:lblAlgn val="ctr"/>
        <c:lblOffset val="100"/>
        <c:noMultiLvlLbl val="0"/>
      </c:catAx>
      <c:valAx>
        <c:axId val="1301537832"/>
        <c:scaling>
          <c:orientation val="minMax"/>
          <c:max val="4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1534304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5869436533199309E-2"/>
          <c:y val="1.8509383866814045E-2"/>
          <c:w val="0.8994312280113923"/>
          <c:h val="0.93099946443018788"/>
        </c:manualLayout>
      </c:layout>
      <c:barChart>
        <c:barDir val="col"/>
        <c:grouping val="clustered"/>
        <c:varyColors val="0"/>
        <c:ser>
          <c:idx val="0"/>
          <c:order val="0"/>
          <c:tx>
            <c:v>NB DEVIS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'Récap devis'!$C$65:$C$76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'Récap devis'!$J$65:$J$76</c:f>
              <c:numCache>
                <c:formatCode>General</c:formatCode>
                <c:ptCount val="12"/>
                <c:pt idx="0">
                  <c:v>1302</c:v>
                </c:pt>
                <c:pt idx="1">
                  <c:v>1233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1538224"/>
        <c:axId val="1301537048"/>
      </c:barChart>
      <c:lineChart>
        <c:grouping val="standard"/>
        <c:varyColors val="0"/>
        <c:ser>
          <c:idx val="1"/>
          <c:order val="1"/>
          <c:tx>
            <c:v>RETARD DEVIS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'Récap devis'!$C$65:$C$76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'Récap devis'!#REF!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538224"/>
        <c:axId val="1301537048"/>
      </c:lineChart>
      <c:lineChart>
        <c:grouping val="standard"/>
        <c:varyColors val="0"/>
        <c:ser>
          <c:idx val="2"/>
          <c:order val="2"/>
          <c:tx>
            <c:v>NB MENUISERIE</c:v>
          </c:tx>
          <c:spPr>
            <a:ln w="381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'Récap devis'!$C$65:$C$76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'Récap devis'!$K$65:$K$76</c:f>
              <c:numCache>
                <c:formatCode>General</c:formatCode>
                <c:ptCount val="12"/>
                <c:pt idx="0">
                  <c:v>7005</c:v>
                </c:pt>
                <c:pt idx="1">
                  <c:v>7309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539008"/>
        <c:axId val="1301538616"/>
      </c:lineChart>
      <c:dateAx>
        <c:axId val="130153822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7048"/>
        <c:crosses val="autoZero"/>
        <c:auto val="1"/>
        <c:lblOffset val="100"/>
        <c:baseTimeUnit val="months"/>
      </c:dateAx>
      <c:valAx>
        <c:axId val="1301537048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1538224"/>
        <c:crosses val="autoZero"/>
        <c:crossBetween val="between"/>
        <c:majorUnit val="50"/>
      </c:valAx>
      <c:valAx>
        <c:axId val="1301538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9008"/>
        <c:crosses val="max"/>
        <c:crossBetween val="between"/>
        <c:majorUnit val="500"/>
      </c:valAx>
      <c:dateAx>
        <c:axId val="130153900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1301538616"/>
        <c:crosses val="autoZero"/>
        <c:auto val="1"/>
        <c:lblOffset val="100"/>
        <c:baseTimeUnit val="months"/>
      </c:dateAx>
      <c:spPr>
        <a:noFill/>
        <a:ln w="25400">
          <a:noFill/>
        </a:ln>
        <a:effectLst/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25894002088901341"/>
          <c:y val="3.3662288985542549E-2"/>
          <c:w val="0.23132959961837302"/>
          <c:h val="0.119971466663627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3289993929187"/>
          <c:y val="3.9952759626568385E-2"/>
          <c:w val="0.71966287684107688"/>
          <c:h val="0.86212935791486123"/>
        </c:manualLayout>
      </c:layout>
      <c:barChart>
        <c:barDir val="col"/>
        <c:grouping val="clustered"/>
        <c:varyColors val="0"/>
        <c:ser>
          <c:idx val="1"/>
          <c:order val="2"/>
          <c:tx>
            <c:v>Devis hedo</c:v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'Indicateur devis CCE'!$S$67:$V$67</c:f>
              <c:numCache>
                <c:formatCode>General</c:formatCode>
                <c:ptCount val="4"/>
                <c:pt idx="0">
                  <c:v>314</c:v>
                </c:pt>
                <c:pt idx="1">
                  <c:v>343</c:v>
                </c:pt>
                <c:pt idx="2">
                  <c:v>299</c:v>
                </c:pt>
                <c:pt idx="3">
                  <c:v>277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1533912"/>
        <c:axId val="1301533520"/>
      </c:barChart>
      <c:lineChart>
        <c:grouping val="standard"/>
        <c:varyColors val="0"/>
        <c:ser>
          <c:idx val="3"/>
          <c:order val="0"/>
          <c:tx>
            <c:v>Devis du mois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'Indicateur devis CCE'!$S$66:$V$66</c:f>
              <c:numCache>
                <c:formatCode>General</c:formatCode>
                <c:ptCount val="4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cat>
          <c:val>
            <c:numRef>
              <c:f>'Indicateur devis CCE'!$S$69:$V$69</c:f>
              <c:numCache>
                <c:formatCode>General</c:formatCode>
                <c:ptCount val="4"/>
                <c:pt idx="0">
                  <c:v>314</c:v>
                </c:pt>
                <c:pt idx="1">
                  <c:v>657</c:v>
                </c:pt>
                <c:pt idx="2">
                  <c:v>956</c:v>
                </c:pt>
                <c:pt idx="3">
                  <c:v>1233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535872"/>
        <c:axId val="1301536264"/>
      </c:lineChart>
      <c:lineChart>
        <c:grouping val="standard"/>
        <c:varyColors val="0"/>
        <c:ser>
          <c:idx val="0"/>
          <c:order val="1"/>
          <c:tx>
            <c:v>retard devis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'Indicateur devis CCE'!$S$71:$V$71</c:f>
              <c:numCache>
                <c:formatCode>General</c:formatCode>
                <c:ptCount val="4"/>
                <c:pt idx="0">
                  <c:v>40</c:v>
                </c:pt>
                <c:pt idx="1">
                  <c:v>61</c:v>
                </c:pt>
                <c:pt idx="2">
                  <c:v>69</c:v>
                </c:pt>
                <c:pt idx="3">
                  <c:v>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533912"/>
        <c:axId val="1301533520"/>
      </c:lineChart>
      <c:catAx>
        <c:axId val="130153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6264"/>
        <c:crosses val="autoZero"/>
        <c:auto val="1"/>
        <c:lblAlgn val="ctr"/>
        <c:lblOffset val="100"/>
        <c:noMultiLvlLbl val="0"/>
      </c:catAx>
      <c:valAx>
        <c:axId val="1301536264"/>
        <c:scaling>
          <c:orientation val="minMax"/>
          <c:max val="1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rgbClr val="2248C2"/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1301535872"/>
        <c:crosses val="autoZero"/>
        <c:crossBetween val="between"/>
        <c:majorUnit val="100"/>
      </c:valAx>
      <c:valAx>
        <c:axId val="1301533520"/>
        <c:scaling>
          <c:orientation val="minMax"/>
          <c:max val="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bg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3912"/>
        <c:crosses val="max"/>
        <c:crossBetween val="between"/>
      </c:valAx>
      <c:catAx>
        <c:axId val="1301533912"/>
        <c:scaling>
          <c:orientation val="minMax"/>
        </c:scaling>
        <c:delete val="1"/>
        <c:axPos val="b"/>
        <c:majorTickMark val="out"/>
        <c:minorTickMark val="none"/>
        <c:tickLblPos val="nextTo"/>
        <c:crossAx val="1301533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5250583744656041"/>
          <c:y val="7.280518800377464E-2"/>
          <c:w val="0.28353868350851252"/>
          <c:h val="0.173673511083198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ysClr val="windowText" lastClr="000000"/>
                </a:solidFill>
                <a:latin typeface="+mj-lt"/>
                <a:ea typeface="+mj-ea"/>
                <a:cs typeface="+mj-cs"/>
              </a:defRPr>
            </a:pPr>
            <a:r>
              <a:rPr lang="fr-FR" sz="2000" b="1">
                <a:solidFill>
                  <a:sysClr val="windowText" lastClr="000000"/>
                </a:solidFill>
              </a:rPr>
              <a:t>Evolution par matériaux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ysClr val="windowText" lastClr="000000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2020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FF99"/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1.385912904649735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9295645232486892E-3"/>
                  <c:y val="-1.11763888489208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1.385912904649737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'Indicateur graph cde_glob'!$I$67:$I$69</c:f>
              <c:strCache>
                <c:ptCount val="3"/>
                <c:pt idx="0">
                  <c:v>PVC</c:v>
                </c:pt>
                <c:pt idx="1">
                  <c:v>BOIS</c:v>
                </c:pt>
                <c:pt idx="2">
                  <c:v>ALU</c:v>
                </c:pt>
              </c:strCache>
            </c:strRef>
          </c:cat>
          <c:val>
            <c:numRef>
              <c:f>'Indicateur graph cde_glob'!$J$67:$J$69</c:f>
              <c:numCache>
                <c:formatCode>0</c:formatCode>
                <c:ptCount val="3"/>
                <c:pt idx="0">
                  <c:v>10571</c:v>
                </c:pt>
                <c:pt idx="1">
                  <c:v>2614</c:v>
                </c:pt>
                <c:pt idx="2">
                  <c:v>2676</c:v>
                </c:pt>
              </c:numCache>
            </c:numRef>
          </c:val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solidFill>
                  <a:sysClr val="windowText" lastClr="000000"/>
                </a:solidFill>
              </a:ln>
              <a:effectLst/>
            </c:spPr>
          </c:dPt>
          <c:cat>
            <c:strRef>
              <c:f>'Indicateur graph cde_glob'!$I$67:$I$69</c:f>
              <c:strCache>
                <c:ptCount val="3"/>
                <c:pt idx="0">
                  <c:v>PVC</c:v>
                </c:pt>
                <c:pt idx="1">
                  <c:v>BOIS</c:v>
                </c:pt>
                <c:pt idx="2">
                  <c:v>ALU</c:v>
                </c:pt>
              </c:strCache>
            </c:strRef>
          </c:cat>
          <c:val>
            <c:numRef>
              <c:f>'Indicateur graph cde_glob'!$K$67:$K$69</c:f>
              <c:numCache>
                <c:formatCode>0</c:formatCode>
                <c:ptCount val="3"/>
                <c:pt idx="0">
                  <c:v>10036</c:v>
                </c:pt>
                <c:pt idx="1">
                  <c:v>2001</c:v>
                </c:pt>
                <c:pt idx="2">
                  <c:v>2919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1535088"/>
        <c:axId val="1301534696"/>
      </c:barChart>
      <c:catAx>
        <c:axId val="130153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4696"/>
        <c:crosses val="autoZero"/>
        <c:auto val="1"/>
        <c:lblAlgn val="ctr"/>
        <c:lblOffset val="100"/>
        <c:noMultiLvlLbl val="0"/>
      </c:catAx>
      <c:valAx>
        <c:axId val="1301534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153508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ysClr val="windowText" lastClr="000000"/>
                </a:solidFill>
                <a:latin typeface="+mj-lt"/>
                <a:ea typeface="+mj-ea"/>
                <a:cs typeface="+mj-cs"/>
              </a:defRPr>
            </a:pPr>
            <a:r>
              <a:rPr lang="fr-FR" sz="2000">
                <a:solidFill>
                  <a:sysClr val="windowText" lastClr="000000"/>
                </a:solidFill>
              </a:rPr>
              <a:t>Evolution globale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ysClr val="windowText" lastClr="000000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'Indicateur graph cde_glob'!$J$66:$K$66</c:f>
              <c:numCache>
                <c:formatCode>0</c:formatCode>
                <c:ptCount val="2"/>
                <c:pt idx="0">
                  <c:v>2020</c:v>
                </c:pt>
                <c:pt idx="1">
                  <c:v>2019</c:v>
                </c:pt>
              </c:numCache>
            </c:numRef>
          </c:cat>
          <c:val>
            <c:numRef>
              <c:f>'Indicateur graph cde_glob'!$J$70:$K$70</c:f>
              <c:numCache>
                <c:formatCode>0</c:formatCode>
                <c:ptCount val="2"/>
                <c:pt idx="0">
                  <c:v>15861</c:v>
                </c:pt>
                <c:pt idx="1">
                  <c:v>14956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3203024"/>
        <c:axId val="1313206944"/>
      </c:barChart>
      <c:catAx>
        <c:axId val="1313203024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3206944"/>
        <c:crosses val="autoZero"/>
        <c:auto val="1"/>
        <c:lblAlgn val="ctr"/>
        <c:lblOffset val="100"/>
        <c:noMultiLvlLbl val="0"/>
      </c:catAx>
      <c:valAx>
        <c:axId val="131320694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13203024"/>
        <c:crosses val="autoZero"/>
        <c:crossBetween val="between"/>
        <c:majorUnit val="1000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3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2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image" Target="../media/image2.png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image" Target="../media/image2.png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10" Type="http://schemas.openxmlformats.org/officeDocument/2006/relationships/chart" Target="../charts/chart21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2" Type="http://schemas.openxmlformats.org/officeDocument/2006/relationships/chart" Target="../charts/chart24.xml"/><Relationship Id="rId1" Type="http://schemas.openxmlformats.org/officeDocument/2006/relationships/image" Target="../media/image2.png"/><Relationship Id="rId6" Type="http://schemas.openxmlformats.org/officeDocument/2006/relationships/chart" Target="../charts/chart28.xml"/><Relationship Id="rId5" Type="http://schemas.openxmlformats.org/officeDocument/2006/relationships/chart" Target="../charts/chart27.xml"/><Relationship Id="rId10" Type="http://schemas.openxmlformats.org/officeDocument/2006/relationships/chart" Target="../charts/chart32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chart" Target="../charts/chart33.xml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6.xml"/><Relationship Id="rId2" Type="http://schemas.openxmlformats.org/officeDocument/2006/relationships/chart" Target="../charts/chart35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389660</xdr:colOff>
      <xdr:row>21</xdr:row>
      <xdr:rowOff>14431</xdr:rowOff>
    </xdr:from>
    <xdr:to>
      <xdr:col>15</xdr:col>
      <xdr:colOff>303068</xdr:colOff>
      <xdr:row>58</xdr:row>
      <xdr:rowOff>101022</xdr:rowOff>
    </xdr:to>
    <xdr:sp macro="" textlink="">
      <xdr:nvSpPr>
        <xdr:cNvPr id="3" name="Ellipse 2"/>
        <xdr:cNvSpPr/>
      </xdr:nvSpPr>
      <xdr:spPr>
        <a:xfrm>
          <a:off x="6451024" y="3723408"/>
          <a:ext cx="2049317" cy="4358409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Notre</a:t>
          </a:r>
          <a:r>
            <a:rPr lang="fr-FR" sz="1600" baseline="0">
              <a:solidFill>
                <a:sysClr val="windowText" lastClr="000000"/>
              </a:solidFill>
            </a:rPr>
            <a:t> meilleure performance </a:t>
          </a:r>
          <a:r>
            <a:rPr lang="fr-FR" sz="1100" baseline="0">
              <a:solidFill>
                <a:sysClr val="windowText" lastClr="000000"/>
              </a:solidFill>
            </a:rPr>
            <a:t>!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Année 2017 :</a:t>
          </a:r>
        </a:p>
        <a:p>
          <a:pPr algn="ctr"/>
          <a:endParaRPr lang="fr-FR" sz="1100"/>
        </a:p>
      </xdr:txBody>
    </xdr:sp>
    <xdr:clientData/>
  </xdr:twoCellAnchor>
  <xdr:twoCellAnchor editAs="oneCell">
    <xdr:from>
      <xdr:col>13</xdr:col>
      <xdr:colOff>432954</xdr:colOff>
      <xdr:row>35</xdr:row>
      <xdr:rowOff>14431</xdr:rowOff>
    </xdr:from>
    <xdr:to>
      <xdr:col>14</xdr:col>
      <xdr:colOff>682797</xdr:colOff>
      <xdr:row>47</xdr:row>
      <xdr:rowOff>28864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8409" y="5339772"/>
          <a:ext cx="1115752" cy="1399887"/>
        </a:xfrm>
        <a:prstGeom prst="rect">
          <a:avLst/>
        </a:prstGeom>
      </xdr:spPr>
    </xdr:pic>
    <xdr:clientData/>
  </xdr:twoCellAnchor>
  <xdr:twoCellAnchor editAs="oneCell">
    <xdr:from>
      <xdr:col>42</xdr:col>
      <xdr:colOff>115454</xdr:colOff>
      <xdr:row>0</xdr:row>
      <xdr:rowOff>72159</xdr:rowOff>
    </xdr:from>
    <xdr:to>
      <xdr:col>44</xdr:col>
      <xdr:colOff>363681</xdr:colOff>
      <xdr:row>4</xdr:row>
      <xdr:rowOff>334647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767386" y="72159"/>
          <a:ext cx="1056409" cy="10129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311728</xdr:colOff>
      <xdr:row>0</xdr:row>
      <xdr:rowOff>56284</xdr:rowOff>
    </xdr:from>
    <xdr:to>
      <xdr:col>23</xdr:col>
      <xdr:colOff>663864</xdr:colOff>
      <xdr:row>4</xdr:row>
      <xdr:rowOff>318772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1978" y="56284"/>
          <a:ext cx="1066511" cy="1024488"/>
        </a:xfrm>
        <a:prstGeom prst="rect">
          <a:avLst/>
        </a:prstGeom>
      </xdr:spPr>
    </xdr:pic>
    <xdr:clientData/>
  </xdr:twoCellAnchor>
  <xdr:twoCellAnchor>
    <xdr:from>
      <xdr:col>0</xdr:col>
      <xdr:colOff>1015999</xdr:colOff>
      <xdr:row>11</xdr:row>
      <xdr:rowOff>38099</xdr:rowOff>
    </xdr:from>
    <xdr:to>
      <xdr:col>14</xdr:col>
      <xdr:colOff>158749</xdr:colOff>
      <xdr:row>90</xdr:row>
      <xdr:rowOff>15874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561975</xdr:colOff>
      <xdr:row>0</xdr:row>
      <xdr:rowOff>24534</xdr:rowOff>
    </xdr:from>
    <xdr:to>
      <xdr:col>33</xdr:col>
      <xdr:colOff>387639</xdr:colOff>
      <xdr:row>4</xdr:row>
      <xdr:rowOff>184664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68575" y="24534"/>
          <a:ext cx="987714" cy="960230"/>
        </a:xfrm>
        <a:prstGeom prst="rect">
          <a:avLst/>
        </a:prstGeom>
      </xdr:spPr>
    </xdr:pic>
    <xdr:clientData/>
  </xdr:twoCellAnchor>
  <xdr:twoCellAnchor>
    <xdr:from>
      <xdr:col>0</xdr:col>
      <xdr:colOff>31751</xdr:colOff>
      <xdr:row>61</xdr:row>
      <xdr:rowOff>15876</xdr:rowOff>
    </xdr:from>
    <xdr:to>
      <xdr:col>6</xdr:col>
      <xdr:colOff>111126</xdr:colOff>
      <xdr:row>75</xdr:row>
      <xdr:rowOff>238126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61</xdr:row>
      <xdr:rowOff>0</xdr:rowOff>
    </xdr:from>
    <xdr:to>
      <xdr:col>13</xdr:col>
      <xdr:colOff>79375</xdr:colOff>
      <xdr:row>75</xdr:row>
      <xdr:rowOff>222250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61</xdr:row>
      <xdr:rowOff>0</xdr:rowOff>
    </xdr:from>
    <xdr:to>
      <xdr:col>20</xdr:col>
      <xdr:colOff>79375</xdr:colOff>
      <xdr:row>75</xdr:row>
      <xdr:rowOff>222250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0</xdr:colOff>
      <xdr:row>61</xdr:row>
      <xdr:rowOff>0</xdr:rowOff>
    </xdr:from>
    <xdr:to>
      <xdr:col>27</xdr:col>
      <xdr:colOff>79375</xdr:colOff>
      <xdr:row>75</xdr:row>
      <xdr:rowOff>222250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15875</xdr:colOff>
      <xdr:row>9</xdr:row>
      <xdr:rowOff>95250</xdr:rowOff>
    </xdr:from>
    <xdr:to>
      <xdr:col>6</xdr:col>
      <xdr:colOff>95250</xdr:colOff>
      <xdr:row>52</xdr:row>
      <xdr:rowOff>31751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206374</xdr:colOff>
      <xdr:row>9</xdr:row>
      <xdr:rowOff>95250</xdr:rowOff>
    </xdr:from>
    <xdr:to>
      <xdr:col>13</xdr:col>
      <xdr:colOff>63499</xdr:colOff>
      <xdr:row>52</xdr:row>
      <xdr:rowOff>31751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206374</xdr:colOff>
      <xdr:row>19</xdr:row>
      <xdr:rowOff>0</xdr:rowOff>
    </xdr:from>
    <xdr:to>
      <xdr:col>20</xdr:col>
      <xdr:colOff>63499</xdr:colOff>
      <xdr:row>52</xdr:row>
      <xdr:rowOff>31751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206374</xdr:colOff>
      <xdr:row>18</xdr:row>
      <xdr:rowOff>114299</xdr:rowOff>
    </xdr:from>
    <xdr:to>
      <xdr:col>27</xdr:col>
      <xdr:colOff>63499</xdr:colOff>
      <xdr:row>52</xdr:row>
      <xdr:rowOff>31750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28</xdr:col>
      <xdr:colOff>200024</xdr:colOff>
      <xdr:row>10</xdr:row>
      <xdr:rowOff>22226</xdr:rowOff>
    </xdr:from>
    <xdr:to>
      <xdr:col>33</xdr:col>
      <xdr:colOff>438149</xdr:colOff>
      <xdr:row>52</xdr:row>
      <xdr:rowOff>31751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311728</xdr:colOff>
      <xdr:row>0</xdr:row>
      <xdr:rowOff>56284</xdr:rowOff>
    </xdr:from>
    <xdr:to>
      <xdr:col>23</xdr:col>
      <xdr:colOff>663864</xdr:colOff>
      <xdr:row>4</xdr:row>
      <xdr:rowOff>318772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90453" y="56284"/>
          <a:ext cx="1066511" cy="1024488"/>
        </a:xfrm>
        <a:prstGeom prst="rect">
          <a:avLst/>
        </a:prstGeom>
      </xdr:spPr>
    </xdr:pic>
    <xdr:clientData/>
  </xdr:twoCellAnchor>
  <xdr:twoCellAnchor>
    <xdr:from>
      <xdr:col>0</xdr:col>
      <xdr:colOff>1015999</xdr:colOff>
      <xdr:row>9</xdr:row>
      <xdr:rowOff>57149</xdr:rowOff>
    </xdr:from>
    <xdr:to>
      <xdr:col>14</xdr:col>
      <xdr:colOff>158749</xdr:colOff>
      <xdr:row>90</xdr:row>
      <xdr:rowOff>15874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444501</xdr:colOff>
      <xdr:row>9</xdr:row>
      <xdr:rowOff>0</xdr:rowOff>
    </xdr:from>
    <xdr:to>
      <xdr:col>23</xdr:col>
      <xdr:colOff>650876</xdr:colOff>
      <xdr:row>90</xdr:row>
      <xdr:rowOff>31749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35718</xdr:colOff>
      <xdr:row>0</xdr:row>
      <xdr:rowOff>60253</xdr:rowOff>
    </xdr:from>
    <xdr:to>
      <xdr:col>33</xdr:col>
      <xdr:colOff>413832</xdr:colOff>
      <xdr:row>4</xdr:row>
      <xdr:rowOff>181188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2874" y="60253"/>
          <a:ext cx="961521" cy="930560"/>
        </a:xfrm>
        <a:prstGeom prst="rect">
          <a:avLst/>
        </a:prstGeom>
      </xdr:spPr>
    </xdr:pic>
    <xdr:clientData/>
  </xdr:twoCellAnchor>
  <xdr:twoCellAnchor>
    <xdr:from>
      <xdr:col>0</xdr:col>
      <xdr:colOff>31751</xdr:colOff>
      <xdr:row>60</xdr:row>
      <xdr:rowOff>15876</xdr:rowOff>
    </xdr:from>
    <xdr:to>
      <xdr:col>6</xdr:col>
      <xdr:colOff>111126</xdr:colOff>
      <xdr:row>74</xdr:row>
      <xdr:rowOff>238126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62</xdr:row>
      <xdr:rowOff>15874</xdr:rowOff>
    </xdr:from>
    <xdr:to>
      <xdr:col>13</xdr:col>
      <xdr:colOff>79375</xdr:colOff>
      <xdr:row>74</xdr:row>
      <xdr:rowOff>222249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62</xdr:row>
      <xdr:rowOff>15876</xdr:rowOff>
    </xdr:from>
    <xdr:to>
      <xdr:col>20</xdr:col>
      <xdr:colOff>79375</xdr:colOff>
      <xdr:row>74</xdr:row>
      <xdr:rowOff>222250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0</xdr:colOff>
      <xdr:row>62</xdr:row>
      <xdr:rowOff>15874</xdr:rowOff>
    </xdr:from>
    <xdr:to>
      <xdr:col>27</xdr:col>
      <xdr:colOff>79375</xdr:colOff>
      <xdr:row>74</xdr:row>
      <xdr:rowOff>222249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15875</xdr:colOff>
      <xdr:row>9</xdr:row>
      <xdr:rowOff>95250</xdr:rowOff>
    </xdr:from>
    <xdr:to>
      <xdr:col>6</xdr:col>
      <xdr:colOff>95250</xdr:colOff>
      <xdr:row>52</xdr:row>
      <xdr:rowOff>31751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206374</xdr:colOff>
      <xdr:row>16</xdr:row>
      <xdr:rowOff>63501</xdr:rowOff>
    </xdr:from>
    <xdr:to>
      <xdr:col>13</xdr:col>
      <xdr:colOff>63499</xdr:colOff>
      <xdr:row>52</xdr:row>
      <xdr:rowOff>31751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206374</xdr:colOff>
      <xdr:row>16</xdr:row>
      <xdr:rowOff>63501</xdr:rowOff>
    </xdr:from>
    <xdr:to>
      <xdr:col>20</xdr:col>
      <xdr:colOff>63499</xdr:colOff>
      <xdr:row>52</xdr:row>
      <xdr:rowOff>31751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206374</xdr:colOff>
      <xdr:row>31</xdr:row>
      <xdr:rowOff>23812</xdr:rowOff>
    </xdr:from>
    <xdr:to>
      <xdr:col>27</xdr:col>
      <xdr:colOff>63499</xdr:colOff>
      <xdr:row>52</xdr:row>
      <xdr:rowOff>31750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28</xdr:col>
      <xdr:colOff>200024</xdr:colOff>
      <xdr:row>10</xdr:row>
      <xdr:rowOff>22226</xdr:rowOff>
    </xdr:from>
    <xdr:to>
      <xdr:col>33</xdr:col>
      <xdr:colOff>438149</xdr:colOff>
      <xdr:row>52</xdr:row>
      <xdr:rowOff>31751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379157</xdr:colOff>
      <xdr:row>0</xdr:row>
      <xdr:rowOff>56284</xdr:rowOff>
    </xdr:from>
    <xdr:to>
      <xdr:col>23</xdr:col>
      <xdr:colOff>663864</xdr:colOff>
      <xdr:row>4</xdr:row>
      <xdr:rowOff>190500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51532" y="56284"/>
          <a:ext cx="999082" cy="959716"/>
        </a:xfrm>
        <a:prstGeom prst="rect">
          <a:avLst/>
        </a:prstGeom>
      </xdr:spPr>
    </xdr:pic>
    <xdr:clientData/>
  </xdr:twoCellAnchor>
  <xdr:twoCellAnchor>
    <xdr:from>
      <xdr:col>0</xdr:col>
      <xdr:colOff>1015999</xdr:colOff>
      <xdr:row>8</xdr:row>
      <xdr:rowOff>254001</xdr:rowOff>
    </xdr:from>
    <xdr:to>
      <xdr:col>14</xdr:col>
      <xdr:colOff>158749</xdr:colOff>
      <xdr:row>90</xdr:row>
      <xdr:rowOff>15875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396875</xdr:colOff>
      <xdr:row>8</xdr:row>
      <xdr:rowOff>254000</xdr:rowOff>
    </xdr:from>
    <xdr:to>
      <xdr:col>23</xdr:col>
      <xdr:colOff>688975</xdr:colOff>
      <xdr:row>89</xdr:row>
      <xdr:rowOff>190500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49117</xdr:colOff>
      <xdr:row>0</xdr:row>
      <xdr:rowOff>24533</xdr:rowOff>
    </xdr:from>
    <xdr:to>
      <xdr:col>33</xdr:col>
      <xdr:colOff>461458</xdr:colOff>
      <xdr:row>4</xdr:row>
      <xdr:rowOff>178593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96273" y="24533"/>
          <a:ext cx="995748" cy="963685"/>
        </a:xfrm>
        <a:prstGeom prst="rect">
          <a:avLst/>
        </a:prstGeom>
      </xdr:spPr>
    </xdr:pic>
    <xdr:clientData/>
  </xdr:twoCellAnchor>
  <xdr:twoCellAnchor>
    <xdr:from>
      <xdr:col>0</xdr:col>
      <xdr:colOff>31751</xdr:colOff>
      <xdr:row>60</xdr:row>
      <xdr:rowOff>15876</xdr:rowOff>
    </xdr:from>
    <xdr:to>
      <xdr:col>6</xdr:col>
      <xdr:colOff>111126</xdr:colOff>
      <xdr:row>74</xdr:row>
      <xdr:rowOff>238126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62</xdr:row>
      <xdr:rowOff>15874</xdr:rowOff>
    </xdr:from>
    <xdr:to>
      <xdr:col>13</xdr:col>
      <xdr:colOff>79375</xdr:colOff>
      <xdr:row>74</xdr:row>
      <xdr:rowOff>222249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62</xdr:row>
      <xdr:rowOff>15876</xdr:rowOff>
    </xdr:from>
    <xdr:to>
      <xdr:col>20</xdr:col>
      <xdr:colOff>79375</xdr:colOff>
      <xdr:row>74</xdr:row>
      <xdr:rowOff>222250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0</xdr:colOff>
      <xdr:row>62</xdr:row>
      <xdr:rowOff>15874</xdr:rowOff>
    </xdr:from>
    <xdr:to>
      <xdr:col>27</xdr:col>
      <xdr:colOff>79375</xdr:colOff>
      <xdr:row>74</xdr:row>
      <xdr:rowOff>222249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15875</xdr:colOff>
      <xdr:row>9</xdr:row>
      <xdr:rowOff>95250</xdr:rowOff>
    </xdr:from>
    <xdr:to>
      <xdr:col>6</xdr:col>
      <xdr:colOff>95250</xdr:colOff>
      <xdr:row>52</xdr:row>
      <xdr:rowOff>31751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206374</xdr:colOff>
      <xdr:row>18</xdr:row>
      <xdr:rowOff>50132</xdr:rowOff>
    </xdr:from>
    <xdr:to>
      <xdr:col>13</xdr:col>
      <xdr:colOff>63499</xdr:colOff>
      <xdr:row>52</xdr:row>
      <xdr:rowOff>31751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206374</xdr:colOff>
      <xdr:row>33</xdr:row>
      <xdr:rowOff>35719</xdr:rowOff>
    </xdr:from>
    <xdr:to>
      <xdr:col>20</xdr:col>
      <xdr:colOff>63499</xdr:colOff>
      <xdr:row>52</xdr:row>
      <xdr:rowOff>31750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206374</xdr:colOff>
      <xdr:row>33</xdr:row>
      <xdr:rowOff>35719</xdr:rowOff>
    </xdr:from>
    <xdr:to>
      <xdr:col>27</xdr:col>
      <xdr:colOff>63499</xdr:colOff>
      <xdr:row>52</xdr:row>
      <xdr:rowOff>31750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28</xdr:col>
      <xdr:colOff>200024</xdr:colOff>
      <xdr:row>10</xdr:row>
      <xdr:rowOff>22226</xdr:rowOff>
    </xdr:from>
    <xdr:to>
      <xdr:col>33</xdr:col>
      <xdr:colOff>438149</xdr:colOff>
      <xdr:row>52</xdr:row>
      <xdr:rowOff>31751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248228</xdr:colOff>
      <xdr:row>0</xdr:row>
      <xdr:rowOff>31750</xdr:rowOff>
    </xdr:from>
    <xdr:to>
      <xdr:col>27</xdr:col>
      <xdr:colOff>425739</xdr:colOff>
      <xdr:row>4</xdr:row>
      <xdr:rowOff>294238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02728" y="31750"/>
          <a:ext cx="1066511" cy="1024488"/>
        </a:xfrm>
        <a:prstGeom prst="rect">
          <a:avLst/>
        </a:prstGeom>
      </xdr:spPr>
    </xdr:pic>
    <xdr:clientData/>
  </xdr:twoCellAnchor>
  <xdr:twoCellAnchor>
    <xdr:from>
      <xdr:col>1</xdr:col>
      <xdr:colOff>15874</xdr:colOff>
      <xdr:row>13</xdr:row>
      <xdr:rowOff>23812</xdr:rowOff>
    </xdr:from>
    <xdr:to>
      <xdr:col>13</xdr:col>
      <xdr:colOff>619125</xdr:colOff>
      <xdr:row>70</xdr:row>
      <xdr:rowOff>190500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685801</xdr:colOff>
      <xdr:row>35</xdr:row>
      <xdr:rowOff>19050</xdr:rowOff>
    </xdr:from>
    <xdr:to>
      <xdr:col>23</xdr:col>
      <xdr:colOff>0</xdr:colOff>
      <xdr:row>64</xdr:row>
      <xdr:rowOff>11906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422854</xdr:colOff>
      <xdr:row>0</xdr:row>
      <xdr:rowOff>61232</xdr:rowOff>
    </xdr:from>
    <xdr:to>
      <xdr:col>20</xdr:col>
      <xdr:colOff>734168</xdr:colOff>
      <xdr:row>4</xdr:row>
      <xdr:rowOff>323720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62604" y="61232"/>
          <a:ext cx="1073314" cy="102448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</xdr:row>
      <xdr:rowOff>49212</xdr:rowOff>
    </xdr:from>
    <xdr:to>
      <xdr:col>7</xdr:col>
      <xdr:colOff>468313</xdr:colOff>
      <xdr:row>70</xdr:row>
      <xdr:rowOff>15875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6</xdr:row>
      <xdr:rowOff>0</xdr:rowOff>
    </xdr:from>
    <xdr:to>
      <xdr:col>21</xdr:col>
      <xdr:colOff>305027</xdr:colOff>
      <xdr:row>69</xdr:row>
      <xdr:rowOff>238806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uivi%20cde%20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uivi%20cde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%20Reunion_Production/R&#233;union%20Produc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Ev_mens."/>
      <sheetName val="Devis"/>
      <sheetName val="Devis (2)"/>
      <sheetName val="pvc"/>
      <sheetName val="s52-19"/>
      <sheetName val="s51-19"/>
      <sheetName val="s50-19"/>
      <sheetName val="s49-19"/>
      <sheetName val="s48-19"/>
      <sheetName val="s47-19"/>
      <sheetName val="s46-49"/>
      <sheetName val="s45-49"/>
      <sheetName val="s44-19"/>
      <sheetName val="s43-19"/>
      <sheetName val="s42-19"/>
      <sheetName val="s41-19"/>
      <sheetName val="s40-19"/>
      <sheetName val="s39-19"/>
      <sheetName val="s38-19"/>
      <sheetName val="s37-19"/>
      <sheetName val="s36-19"/>
      <sheetName val="32-33-34-35"/>
      <sheetName val="S31-19"/>
      <sheetName val="S30-19"/>
      <sheetName val="S29-19"/>
      <sheetName val="S28-19"/>
      <sheetName val="S27-19"/>
      <sheetName val="S26-19"/>
      <sheetName val="S25-19"/>
      <sheetName val="S24-19"/>
      <sheetName val="S23-19"/>
      <sheetName val="S22-19"/>
      <sheetName val="S21-19"/>
      <sheetName val="S20-19"/>
      <sheetName val="S19-19"/>
      <sheetName val="S18-19"/>
      <sheetName val="S17-19"/>
      <sheetName val="S16-19"/>
      <sheetName val="S15-19"/>
      <sheetName val="S14-19"/>
      <sheetName val="S13-19"/>
      <sheetName val="S12-19"/>
      <sheetName val="S11-19"/>
      <sheetName val="S10-19"/>
      <sheetName val="S09-19"/>
      <sheetName val="S08-19"/>
      <sheetName val="S07-19"/>
      <sheetName val="S06-19"/>
      <sheetName val="S05-19"/>
      <sheetName val="S04-19"/>
      <sheetName val="S03-19"/>
      <sheetName val="S02-19"/>
      <sheetName val="S01-19"/>
      <sheetName val="S52-18"/>
      <sheetName val="S51-18"/>
      <sheetName val="S50-18"/>
      <sheetName val="S49-18"/>
      <sheetName val="S48-18"/>
      <sheetName val="S47-18"/>
      <sheetName val="S46-18"/>
      <sheetName val="S45-18"/>
      <sheetName val="S44-18"/>
      <sheetName val="S43-18"/>
      <sheetName val="S42-18"/>
      <sheetName val="S41-18"/>
      <sheetName val="S40-18"/>
      <sheetName val="S39-18"/>
      <sheetName val="S38-18"/>
      <sheetName val="S37-18"/>
      <sheetName val="S36-18"/>
      <sheetName val="s32-35"/>
      <sheetName val="s31-18"/>
      <sheetName val="s30-18"/>
      <sheetName val="s29-18"/>
      <sheetName val="s28-18"/>
      <sheetName val="s27-18"/>
      <sheetName val="s26-18"/>
      <sheetName val="s25-18"/>
      <sheetName val="s24-18"/>
      <sheetName val="s23-18"/>
      <sheetName val="s22-18"/>
      <sheetName val="s21-18"/>
      <sheetName val="s20-18"/>
      <sheetName val="s19-18"/>
      <sheetName val="s18-18"/>
      <sheetName val="s17-18"/>
      <sheetName val="s16-18"/>
      <sheetName val="s15-18"/>
      <sheetName val="s14-18"/>
      <sheetName val="s13-18"/>
      <sheetName val="s12-18"/>
      <sheetName val="s11-18"/>
      <sheetName val="s10-18"/>
      <sheetName val="s09-18"/>
      <sheetName val="s08-18"/>
      <sheetName val="s07-18"/>
      <sheetName val="s06-18"/>
      <sheetName val="s05-18"/>
      <sheetName val="s04-18"/>
      <sheetName val="s03-18"/>
      <sheetName val="s02-18"/>
      <sheetName val="s01-18"/>
      <sheetName val="ALU"/>
      <sheetName val="mise en lot ALU"/>
      <sheetName val="Détails alu"/>
      <sheetName val="BOIS"/>
      <sheetName val="mise en lot BOIS"/>
      <sheetName val="détail bois"/>
      <sheetName val="Feuil1"/>
    </sheetNames>
    <sheetDataSet>
      <sheetData sheetId="0"/>
      <sheetData sheetId="1">
        <row r="115">
          <cell r="C115">
            <v>5837</v>
          </cell>
          <cell r="D115">
            <v>4769</v>
          </cell>
          <cell r="E115">
            <v>5745</v>
          </cell>
          <cell r="F115">
            <v>5501</v>
          </cell>
          <cell r="G115">
            <v>5137</v>
          </cell>
          <cell r="H115">
            <v>6371</v>
          </cell>
          <cell r="I115">
            <v>5888</v>
          </cell>
          <cell r="J115">
            <v>1580</v>
          </cell>
          <cell r="K115">
            <v>6138</v>
          </cell>
          <cell r="L115">
            <v>6515</v>
          </cell>
          <cell r="M115">
            <v>5185</v>
          </cell>
          <cell r="N115">
            <v>3535</v>
          </cell>
        </row>
        <row r="119">
          <cell r="C119">
            <v>1134</v>
          </cell>
          <cell r="D119">
            <v>1034</v>
          </cell>
          <cell r="E119">
            <v>1106</v>
          </cell>
          <cell r="F119">
            <v>1068</v>
          </cell>
          <cell r="G119">
            <v>1021</v>
          </cell>
          <cell r="H119">
            <v>1129</v>
          </cell>
          <cell r="I119">
            <v>1347</v>
          </cell>
          <cell r="J119">
            <v>370</v>
          </cell>
          <cell r="K119">
            <v>1334</v>
          </cell>
          <cell r="L119">
            <v>1719</v>
          </cell>
          <cell r="M119">
            <v>800</v>
          </cell>
          <cell r="N119">
            <v>785</v>
          </cell>
        </row>
        <row r="123">
          <cell r="C123">
            <v>94</v>
          </cell>
          <cell r="D123">
            <v>75</v>
          </cell>
          <cell r="E123">
            <v>82</v>
          </cell>
          <cell r="F123">
            <v>70</v>
          </cell>
          <cell r="G123">
            <v>53</v>
          </cell>
          <cell r="H123">
            <v>77</v>
          </cell>
          <cell r="I123">
            <v>69</v>
          </cell>
          <cell r="J123">
            <v>16</v>
          </cell>
          <cell r="K123">
            <v>79</v>
          </cell>
          <cell r="L123">
            <v>98</v>
          </cell>
          <cell r="M123">
            <v>88</v>
          </cell>
          <cell r="N123">
            <v>57</v>
          </cell>
        </row>
      </sheetData>
      <sheetData sheetId="2"/>
      <sheetData sheetId="3"/>
      <sheetData sheetId="4">
        <row r="250">
          <cell r="D250">
            <v>1821</v>
          </cell>
          <cell r="E250">
            <v>1362</v>
          </cell>
          <cell r="F250">
            <v>137</v>
          </cell>
          <cell r="G250">
            <v>344</v>
          </cell>
          <cell r="H250">
            <v>0</v>
          </cell>
          <cell r="I250">
            <v>579</v>
          </cell>
          <cell r="J250">
            <v>420</v>
          </cell>
          <cell r="K250">
            <v>30</v>
          </cell>
          <cell r="L250">
            <v>217</v>
          </cell>
          <cell r="P250">
            <v>1599</v>
          </cell>
          <cell r="Q250">
            <v>1695</v>
          </cell>
          <cell r="R250">
            <v>210</v>
          </cell>
          <cell r="S250">
            <v>294</v>
          </cell>
          <cell r="T250">
            <v>0</v>
          </cell>
          <cell r="U250">
            <v>601</v>
          </cell>
          <cell r="V250">
            <v>304</v>
          </cell>
          <cell r="W250">
            <v>51</v>
          </cell>
          <cell r="X250">
            <v>183</v>
          </cell>
          <cell r="AB250">
            <v>1854</v>
          </cell>
          <cell r="AC250">
            <v>1609</v>
          </cell>
          <cell r="AD250">
            <v>144</v>
          </cell>
          <cell r="AE250">
            <v>665</v>
          </cell>
          <cell r="AF250">
            <v>0</v>
          </cell>
          <cell r="AG250">
            <v>735</v>
          </cell>
          <cell r="AH250">
            <v>368</v>
          </cell>
          <cell r="AI250">
            <v>59</v>
          </cell>
          <cell r="AJ250">
            <v>101</v>
          </cell>
          <cell r="AN250">
            <v>1897</v>
          </cell>
          <cell r="AO250">
            <v>1659</v>
          </cell>
          <cell r="AP250">
            <v>174</v>
          </cell>
          <cell r="AQ250">
            <v>788</v>
          </cell>
          <cell r="AR250">
            <v>0</v>
          </cell>
          <cell r="AS250">
            <v>734</v>
          </cell>
          <cell r="AT250">
            <v>407</v>
          </cell>
          <cell r="AU250">
            <v>45</v>
          </cell>
          <cell r="AV250">
            <v>169</v>
          </cell>
          <cell r="AZ250">
            <v>1843</v>
          </cell>
          <cell r="BA250">
            <v>1180</v>
          </cell>
          <cell r="BB250">
            <v>259</v>
          </cell>
          <cell r="BC250">
            <v>492</v>
          </cell>
          <cell r="BD250">
            <v>0</v>
          </cell>
          <cell r="BE250">
            <v>832</v>
          </cell>
          <cell r="BF250">
            <v>267</v>
          </cell>
          <cell r="BG250">
            <v>33</v>
          </cell>
          <cell r="BH250">
            <v>134</v>
          </cell>
          <cell r="BL250">
            <v>2110</v>
          </cell>
          <cell r="BM250">
            <v>1305</v>
          </cell>
          <cell r="BN250">
            <v>238</v>
          </cell>
          <cell r="BO250">
            <v>381</v>
          </cell>
          <cell r="BP250">
            <v>0</v>
          </cell>
          <cell r="BQ250">
            <v>655</v>
          </cell>
          <cell r="BR250">
            <v>312</v>
          </cell>
          <cell r="BS250">
            <v>44</v>
          </cell>
          <cell r="BT250">
            <v>102</v>
          </cell>
          <cell r="BX250">
            <v>1865</v>
          </cell>
          <cell r="BY250">
            <v>1302</v>
          </cell>
          <cell r="BZ250">
            <v>196</v>
          </cell>
          <cell r="CA250">
            <v>595</v>
          </cell>
          <cell r="CB250">
            <v>0</v>
          </cell>
          <cell r="CC250">
            <v>654</v>
          </cell>
          <cell r="CD250">
            <v>311</v>
          </cell>
          <cell r="CE250">
            <v>41</v>
          </cell>
          <cell r="CF250">
            <v>162</v>
          </cell>
          <cell r="CJ250">
            <v>534</v>
          </cell>
          <cell r="CK250">
            <v>318</v>
          </cell>
          <cell r="CL250">
            <v>91</v>
          </cell>
          <cell r="CM250">
            <v>114</v>
          </cell>
          <cell r="CN250">
            <v>0</v>
          </cell>
          <cell r="CO250">
            <v>53</v>
          </cell>
          <cell r="CP250">
            <v>86</v>
          </cell>
          <cell r="CQ250">
            <v>9</v>
          </cell>
          <cell r="CR250">
            <v>0</v>
          </cell>
          <cell r="CV250">
            <v>2455</v>
          </cell>
          <cell r="CW250">
            <v>1144</v>
          </cell>
          <cell r="CX250">
            <v>222</v>
          </cell>
          <cell r="CY250">
            <v>537</v>
          </cell>
          <cell r="CZ250">
            <v>0</v>
          </cell>
          <cell r="DA250">
            <v>1221</v>
          </cell>
          <cell r="DB250">
            <v>488</v>
          </cell>
          <cell r="DC250">
            <v>28</v>
          </cell>
          <cell r="DD250">
            <v>113</v>
          </cell>
          <cell r="DH250">
            <v>2254</v>
          </cell>
          <cell r="DI250">
            <v>1304</v>
          </cell>
          <cell r="DJ250">
            <v>283</v>
          </cell>
          <cell r="DK250">
            <v>962</v>
          </cell>
          <cell r="DL250">
            <v>0</v>
          </cell>
          <cell r="DM250">
            <v>841</v>
          </cell>
          <cell r="DN250">
            <v>525</v>
          </cell>
          <cell r="DO250">
            <v>62</v>
          </cell>
          <cell r="DP250">
            <v>262</v>
          </cell>
          <cell r="DT250">
            <v>2038</v>
          </cell>
          <cell r="DU250">
            <v>1168</v>
          </cell>
          <cell r="DV250">
            <v>183</v>
          </cell>
          <cell r="DW250">
            <v>501</v>
          </cell>
          <cell r="DX250">
            <v>0</v>
          </cell>
          <cell r="DY250">
            <v>776</v>
          </cell>
          <cell r="DZ250">
            <v>419</v>
          </cell>
          <cell r="EA250">
            <v>40</v>
          </cell>
          <cell r="EB250">
            <v>80</v>
          </cell>
          <cell r="EF250">
            <v>1451</v>
          </cell>
          <cell r="EG250">
            <v>875</v>
          </cell>
          <cell r="EH250">
            <v>129</v>
          </cell>
          <cell r="EI250">
            <v>400</v>
          </cell>
          <cell r="EJ250">
            <v>0</v>
          </cell>
          <cell r="EK250">
            <v>513</v>
          </cell>
          <cell r="EL250">
            <v>223</v>
          </cell>
          <cell r="EM250">
            <v>47</v>
          </cell>
          <cell r="EN250">
            <v>106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Devis"/>
      <sheetName val="s09-20"/>
      <sheetName val="s08-20"/>
      <sheetName val="s07-20"/>
      <sheetName val="s06-20"/>
      <sheetName val="s05-20"/>
      <sheetName val="s04-20"/>
      <sheetName val="s03-20"/>
      <sheetName val="s02-20"/>
      <sheetName val="saisie_cde_A"/>
      <sheetName val="mise en lot ALU"/>
      <sheetName val="saisie_cde_B"/>
      <sheetName val="mise en lot BOIS"/>
    </sheetNames>
    <sheetDataSet>
      <sheetData sheetId="0"/>
      <sheetData sheetId="1">
        <row r="25">
          <cell r="T25">
            <v>79</v>
          </cell>
          <cell r="U25">
            <v>585</v>
          </cell>
        </row>
        <row r="26">
          <cell r="T26">
            <v>124</v>
          </cell>
          <cell r="U26">
            <v>672</v>
          </cell>
        </row>
        <row r="27">
          <cell r="T27">
            <v>94</v>
          </cell>
          <cell r="U27">
            <v>618</v>
          </cell>
        </row>
        <row r="29">
          <cell r="T29">
            <v>32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9">
          <cell r="W79">
            <v>0</v>
          </cell>
        </row>
        <row r="80">
          <cell r="W80">
            <v>0</v>
          </cell>
        </row>
        <row r="81">
          <cell r="W81">
            <v>0</v>
          </cell>
        </row>
        <row r="93">
          <cell r="W93">
            <v>0</v>
          </cell>
        </row>
      </sheetData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 cde"/>
      <sheetName val="GRAPH"/>
      <sheetName val="p°pvc"/>
      <sheetName val="cde pvc"/>
      <sheetName val="cde pvc (2)"/>
      <sheetName val="cde bois"/>
      <sheetName val="cde bois (2)"/>
      <sheetName val="ALU"/>
      <sheetName val="ALU (2)"/>
      <sheetName val="Production"/>
      <sheetName val="droit"/>
      <sheetName val="marquage CSTB 2008"/>
      <sheetName val="marquage CSTB 2009"/>
      <sheetName val="marquage CSTB 2010"/>
      <sheetName val="marquage CSTB 2012"/>
      <sheetName val="marquage CSTB 2012 (vrai)"/>
      <sheetName val="marquage CSTB 2013"/>
      <sheetName val="marquage CSTB 2013 (vrai)"/>
      <sheetName val="marquage CSTB 2014"/>
      <sheetName val="marquage CSTB 2015"/>
      <sheetName val="marquage CSTB 2016"/>
      <sheetName val="marquage CSTB 2017"/>
      <sheetName val="marquage CSTB 2018"/>
      <sheetName val="marquage CSTB 2019"/>
      <sheetName val="Graph4"/>
      <sheetName val="Feuil1"/>
      <sheetName val="wpaddon3"/>
      <sheetName val="SAL OR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628">
          <cell r="C1628">
            <v>1331</v>
          </cell>
          <cell r="G1628">
            <v>308</v>
          </cell>
          <cell r="K1628">
            <v>298</v>
          </cell>
        </row>
        <row r="1629">
          <cell r="C1629">
            <v>1434</v>
          </cell>
          <cell r="G1629">
            <v>362</v>
          </cell>
          <cell r="K1629">
            <v>284</v>
          </cell>
        </row>
        <row r="1630">
          <cell r="C1630">
            <v>1337</v>
          </cell>
          <cell r="G1630">
            <v>305</v>
          </cell>
          <cell r="K1630">
            <v>278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</sheetDataSet>
  </externalBook>
</externalLink>
</file>

<file path=xl/tables/table1.xml><?xml version="1.0" encoding="utf-8"?>
<table xmlns="http://schemas.openxmlformats.org/spreadsheetml/2006/main" id="1" name="Tableau1" displayName="Tableau1" ref="C64:K78" totalsRowShown="0" headerRowDxfId="79">
  <autoFilter ref="C64:K7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78"/>
    <tableColumn id="2" name="DEVIS PVC"/>
    <tableColumn id="3" name="men pvc" dataDxfId="77"/>
    <tableColumn id="4" name="DEVIS BOIS"/>
    <tableColumn id="5" name="men bois" dataDxfId="76"/>
    <tableColumn id="6" name="DEVIS ALU"/>
    <tableColumn id="7" name="men alu" dataDxfId="75"/>
    <tableColumn id="8" name="TOTAL"/>
    <tableColumn id="9" name="nb men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7" name="Tableau18" displayName="Tableau18" ref="N64:V78" totalsRowShown="0" headerRowDxfId="74">
  <autoFilter ref="N64:V7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73"/>
    <tableColumn id="2" name="DEVIS PVC"/>
    <tableColumn id="3" name="men pvc" dataDxfId="72"/>
    <tableColumn id="4" name="DEVIS BOIS"/>
    <tableColumn id="5" name="men bois" dataDxfId="71"/>
    <tableColumn id="6" name="DEVIS ALU"/>
    <tableColumn id="7" name="men alu" dataDxfId="70"/>
    <tableColumn id="8" name="TOTAL"/>
    <tableColumn id="9" name="nb men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64:K77" totalsRowShown="0" headerRowDxfId="69" dataDxfId="68" tableBorderDxfId="67">
  <autoFilter ref="C64:K77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66"/>
    <tableColumn id="9" name="CUMUL" dataDxfId="65">
      <calculatedColumnFormula>+Tableau3[[#This Row],[TOTAL]]</calculatedColumnFormula>
    </tableColumn>
    <tableColumn id="2" name="TOTAL" dataDxfId="64">
      <calculatedColumnFormula>SUM(F65:G65)</calculatedColumnFormula>
    </tableColumn>
    <tableColumn id="3" name="ALF" dataDxfId="63"/>
    <tableColumn id="4" name=" S/total" dataDxfId="62">
      <calculatedColumnFormula>SUM(H65:K65)</calculatedColumnFormula>
    </tableColumn>
    <tableColumn id="5" name="bsa" dataDxfId="61"/>
    <tableColumn id="6" name="ind" dataDxfId="60"/>
    <tableColumn id="7" name="A&amp;B" dataDxfId="59"/>
    <tableColumn id="8" name="filiales" dataDxfId="5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8" name="Tableau39" displayName="Tableau39" ref="O64:W77" totalsRowShown="0" headerRowDxfId="57" dataDxfId="56" tableBorderDxfId="55">
  <autoFilter ref="O64:W77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54"/>
    <tableColumn id="9" name="CUMUL" dataDxfId="53"/>
    <tableColumn id="2" name="TOTAL" dataDxfId="52"/>
    <tableColumn id="3" name="ALF" dataDxfId="51"/>
    <tableColumn id="4" name=" S/total" dataDxfId="50"/>
    <tableColumn id="5" name="bsa" dataDxfId="49"/>
    <tableColumn id="6" name="ind" dataDxfId="48"/>
    <tableColumn id="7" name="A&amp;B" dataDxfId="47"/>
    <tableColumn id="8" name="filiales" dataDxfId="46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5" name="Tableau26" displayName="Tableau26" ref="O64:S77" totalsRowShown="0" headerRowDxfId="45" dataDxfId="44" tableBorderDxfId="43">
  <autoFilter ref="O64:S77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Total" dataDxfId="42"/>
    <tableColumn id="2" name="bsa" dataDxfId="41"/>
    <tableColumn id="3" name="ind" dataDxfId="40"/>
    <tableColumn id="4" name="filiales" dataDxfId="39"/>
    <tableColumn id="5" name="PE" dataDxfId="3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C64:I78" totalsRowCount="1" headerRowDxfId="37" dataDxfId="36" totalsRowDxfId="34" tableBorderDxfId="35">
  <autoFilter ref="C64:I77">
    <filterColumn colId="0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OIS" dataDxfId="33" totalsRowDxfId="32" dataCellStyle="Pourcentage"/>
    <tableColumn id="7" name="CUMUL" dataDxfId="31" totalsRowDxfId="30">
      <calculatedColumnFormula>+E65+I65</calculatedColumnFormula>
    </tableColumn>
    <tableColumn id="6" name="Total" totalsRowFunction="custom" dataDxfId="29" totalsRowDxfId="28">
      <calculatedColumnFormula>SUM(F65:H65)</calculatedColumnFormula>
      <totalsRowFormula>E77/O77-1</totalsRowFormula>
    </tableColumn>
    <tableColumn id="2" name="bsa" totalsRowFunction="custom" dataDxfId="27" totalsRowDxfId="26" dataCellStyle="Pourcentage">
      <totalsRowFormula>F77/P77-1</totalsRowFormula>
    </tableColumn>
    <tableColumn id="3" name="ind" totalsRowFunction="custom" dataDxfId="25" totalsRowDxfId="24" dataCellStyle="Pourcentage">
      <totalsRowFormula>G77/Q77-1</totalsRowFormula>
    </tableColumn>
    <tableColumn id="4" name="filiales" totalsRowFunction="custom" dataDxfId="23" totalsRowDxfId="22" dataCellStyle="Pourcentage">
      <totalsRowFormula>H77/R77-1</totalsRowFormula>
    </tableColumn>
    <tableColumn id="5" name="PE" totalsRowFunction="custom" dataDxfId="21" totalsRowDxfId="20" dataCellStyle="Pourcentage">
      <totalsRowFormula>I77/S77-1</totalsRow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Tableau35" displayName="Tableau35" ref="D64:J77" totalsRowShown="0" headerRowDxfId="19" dataDxfId="18" tableBorderDxfId="17">
  <autoFilter ref="D64:J7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OIS" dataDxfId="16"/>
    <tableColumn id="3" name="CUMUL" dataDxfId="15"/>
    <tableColumn id="2" name="TOTAL" dataDxfId="14"/>
    <tableColumn id="5" name="bsa" dataDxfId="13"/>
    <tableColumn id="6" name="ind" dataDxfId="12"/>
    <tableColumn id="7" name="A&amp;B" dataDxfId="11"/>
    <tableColumn id="8" name="filiales" dataDxfId="1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6" name="Tableau357" displayName="Tableau357" ref="N64:T77" totalsRowShown="0" headerRowDxfId="9" dataDxfId="8" tableBorderDxfId="7">
  <autoFilter ref="N64:T7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OIS" dataDxfId="6"/>
    <tableColumn id="3" name="CUMUL" dataDxfId="5"/>
    <tableColumn id="2" name="TOTAL" dataDxfId="4"/>
    <tableColumn id="5" name="bsa" dataDxfId="3"/>
    <tableColumn id="6" name="ind" dataDxfId="2"/>
    <tableColumn id="7" name="A&amp;B" dataDxfId="1"/>
    <tableColumn id="8" name="filial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table" Target="../tables/table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3.xml"/><Relationship Id="rId4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AS168"/>
  <sheetViews>
    <sheetView zoomScale="57" zoomScaleNormal="57" workbookViewId="0">
      <selection activeCell="AV80" sqref="AV80"/>
    </sheetView>
  </sheetViews>
  <sheetFormatPr baseColWidth="10" defaultRowHeight="15" x14ac:dyDescent="0.25"/>
  <cols>
    <col min="1" max="1" width="24.140625" customWidth="1"/>
    <col min="2" max="13" width="6" customWidth="1"/>
    <col min="14" max="16" width="13" customWidth="1"/>
    <col min="17" max="21" width="6" customWidth="1"/>
    <col min="22" max="22" width="10.140625" customWidth="1"/>
    <col min="23" max="27" width="6" customWidth="1"/>
    <col min="28" max="28" width="9.85546875" customWidth="1"/>
    <col min="29" max="33" width="6" customWidth="1"/>
    <col min="34" max="34" width="10.140625" customWidth="1"/>
    <col min="35" max="39" width="6" customWidth="1"/>
    <col min="40" max="40" width="10.140625" customWidth="1"/>
    <col min="41" max="45" width="6" customWidth="1"/>
    <col min="257" max="257" width="4.140625" customWidth="1"/>
    <col min="258" max="258" width="4" customWidth="1"/>
    <col min="259" max="259" width="4.140625" customWidth="1"/>
    <col min="260" max="260" width="3.85546875" customWidth="1"/>
    <col min="261" max="269" width="4.140625" customWidth="1"/>
    <col min="270" max="270" width="3.7109375" customWidth="1"/>
    <col min="271" max="301" width="4.42578125" customWidth="1"/>
    <col min="513" max="513" width="4.140625" customWidth="1"/>
    <col min="514" max="514" width="4" customWidth="1"/>
    <col min="515" max="515" width="4.140625" customWidth="1"/>
    <col min="516" max="516" width="3.85546875" customWidth="1"/>
    <col min="517" max="525" width="4.140625" customWidth="1"/>
    <col min="526" max="526" width="3.7109375" customWidth="1"/>
    <col min="527" max="557" width="4.42578125" customWidth="1"/>
    <col min="769" max="769" width="4.140625" customWidth="1"/>
    <col min="770" max="770" width="4" customWidth="1"/>
    <col min="771" max="771" width="4.140625" customWidth="1"/>
    <col min="772" max="772" width="3.85546875" customWidth="1"/>
    <col min="773" max="781" width="4.140625" customWidth="1"/>
    <col min="782" max="782" width="3.7109375" customWidth="1"/>
    <col min="783" max="813" width="4.42578125" customWidth="1"/>
    <col min="1025" max="1025" width="4.140625" customWidth="1"/>
    <col min="1026" max="1026" width="4" customWidth="1"/>
    <col min="1027" max="1027" width="4.140625" customWidth="1"/>
    <col min="1028" max="1028" width="3.85546875" customWidth="1"/>
    <col min="1029" max="1037" width="4.140625" customWidth="1"/>
    <col min="1038" max="1038" width="3.7109375" customWidth="1"/>
    <col min="1039" max="1069" width="4.42578125" customWidth="1"/>
    <col min="1281" max="1281" width="4.140625" customWidth="1"/>
    <col min="1282" max="1282" width="4" customWidth="1"/>
    <col min="1283" max="1283" width="4.140625" customWidth="1"/>
    <col min="1284" max="1284" width="3.85546875" customWidth="1"/>
    <col min="1285" max="1293" width="4.140625" customWidth="1"/>
    <col min="1294" max="1294" width="3.7109375" customWidth="1"/>
    <col min="1295" max="1325" width="4.42578125" customWidth="1"/>
    <col min="1537" max="1537" width="4.140625" customWidth="1"/>
    <col min="1538" max="1538" width="4" customWidth="1"/>
    <col min="1539" max="1539" width="4.140625" customWidth="1"/>
    <col min="1540" max="1540" width="3.85546875" customWidth="1"/>
    <col min="1541" max="1549" width="4.140625" customWidth="1"/>
    <col min="1550" max="1550" width="3.7109375" customWidth="1"/>
    <col min="1551" max="1581" width="4.42578125" customWidth="1"/>
    <col min="1793" max="1793" width="4.140625" customWidth="1"/>
    <col min="1794" max="1794" width="4" customWidth="1"/>
    <col min="1795" max="1795" width="4.140625" customWidth="1"/>
    <col min="1796" max="1796" width="3.85546875" customWidth="1"/>
    <col min="1797" max="1805" width="4.140625" customWidth="1"/>
    <col min="1806" max="1806" width="3.7109375" customWidth="1"/>
    <col min="1807" max="1837" width="4.42578125" customWidth="1"/>
    <col min="2049" max="2049" width="4.140625" customWidth="1"/>
    <col min="2050" max="2050" width="4" customWidth="1"/>
    <col min="2051" max="2051" width="4.140625" customWidth="1"/>
    <col min="2052" max="2052" width="3.85546875" customWidth="1"/>
    <col min="2053" max="2061" width="4.140625" customWidth="1"/>
    <col min="2062" max="2062" width="3.7109375" customWidth="1"/>
    <col min="2063" max="2093" width="4.42578125" customWidth="1"/>
    <col min="2305" max="2305" width="4.140625" customWidth="1"/>
    <col min="2306" max="2306" width="4" customWidth="1"/>
    <col min="2307" max="2307" width="4.140625" customWidth="1"/>
    <col min="2308" max="2308" width="3.85546875" customWidth="1"/>
    <col min="2309" max="2317" width="4.140625" customWidth="1"/>
    <col min="2318" max="2318" width="3.7109375" customWidth="1"/>
    <col min="2319" max="2349" width="4.42578125" customWidth="1"/>
    <col min="2561" max="2561" width="4.140625" customWidth="1"/>
    <col min="2562" max="2562" width="4" customWidth="1"/>
    <col min="2563" max="2563" width="4.140625" customWidth="1"/>
    <col min="2564" max="2564" width="3.85546875" customWidth="1"/>
    <col min="2565" max="2573" width="4.140625" customWidth="1"/>
    <col min="2574" max="2574" width="3.7109375" customWidth="1"/>
    <col min="2575" max="2605" width="4.42578125" customWidth="1"/>
    <col min="2817" max="2817" width="4.140625" customWidth="1"/>
    <col min="2818" max="2818" width="4" customWidth="1"/>
    <col min="2819" max="2819" width="4.140625" customWidth="1"/>
    <col min="2820" max="2820" width="3.85546875" customWidth="1"/>
    <col min="2821" max="2829" width="4.140625" customWidth="1"/>
    <col min="2830" max="2830" width="3.7109375" customWidth="1"/>
    <col min="2831" max="2861" width="4.42578125" customWidth="1"/>
    <col min="3073" max="3073" width="4.140625" customWidth="1"/>
    <col min="3074" max="3074" width="4" customWidth="1"/>
    <col min="3075" max="3075" width="4.140625" customWidth="1"/>
    <col min="3076" max="3076" width="3.85546875" customWidth="1"/>
    <col min="3077" max="3085" width="4.140625" customWidth="1"/>
    <col min="3086" max="3086" width="3.7109375" customWidth="1"/>
    <col min="3087" max="3117" width="4.42578125" customWidth="1"/>
    <col min="3329" max="3329" width="4.140625" customWidth="1"/>
    <col min="3330" max="3330" width="4" customWidth="1"/>
    <col min="3331" max="3331" width="4.140625" customWidth="1"/>
    <col min="3332" max="3332" width="3.85546875" customWidth="1"/>
    <col min="3333" max="3341" width="4.140625" customWidth="1"/>
    <col min="3342" max="3342" width="3.7109375" customWidth="1"/>
    <col min="3343" max="3373" width="4.42578125" customWidth="1"/>
    <col min="3585" max="3585" width="4.140625" customWidth="1"/>
    <col min="3586" max="3586" width="4" customWidth="1"/>
    <col min="3587" max="3587" width="4.140625" customWidth="1"/>
    <col min="3588" max="3588" width="3.85546875" customWidth="1"/>
    <col min="3589" max="3597" width="4.140625" customWidth="1"/>
    <col min="3598" max="3598" width="3.7109375" customWidth="1"/>
    <col min="3599" max="3629" width="4.42578125" customWidth="1"/>
    <col min="3841" max="3841" width="4.140625" customWidth="1"/>
    <col min="3842" max="3842" width="4" customWidth="1"/>
    <col min="3843" max="3843" width="4.140625" customWidth="1"/>
    <col min="3844" max="3844" width="3.85546875" customWidth="1"/>
    <col min="3845" max="3853" width="4.140625" customWidth="1"/>
    <col min="3854" max="3854" width="3.7109375" customWidth="1"/>
    <col min="3855" max="3885" width="4.42578125" customWidth="1"/>
    <col min="4097" max="4097" width="4.140625" customWidth="1"/>
    <col min="4098" max="4098" width="4" customWidth="1"/>
    <col min="4099" max="4099" width="4.140625" customWidth="1"/>
    <col min="4100" max="4100" width="3.85546875" customWidth="1"/>
    <col min="4101" max="4109" width="4.140625" customWidth="1"/>
    <col min="4110" max="4110" width="3.7109375" customWidth="1"/>
    <col min="4111" max="4141" width="4.42578125" customWidth="1"/>
    <col min="4353" max="4353" width="4.140625" customWidth="1"/>
    <col min="4354" max="4354" width="4" customWidth="1"/>
    <col min="4355" max="4355" width="4.140625" customWidth="1"/>
    <col min="4356" max="4356" width="3.85546875" customWidth="1"/>
    <col min="4357" max="4365" width="4.140625" customWidth="1"/>
    <col min="4366" max="4366" width="3.7109375" customWidth="1"/>
    <col min="4367" max="4397" width="4.42578125" customWidth="1"/>
    <col min="4609" max="4609" width="4.140625" customWidth="1"/>
    <col min="4610" max="4610" width="4" customWidth="1"/>
    <col min="4611" max="4611" width="4.140625" customWidth="1"/>
    <col min="4612" max="4612" width="3.85546875" customWidth="1"/>
    <col min="4613" max="4621" width="4.140625" customWidth="1"/>
    <col min="4622" max="4622" width="3.7109375" customWidth="1"/>
    <col min="4623" max="4653" width="4.42578125" customWidth="1"/>
    <col min="4865" max="4865" width="4.140625" customWidth="1"/>
    <col min="4866" max="4866" width="4" customWidth="1"/>
    <col min="4867" max="4867" width="4.140625" customWidth="1"/>
    <col min="4868" max="4868" width="3.85546875" customWidth="1"/>
    <col min="4869" max="4877" width="4.140625" customWidth="1"/>
    <col min="4878" max="4878" width="3.7109375" customWidth="1"/>
    <col min="4879" max="4909" width="4.42578125" customWidth="1"/>
    <col min="5121" max="5121" width="4.140625" customWidth="1"/>
    <col min="5122" max="5122" width="4" customWidth="1"/>
    <col min="5123" max="5123" width="4.140625" customWidth="1"/>
    <col min="5124" max="5124" width="3.85546875" customWidth="1"/>
    <col min="5125" max="5133" width="4.140625" customWidth="1"/>
    <col min="5134" max="5134" width="3.7109375" customWidth="1"/>
    <col min="5135" max="5165" width="4.42578125" customWidth="1"/>
    <col min="5377" max="5377" width="4.140625" customWidth="1"/>
    <col min="5378" max="5378" width="4" customWidth="1"/>
    <col min="5379" max="5379" width="4.140625" customWidth="1"/>
    <col min="5380" max="5380" width="3.85546875" customWidth="1"/>
    <col min="5381" max="5389" width="4.140625" customWidth="1"/>
    <col min="5390" max="5390" width="3.7109375" customWidth="1"/>
    <col min="5391" max="5421" width="4.42578125" customWidth="1"/>
    <col min="5633" max="5633" width="4.140625" customWidth="1"/>
    <col min="5634" max="5634" width="4" customWidth="1"/>
    <col min="5635" max="5635" width="4.140625" customWidth="1"/>
    <col min="5636" max="5636" width="3.85546875" customWidth="1"/>
    <col min="5637" max="5645" width="4.140625" customWidth="1"/>
    <col min="5646" max="5646" width="3.7109375" customWidth="1"/>
    <col min="5647" max="5677" width="4.42578125" customWidth="1"/>
    <col min="5889" max="5889" width="4.140625" customWidth="1"/>
    <col min="5890" max="5890" width="4" customWidth="1"/>
    <col min="5891" max="5891" width="4.140625" customWidth="1"/>
    <col min="5892" max="5892" width="3.85546875" customWidth="1"/>
    <col min="5893" max="5901" width="4.140625" customWidth="1"/>
    <col min="5902" max="5902" width="3.7109375" customWidth="1"/>
    <col min="5903" max="5933" width="4.42578125" customWidth="1"/>
    <col min="6145" max="6145" width="4.140625" customWidth="1"/>
    <col min="6146" max="6146" width="4" customWidth="1"/>
    <col min="6147" max="6147" width="4.140625" customWidth="1"/>
    <col min="6148" max="6148" width="3.85546875" customWidth="1"/>
    <col min="6149" max="6157" width="4.140625" customWidth="1"/>
    <col min="6158" max="6158" width="3.7109375" customWidth="1"/>
    <col min="6159" max="6189" width="4.42578125" customWidth="1"/>
    <col min="6401" max="6401" width="4.140625" customWidth="1"/>
    <col min="6402" max="6402" width="4" customWidth="1"/>
    <col min="6403" max="6403" width="4.140625" customWidth="1"/>
    <col min="6404" max="6404" width="3.85546875" customWidth="1"/>
    <col min="6405" max="6413" width="4.140625" customWidth="1"/>
    <col min="6414" max="6414" width="3.7109375" customWidth="1"/>
    <col min="6415" max="6445" width="4.42578125" customWidth="1"/>
    <col min="6657" max="6657" width="4.140625" customWidth="1"/>
    <col min="6658" max="6658" width="4" customWidth="1"/>
    <col min="6659" max="6659" width="4.140625" customWidth="1"/>
    <col min="6660" max="6660" width="3.85546875" customWidth="1"/>
    <col min="6661" max="6669" width="4.140625" customWidth="1"/>
    <col min="6670" max="6670" width="3.7109375" customWidth="1"/>
    <col min="6671" max="6701" width="4.42578125" customWidth="1"/>
    <col min="6913" max="6913" width="4.140625" customWidth="1"/>
    <col min="6914" max="6914" width="4" customWidth="1"/>
    <col min="6915" max="6915" width="4.140625" customWidth="1"/>
    <col min="6916" max="6916" width="3.85546875" customWidth="1"/>
    <col min="6917" max="6925" width="4.140625" customWidth="1"/>
    <col min="6926" max="6926" width="3.7109375" customWidth="1"/>
    <col min="6927" max="6957" width="4.42578125" customWidth="1"/>
    <col min="7169" max="7169" width="4.140625" customWidth="1"/>
    <col min="7170" max="7170" width="4" customWidth="1"/>
    <col min="7171" max="7171" width="4.140625" customWidth="1"/>
    <col min="7172" max="7172" width="3.85546875" customWidth="1"/>
    <col min="7173" max="7181" width="4.140625" customWidth="1"/>
    <col min="7182" max="7182" width="3.7109375" customWidth="1"/>
    <col min="7183" max="7213" width="4.42578125" customWidth="1"/>
    <col min="7425" max="7425" width="4.140625" customWidth="1"/>
    <col min="7426" max="7426" width="4" customWidth="1"/>
    <col min="7427" max="7427" width="4.140625" customWidth="1"/>
    <col min="7428" max="7428" width="3.85546875" customWidth="1"/>
    <col min="7429" max="7437" width="4.140625" customWidth="1"/>
    <col min="7438" max="7438" width="3.7109375" customWidth="1"/>
    <col min="7439" max="7469" width="4.42578125" customWidth="1"/>
    <col min="7681" max="7681" width="4.140625" customWidth="1"/>
    <col min="7682" max="7682" width="4" customWidth="1"/>
    <col min="7683" max="7683" width="4.140625" customWidth="1"/>
    <col min="7684" max="7684" width="3.85546875" customWidth="1"/>
    <col min="7685" max="7693" width="4.140625" customWidth="1"/>
    <col min="7694" max="7694" width="3.7109375" customWidth="1"/>
    <col min="7695" max="7725" width="4.42578125" customWidth="1"/>
    <col min="7937" max="7937" width="4.140625" customWidth="1"/>
    <col min="7938" max="7938" width="4" customWidth="1"/>
    <col min="7939" max="7939" width="4.140625" customWidth="1"/>
    <col min="7940" max="7940" width="3.85546875" customWidth="1"/>
    <col min="7941" max="7949" width="4.140625" customWidth="1"/>
    <col min="7950" max="7950" width="3.7109375" customWidth="1"/>
    <col min="7951" max="7981" width="4.42578125" customWidth="1"/>
    <col min="8193" max="8193" width="4.140625" customWidth="1"/>
    <col min="8194" max="8194" width="4" customWidth="1"/>
    <col min="8195" max="8195" width="4.140625" customWidth="1"/>
    <col min="8196" max="8196" width="3.85546875" customWidth="1"/>
    <col min="8197" max="8205" width="4.140625" customWidth="1"/>
    <col min="8206" max="8206" width="3.7109375" customWidth="1"/>
    <col min="8207" max="8237" width="4.42578125" customWidth="1"/>
    <col min="8449" max="8449" width="4.140625" customWidth="1"/>
    <col min="8450" max="8450" width="4" customWidth="1"/>
    <col min="8451" max="8451" width="4.140625" customWidth="1"/>
    <col min="8452" max="8452" width="3.85546875" customWidth="1"/>
    <col min="8453" max="8461" width="4.140625" customWidth="1"/>
    <col min="8462" max="8462" width="3.7109375" customWidth="1"/>
    <col min="8463" max="8493" width="4.42578125" customWidth="1"/>
    <col min="8705" max="8705" width="4.140625" customWidth="1"/>
    <col min="8706" max="8706" width="4" customWidth="1"/>
    <col min="8707" max="8707" width="4.140625" customWidth="1"/>
    <col min="8708" max="8708" width="3.85546875" customWidth="1"/>
    <col min="8709" max="8717" width="4.140625" customWidth="1"/>
    <col min="8718" max="8718" width="3.7109375" customWidth="1"/>
    <col min="8719" max="8749" width="4.42578125" customWidth="1"/>
    <col min="8961" max="8961" width="4.140625" customWidth="1"/>
    <col min="8962" max="8962" width="4" customWidth="1"/>
    <col min="8963" max="8963" width="4.140625" customWidth="1"/>
    <col min="8964" max="8964" width="3.85546875" customWidth="1"/>
    <col min="8965" max="8973" width="4.140625" customWidth="1"/>
    <col min="8974" max="8974" width="3.7109375" customWidth="1"/>
    <col min="8975" max="9005" width="4.42578125" customWidth="1"/>
    <col min="9217" max="9217" width="4.140625" customWidth="1"/>
    <col min="9218" max="9218" width="4" customWidth="1"/>
    <col min="9219" max="9219" width="4.140625" customWidth="1"/>
    <col min="9220" max="9220" width="3.85546875" customWidth="1"/>
    <col min="9221" max="9229" width="4.140625" customWidth="1"/>
    <col min="9230" max="9230" width="3.7109375" customWidth="1"/>
    <col min="9231" max="9261" width="4.42578125" customWidth="1"/>
    <col min="9473" max="9473" width="4.140625" customWidth="1"/>
    <col min="9474" max="9474" width="4" customWidth="1"/>
    <col min="9475" max="9475" width="4.140625" customWidth="1"/>
    <col min="9476" max="9476" width="3.85546875" customWidth="1"/>
    <col min="9477" max="9485" width="4.140625" customWidth="1"/>
    <col min="9486" max="9486" width="3.7109375" customWidth="1"/>
    <col min="9487" max="9517" width="4.42578125" customWidth="1"/>
    <col min="9729" max="9729" width="4.140625" customWidth="1"/>
    <col min="9730" max="9730" width="4" customWidth="1"/>
    <col min="9731" max="9731" width="4.140625" customWidth="1"/>
    <col min="9732" max="9732" width="3.85546875" customWidth="1"/>
    <col min="9733" max="9741" width="4.140625" customWidth="1"/>
    <col min="9742" max="9742" width="3.7109375" customWidth="1"/>
    <col min="9743" max="9773" width="4.42578125" customWidth="1"/>
    <col min="9985" max="9985" width="4.140625" customWidth="1"/>
    <col min="9986" max="9986" width="4" customWidth="1"/>
    <col min="9987" max="9987" width="4.140625" customWidth="1"/>
    <col min="9988" max="9988" width="3.85546875" customWidth="1"/>
    <col min="9989" max="9997" width="4.140625" customWidth="1"/>
    <col min="9998" max="9998" width="3.7109375" customWidth="1"/>
    <col min="9999" max="10029" width="4.42578125" customWidth="1"/>
    <col min="10241" max="10241" width="4.140625" customWidth="1"/>
    <col min="10242" max="10242" width="4" customWidth="1"/>
    <col min="10243" max="10243" width="4.140625" customWidth="1"/>
    <col min="10244" max="10244" width="3.85546875" customWidth="1"/>
    <col min="10245" max="10253" width="4.140625" customWidth="1"/>
    <col min="10254" max="10254" width="3.7109375" customWidth="1"/>
    <col min="10255" max="10285" width="4.42578125" customWidth="1"/>
    <col min="10497" max="10497" width="4.140625" customWidth="1"/>
    <col min="10498" max="10498" width="4" customWidth="1"/>
    <col min="10499" max="10499" width="4.140625" customWidth="1"/>
    <col min="10500" max="10500" width="3.85546875" customWidth="1"/>
    <col min="10501" max="10509" width="4.140625" customWidth="1"/>
    <col min="10510" max="10510" width="3.7109375" customWidth="1"/>
    <col min="10511" max="10541" width="4.42578125" customWidth="1"/>
    <col min="10753" max="10753" width="4.140625" customWidth="1"/>
    <col min="10754" max="10754" width="4" customWidth="1"/>
    <col min="10755" max="10755" width="4.140625" customWidth="1"/>
    <col min="10756" max="10756" width="3.85546875" customWidth="1"/>
    <col min="10757" max="10765" width="4.140625" customWidth="1"/>
    <col min="10766" max="10766" width="3.7109375" customWidth="1"/>
    <col min="10767" max="10797" width="4.42578125" customWidth="1"/>
    <col min="11009" max="11009" width="4.140625" customWidth="1"/>
    <col min="11010" max="11010" width="4" customWidth="1"/>
    <col min="11011" max="11011" width="4.140625" customWidth="1"/>
    <col min="11012" max="11012" width="3.85546875" customWidth="1"/>
    <col min="11013" max="11021" width="4.140625" customWidth="1"/>
    <col min="11022" max="11022" width="3.7109375" customWidth="1"/>
    <col min="11023" max="11053" width="4.42578125" customWidth="1"/>
    <col min="11265" max="11265" width="4.140625" customWidth="1"/>
    <col min="11266" max="11266" width="4" customWidth="1"/>
    <col min="11267" max="11267" width="4.140625" customWidth="1"/>
    <col min="11268" max="11268" width="3.85546875" customWidth="1"/>
    <col min="11269" max="11277" width="4.140625" customWidth="1"/>
    <col min="11278" max="11278" width="3.7109375" customWidth="1"/>
    <col min="11279" max="11309" width="4.42578125" customWidth="1"/>
    <col min="11521" max="11521" width="4.140625" customWidth="1"/>
    <col min="11522" max="11522" width="4" customWidth="1"/>
    <col min="11523" max="11523" width="4.140625" customWidth="1"/>
    <col min="11524" max="11524" width="3.85546875" customWidth="1"/>
    <col min="11525" max="11533" width="4.140625" customWidth="1"/>
    <col min="11534" max="11534" width="3.7109375" customWidth="1"/>
    <col min="11535" max="11565" width="4.42578125" customWidth="1"/>
    <col min="11777" max="11777" width="4.140625" customWidth="1"/>
    <col min="11778" max="11778" width="4" customWidth="1"/>
    <col min="11779" max="11779" width="4.140625" customWidth="1"/>
    <col min="11780" max="11780" width="3.85546875" customWidth="1"/>
    <col min="11781" max="11789" width="4.140625" customWidth="1"/>
    <col min="11790" max="11790" width="3.7109375" customWidth="1"/>
    <col min="11791" max="11821" width="4.42578125" customWidth="1"/>
    <col min="12033" max="12033" width="4.140625" customWidth="1"/>
    <col min="12034" max="12034" width="4" customWidth="1"/>
    <col min="12035" max="12035" width="4.140625" customWidth="1"/>
    <col min="12036" max="12036" width="3.85546875" customWidth="1"/>
    <col min="12037" max="12045" width="4.140625" customWidth="1"/>
    <col min="12046" max="12046" width="3.7109375" customWidth="1"/>
    <col min="12047" max="12077" width="4.42578125" customWidth="1"/>
    <col min="12289" max="12289" width="4.140625" customWidth="1"/>
    <col min="12290" max="12290" width="4" customWidth="1"/>
    <col min="12291" max="12291" width="4.140625" customWidth="1"/>
    <col min="12292" max="12292" width="3.85546875" customWidth="1"/>
    <col min="12293" max="12301" width="4.140625" customWidth="1"/>
    <col min="12302" max="12302" width="3.7109375" customWidth="1"/>
    <col min="12303" max="12333" width="4.42578125" customWidth="1"/>
    <col min="12545" max="12545" width="4.140625" customWidth="1"/>
    <col min="12546" max="12546" width="4" customWidth="1"/>
    <col min="12547" max="12547" width="4.140625" customWidth="1"/>
    <col min="12548" max="12548" width="3.85546875" customWidth="1"/>
    <col min="12549" max="12557" width="4.140625" customWidth="1"/>
    <col min="12558" max="12558" width="3.7109375" customWidth="1"/>
    <col min="12559" max="12589" width="4.42578125" customWidth="1"/>
    <col min="12801" max="12801" width="4.140625" customWidth="1"/>
    <col min="12802" max="12802" width="4" customWidth="1"/>
    <col min="12803" max="12803" width="4.140625" customWidth="1"/>
    <col min="12804" max="12804" width="3.85546875" customWidth="1"/>
    <col min="12805" max="12813" width="4.140625" customWidth="1"/>
    <col min="12814" max="12814" width="3.7109375" customWidth="1"/>
    <col min="12815" max="12845" width="4.42578125" customWidth="1"/>
    <col min="13057" max="13057" width="4.140625" customWidth="1"/>
    <col min="13058" max="13058" width="4" customWidth="1"/>
    <col min="13059" max="13059" width="4.140625" customWidth="1"/>
    <col min="13060" max="13060" width="3.85546875" customWidth="1"/>
    <col min="13061" max="13069" width="4.140625" customWidth="1"/>
    <col min="13070" max="13070" width="3.7109375" customWidth="1"/>
    <col min="13071" max="13101" width="4.42578125" customWidth="1"/>
    <col min="13313" max="13313" width="4.140625" customWidth="1"/>
    <col min="13314" max="13314" width="4" customWidth="1"/>
    <col min="13315" max="13315" width="4.140625" customWidth="1"/>
    <col min="13316" max="13316" width="3.85546875" customWidth="1"/>
    <col min="13317" max="13325" width="4.140625" customWidth="1"/>
    <col min="13326" max="13326" width="3.7109375" customWidth="1"/>
    <col min="13327" max="13357" width="4.42578125" customWidth="1"/>
    <col min="13569" max="13569" width="4.140625" customWidth="1"/>
    <col min="13570" max="13570" width="4" customWidth="1"/>
    <col min="13571" max="13571" width="4.140625" customWidth="1"/>
    <col min="13572" max="13572" width="3.85546875" customWidth="1"/>
    <col min="13573" max="13581" width="4.140625" customWidth="1"/>
    <col min="13582" max="13582" width="3.7109375" customWidth="1"/>
    <col min="13583" max="13613" width="4.42578125" customWidth="1"/>
    <col min="13825" max="13825" width="4.140625" customWidth="1"/>
    <col min="13826" max="13826" width="4" customWidth="1"/>
    <col min="13827" max="13827" width="4.140625" customWidth="1"/>
    <col min="13828" max="13828" width="3.85546875" customWidth="1"/>
    <col min="13829" max="13837" width="4.140625" customWidth="1"/>
    <col min="13838" max="13838" width="3.7109375" customWidth="1"/>
    <col min="13839" max="13869" width="4.42578125" customWidth="1"/>
    <col min="14081" max="14081" width="4.140625" customWidth="1"/>
    <col min="14082" max="14082" width="4" customWidth="1"/>
    <col min="14083" max="14083" width="4.140625" customWidth="1"/>
    <col min="14084" max="14084" width="3.85546875" customWidth="1"/>
    <col min="14085" max="14093" width="4.140625" customWidth="1"/>
    <col min="14094" max="14094" width="3.7109375" customWidth="1"/>
    <col min="14095" max="14125" width="4.42578125" customWidth="1"/>
    <col min="14337" max="14337" width="4.140625" customWidth="1"/>
    <col min="14338" max="14338" width="4" customWidth="1"/>
    <col min="14339" max="14339" width="4.140625" customWidth="1"/>
    <col min="14340" max="14340" width="3.85546875" customWidth="1"/>
    <col min="14341" max="14349" width="4.140625" customWidth="1"/>
    <col min="14350" max="14350" width="3.7109375" customWidth="1"/>
    <col min="14351" max="14381" width="4.42578125" customWidth="1"/>
    <col min="14593" max="14593" width="4.140625" customWidth="1"/>
    <col min="14594" max="14594" width="4" customWidth="1"/>
    <col min="14595" max="14595" width="4.140625" customWidth="1"/>
    <col min="14596" max="14596" width="3.85546875" customWidth="1"/>
    <col min="14597" max="14605" width="4.140625" customWidth="1"/>
    <col min="14606" max="14606" width="3.7109375" customWidth="1"/>
    <col min="14607" max="14637" width="4.42578125" customWidth="1"/>
    <col min="14849" max="14849" width="4.140625" customWidth="1"/>
    <col min="14850" max="14850" width="4" customWidth="1"/>
    <col min="14851" max="14851" width="4.140625" customWidth="1"/>
    <col min="14852" max="14852" width="3.85546875" customWidth="1"/>
    <col min="14853" max="14861" width="4.140625" customWidth="1"/>
    <col min="14862" max="14862" width="3.7109375" customWidth="1"/>
    <col min="14863" max="14893" width="4.42578125" customWidth="1"/>
    <col min="15105" max="15105" width="4.140625" customWidth="1"/>
    <col min="15106" max="15106" width="4" customWidth="1"/>
    <col min="15107" max="15107" width="4.140625" customWidth="1"/>
    <col min="15108" max="15108" width="3.85546875" customWidth="1"/>
    <col min="15109" max="15117" width="4.140625" customWidth="1"/>
    <col min="15118" max="15118" width="3.7109375" customWidth="1"/>
    <col min="15119" max="15149" width="4.42578125" customWidth="1"/>
    <col min="15361" max="15361" width="4.140625" customWidth="1"/>
    <col min="15362" max="15362" width="4" customWidth="1"/>
    <col min="15363" max="15363" width="4.140625" customWidth="1"/>
    <col min="15364" max="15364" width="3.85546875" customWidth="1"/>
    <col min="15365" max="15373" width="4.140625" customWidth="1"/>
    <col min="15374" max="15374" width="3.7109375" customWidth="1"/>
    <col min="15375" max="15405" width="4.42578125" customWidth="1"/>
    <col min="15617" max="15617" width="4.140625" customWidth="1"/>
    <col min="15618" max="15618" width="4" customWidth="1"/>
    <col min="15619" max="15619" width="4.140625" customWidth="1"/>
    <col min="15620" max="15620" width="3.85546875" customWidth="1"/>
    <col min="15621" max="15629" width="4.140625" customWidth="1"/>
    <col min="15630" max="15630" width="3.7109375" customWidth="1"/>
    <col min="15631" max="15661" width="4.42578125" customWidth="1"/>
    <col min="15873" max="15873" width="4.140625" customWidth="1"/>
    <col min="15874" max="15874" width="4" customWidth="1"/>
    <col min="15875" max="15875" width="4.140625" customWidth="1"/>
    <col min="15876" max="15876" width="3.85546875" customWidth="1"/>
    <col min="15877" max="15885" width="4.140625" customWidth="1"/>
    <col min="15886" max="15886" width="3.7109375" customWidth="1"/>
    <col min="15887" max="15917" width="4.42578125" customWidth="1"/>
    <col min="16129" max="16129" width="4.140625" customWidth="1"/>
    <col min="16130" max="16130" width="4" customWidth="1"/>
    <col min="16131" max="16131" width="4.140625" customWidth="1"/>
    <col min="16132" max="16132" width="3.85546875" customWidth="1"/>
    <col min="16133" max="16141" width="4.140625" customWidth="1"/>
    <col min="16142" max="16142" width="3.7109375" customWidth="1"/>
    <col min="16143" max="16173" width="4.42578125" customWidth="1"/>
  </cols>
  <sheetData>
    <row r="1" spans="1:45" ht="15" customHeight="1" x14ac:dyDescent="0.25">
      <c r="A1" s="415" t="s">
        <v>18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  <c r="AI1" s="416"/>
      <c r="AJ1" s="416"/>
      <c r="AK1" s="416"/>
      <c r="AL1" s="416"/>
      <c r="AM1" s="416"/>
      <c r="AN1" s="416"/>
      <c r="AO1" s="416"/>
      <c r="AP1" s="416"/>
      <c r="AQ1" s="416"/>
      <c r="AR1" s="416"/>
      <c r="AS1" s="416"/>
    </row>
    <row r="2" spans="1:45" ht="1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8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8"/>
      <c r="AD3" s="418"/>
      <c r="AE3" s="418"/>
      <c r="AF3" s="418"/>
      <c r="AG3" s="418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8"/>
      <c r="AD4" s="418"/>
      <c r="AE4" s="418"/>
      <c r="AF4" s="418"/>
      <c r="AG4" s="418"/>
      <c r="AH4" s="418"/>
      <c r="AI4" s="418"/>
      <c r="AJ4" s="418"/>
      <c r="AK4" s="418"/>
      <c r="AL4" s="418"/>
      <c r="AM4" s="418"/>
      <c r="AN4" s="418"/>
      <c r="AO4" s="418"/>
      <c r="AP4" s="418"/>
      <c r="AQ4" s="418"/>
      <c r="AR4" s="418"/>
      <c r="AS4" s="418"/>
    </row>
    <row r="5" spans="1:45" ht="28.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420"/>
      <c r="AF5" s="420"/>
      <c r="AG5" s="420"/>
      <c r="AH5" s="420"/>
      <c r="AI5" s="420"/>
      <c r="AJ5" s="420"/>
      <c r="AK5" s="420"/>
      <c r="AL5" s="420"/>
      <c r="AM5" s="420"/>
      <c r="AN5" s="420"/>
      <c r="AO5" s="420"/>
      <c r="AP5" s="420"/>
      <c r="AQ5" s="420"/>
      <c r="AR5" s="420"/>
      <c r="AS5" s="420"/>
    </row>
    <row r="6" spans="1:45" s="1" customFormat="1" ht="15" customHeight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</row>
    <row r="7" spans="1:45" s="1" customFormat="1" ht="38.450000000000003" customHeight="1" thickBot="1" x14ac:dyDescent="0.3">
      <c r="A7" s="9"/>
      <c r="B7" s="421" t="s">
        <v>17</v>
      </c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</row>
    <row r="8" spans="1:45" s="1" customFormat="1" ht="1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8"/>
      <c r="O8" s="8"/>
      <c r="P8" s="8"/>
      <c r="Q8" s="8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8"/>
      <c r="AG8" s="8"/>
      <c r="AH8" s="5"/>
      <c r="AI8" s="5"/>
      <c r="AJ8" s="5"/>
      <c r="AK8" s="8"/>
      <c r="AL8" s="8"/>
      <c r="AM8" s="5"/>
      <c r="AN8" s="5"/>
      <c r="AO8" s="5"/>
      <c r="AP8" s="8"/>
      <c r="AQ8" s="8"/>
      <c r="AR8" s="5"/>
      <c r="AS8" s="5"/>
    </row>
    <row r="9" spans="1:45" ht="21.75" customHeight="1" x14ac:dyDescent="0.35">
      <c r="A9" s="7"/>
      <c r="B9" s="423" t="s">
        <v>8</v>
      </c>
      <c r="C9" s="423"/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19"/>
      <c r="O9" s="19"/>
      <c r="P9" s="19"/>
      <c r="Q9" s="424" t="s">
        <v>12</v>
      </c>
      <c r="R9" s="424"/>
      <c r="S9" s="424"/>
      <c r="T9" s="424"/>
      <c r="U9" s="424"/>
      <c r="V9" s="56"/>
      <c r="W9" s="424" t="s">
        <v>13</v>
      </c>
      <c r="X9" s="424"/>
      <c r="Y9" s="424"/>
      <c r="Z9" s="424"/>
      <c r="AA9" s="424"/>
      <c r="AB9" s="56"/>
      <c r="AC9" s="424" t="s">
        <v>14</v>
      </c>
      <c r="AD9" s="424"/>
      <c r="AE9" s="424"/>
      <c r="AF9" s="424"/>
      <c r="AG9" s="424"/>
      <c r="AH9" s="56"/>
      <c r="AI9" s="424" t="s">
        <v>15</v>
      </c>
      <c r="AJ9" s="424"/>
      <c r="AK9" s="424"/>
      <c r="AL9" s="424"/>
      <c r="AM9" s="424"/>
      <c r="AN9" s="56"/>
      <c r="AO9" s="424" t="s">
        <v>16</v>
      </c>
      <c r="AP9" s="424"/>
      <c r="AQ9" s="424"/>
      <c r="AR9" s="424"/>
      <c r="AS9" s="424"/>
    </row>
    <row r="10" spans="1:45" ht="15.6" customHeight="1" x14ac:dyDescent="0.25">
      <c r="A10" s="7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3"/>
      <c r="O10" s="3"/>
      <c r="P10" s="3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</row>
    <row r="11" spans="1:45" ht="9" customHeight="1" x14ac:dyDescent="0.4">
      <c r="A11" s="408">
        <v>7800</v>
      </c>
      <c r="B11" s="21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O11" s="54"/>
      <c r="P11" s="403">
        <v>1560</v>
      </c>
      <c r="Q11" s="38"/>
      <c r="R11" s="20"/>
      <c r="S11" s="20"/>
      <c r="T11" s="20"/>
      <c r="U11" s="20"/>
      <c r="V11" s="403">
        <v>1560</v>
      </c>
      <c r="W11" s="38"/>
      <c r="X11" s="20"/>
      <c r="Y11" s="20"/>
      <c r="Z11" s="20"/>
      <c r="AA11" s="20"/>
      <c r="AB11" s="403">
        <v>1560</v>
      </c>
      <c r="AC11" s="38"/>
      <c r="AD11" s="20"/>
      <c r="AE11" s="20"/>
      <c r="AF11" s="20"/>
      <c r="AG11" s="20"/>
      <c r="AH11" s="403">
        <v>1560</v>
      </c>
      <c r="AI11" s="38"/>
      <c r="AJ11" s="20"/>
      <c r="AK11" s="20"/>
      <c r="AL11" s="20"/>
      <c r="AM11" s="20"/>
      <c r="AN11" s="403">
        <v>1560</v>
      </c>
      <c r="AO11" s="38"/>
      <c r="AP11" s="20"/>
      <c r="AQ11" s="20"/>
      <c r="AR11" s="20"/>
      <c r="AS11" s="20"/>
    </row>
    <row r="12" spans="1:45" ht="9" customHeight="1" x14ac:dyDescent="0.4">
      <c r="A12" s="408"/>
      <c r="B12" s="41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O12" s="54"/>
      <c r="P12" s="403"/>
      <c r="Q12" s="42"/>
      <c r="R12" s="33"/>
      <c r="S12" s="33"/>
      <c r="T12" s="33"/>
      <c r="U12" s="33"/>
      <c r="V12" s="403"/>
      <c r="W12" s="42"/>
      <c r="X12" s="33"/>
      <c r="Y12" s="33"/>
      <c r="Z12" s="33"/>
      <c r="AA12" s="33"/>
      <c r="AB12" s="403"/>
      <c r="AC12" s="42"/>
      <c r="AD12" s="33"/>
      <c r="AE12" s="33"/>
      <c r="AF12" s="33"/>
      <c r="AG12" s="33"/>
      <c r="AH12" s="403"/>
      <c r="AI12" s="42"/>
      <c r="AJ12" s="33"/>
      <c r="AK12" s="33"/>
      <c r="AL12" s="33"/>
      <c r="AM12" s="33"/>
      <c r="AN12" s="403"/>
      <c r="AO12" s="42"/>
      <c r="AP12" s="33"/>
      <c r="AQ12" s="33"/>
      <c r="AR12" s="33"/>
      <c r="AS12" s="33"/>
    </row>
    <row r="13" spans="1:45" ht="9" customHeight="1" x14ac:dyDescent="0.4">
      <c r="A13" s="408">
        <v>7600</v>
      </c>
      <c r="B13" s="21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O13" s="54"/>
      <c r="P13" s="403">
        <v>1520</v>
      </c>
      <c r="Q13" s="38"/>
      <c r="R13" s="20"/>
      <c r="S13" s="20"/>
      <c r="T13" s="20"/>
      <c r="U13" s="20"/>
      <c r="V13" s="403">
        <v>1520</v>
      </c>
      <c r="W13" s="38"/>
      <c r="X13" s="20"/>
      <c r="Y13" s="20"/>
      <c r="Z13" s="20"/>
      <c r="AA13" s="20"/>
      <c r="AB13" s="403">
        <v>1520</v>
      </c>
      <c r="AC13" s="38"/>
      <c r="AD13" s="20"/>
      <c r="AE13" s="20"/>
      <c r="AF13" s="20"/>
      <c r="AG13" s="20"/>
      <c r="AH13" s="403">
        <v>1520</v>
      </c>
      <c r="AI13" s="38"/>
      <c r="AJ13" s="20"/>
      <c r="AK13" s="20"/>
      <c r="AL13" s="20"/>
      <c r="AM13" s="20"/>
      <c r="AN13" s="403">
        <v>1520</v>
      </c>
      <c r="AO13" s="38"/>
      <c r="AP13" s="20"/>
      <c r="AQ13" s="20"/>
      <c r="AR13" s="20"/>
      <c r="AS13" s="20"/>
    </row>
    <row r="14" spans="1:45" ht="9" customHeight="1" x14ac:dyDescent="0.4">
      <c r="A14" s="408"/>
      <c r="B14" s="41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O14" s="54"/>
      <c r="P14" s="403"/>
      <c r="Q14" s="42"/>
      <c r="R14" s="33"/>
      <c r="S14" s="33"/>
      <c r="T14" s="33"/>
      <c r="U14" s="33"/>
      <c r="V14" s="403"/>
      <c r="W14" s="42"/>
      <c r="X14" s="33"/>
      <c r="Y14" s="33"/>
      <c r="Z14" s="33"/>
      <c r="AA14" s="33"/>
      <c r="AB14" s="403"/>
      <c r="AC14" s="42"/>
      <c r="AD14" s="33"/>
      <c r="AE14" s="33"/>
      <c r="AF14" s="33"/>
      <c r="AG14" s="33"/>
      <c r="AH14" s="403"/>
      <c r="AI14" s="42"/>
      <c r="AJ14" s="33"/>
      <c r="AK14" s="33"/>
      <c r="AL14" s="33"/>
      <c r="AM14" s="33"/>
      <c r="AN14" s="403"/>
      <c r="AO14" s="42"/>
      <c r="AP14" s="33"/>
      <c r="AQ14" s="33"/>
      <c r="AR14" s="33"/>
      <c r="AS14" s="33"/>
    </row>
    <row r="15" spans="1:45" ht="9" customHeight="1" x14ac:dyDescent="0.4">
      <c r="A15" s="408">
        <v>7400</v>
      </c>
      <c r="B15" s="21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O15" s="55"/>
      <c r="P15" s="407">
        <v>1480</v>
      </c>
      <c r="Q15" s="38"/>
      <c r="R15" s="20"/>
      <c r="S15" s="20"/>
      <c r="T15" s="20"/>
      <c r="U15" s="20"/>
      <c r="V15" s="407">
        <v>1480</v>
      </c>
      <c r="W15" s="38"/>
      <c r="X15" s="20"/>
      <c r="Y15" s="20"/>
      <c r="Z15" s="20"/>
      <c r="AA15" s="20"/>
      <c r="AB15" s="407">
        <v>1480</v>
      </c>
      <c r="AC15" s="38"/>
      <c r="AD15" s="20"/>
      <c r="AE15" s="20"/>
      <c r="AF15" s="20"/>
      <c r="AG15" s="20"/>
      <c r="AH15" s="407">
        <v>1480</v>
      </c>
      <c r="AI15" s="38"/>
      <c r="AJ15" s="20"/>
      <c r="AK15" s="20"/>
      <c r="AL15" s="20"/>
      <c r="AM15" s="20"/>
      <c r="AN15" s="407">
        <v>1480</v>
      </c>
      <c r="AO15" s="38"/>
      <c r="AP15" s="20"/>
      <c r="AQ15" s="20"/>
      <c r="AR15" s="20"/>
      <c r="AS15" s="20"/>
    </row>
    <row r="16" spans="1:45" ht="9" customHeight="1" x14ac:dyDescent="0.4">
      <c r="A16" s="408"/>
      <c r="B16" s="41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O16" s="55"/>
      <c r="P16" s="407"/>
      <c r="Q16" s="34"/>
      <c r="R16" s="33"/>
      <c r="S16" s="35"/>
      <c r="T16" s="33"/>
      <c r="U16" s="14"/>
      <c r="V16" s="407"/>
      <c r="W16" s="34"/>
      <c r="X16" s="33"/>
      <c r="Y16" s="35"/>
      <c r="Z16" s="33"/>
      <c r="AA16" s="14"/>
      <c r="AB16" s="407"/>
      <c r="AC16" s="34"/>
      <c r="AD16" s="33"/>
      <c r="AE16" s="35"/>
      <c r="AF16" s="33"/>
      <c r="AG16" s="14"/>
      <c r="AH16" s="407"/>
      <c r="AI16" s="34"/>
      <c r="AJ16" s="33"/>
      <c r="AK16" s="35"/>
      <c r="AL16" s="33"/>
      <c r="AM16" s="14"/>
      <c r="AN16" s="407"/>
      <c r="AO16" s="34"/>
      <c r="AP16" s="33"/>
      <c r="AQ16" s="35"/>
      <c r="AR16" s="33"/>
      <c r="AS16" s="14"/>
    </row>
    <row r="17" spans="1:45" ht="9" customHeight="1" x14ac:dyDescent="0.4">
      <c r="A17" s="408">
        <v>7200</v>
      </c>
      <c r="B17" s="21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O17" s="54"/>
      <c r="P17" s="403">
        <v>1440</v>
      </c>
      <c r="Q17" s="46"/>
      <c r="R17" s="20"/>
      <c r="S17" s="26"/>
      <c r="T17" s="20"/>
      <c r="U17" s="12"/>
      <c r="V17" s="403">
        <v>1440</v>
      </c>
      <c r="W17" s="46"/>
      <c r="X17" s="20"/>
      <c r="Y17" s="26"/>
      <c r="Z17" s="20"/>
      <c r="AA17" s="12"/>
      <c r="AB17" s="403">
        <v>1440</v>
      </c>
      <c r="AC17" s="46"/>
      <c r="AD17" s="20"/>
      <c r="AE17" s="26"/>
      <c r="AF17" s="20"/>
      <c r="AG17" s="12"/>
      <c r="AH17" s="403">
        <v>1440</v>
      </c>
      <c r="AI17" s="46"/>
      <c r="AJ17" s="20"/>
      <c r="AK17" s="26"/>
      <c r="AL17" s="20"/>
      <c r="AM17" s="12"/>
      <c r="AN17" s="403">
        <v>1440</v>
      </c>
      <c r="AO17" s="46"/>
      <c r="AP17" s="20"/>
      <c r="AQ17" s="26"/>
      <c r="AR17" s="20"/>
      <c r="AS17" s="12"/>
    </row>
    <row r="18" spans="1:45" ht="9" customHeight="1" x14ac:dyDescent="0.4">
      <c r="A18" s="408"/>
      <c r="B18" s="41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O18" s="54"/>
      <c r="P18" s="403"/>
      <c r="Q18" s="34"/>
      <c r="R18" s="33"/>
      <c r="S18" s="35"/>
      <c r="T18" s="33"/>
      <c r="U18" s="14"/>
      <c r="V18" s="403"/>
      <c r="W18" s="34"/>
      <c r="X18" s="33"/>
      <c r="Y18" s="35"/>
      <c r="Z18" s="33"/>
      <c r="AA18" s="14"/>
      <c r="AB18" s="403"/>
      <c r="AC18" s="34"/>
      <c r="AD18" s="33"/>
      <c r="AE18" s="35"/>
      <c r="AF18" s="33"/>
      <c r="AG18" s="14"/>
      <c r="AH18" s="403"/>
      <c r="AI18" s="34"/>
      <c r="AJ18" s="33"/>
      <c r="AK18" s="35"/>
      <c r="AL18" s="33"/>
      <c r="AM18" s="14"/>
      <c r="AN18" s="403"/>
      <c r="AO18" s="34"/>
      <c r="AP18" s="33"/>
      <c r="AQ18" s="35"/>
      <c r="AR18" s="33"/>
      <c r="AS18" s="14"/>
    </row>
    <row r="19" spans="1:45" ht="9" customHeight="1" x14ac:dyDescent="0.4">
      <c r="A19" s="408">
        <v>7000</v>
      </c>
      <c r="B19" s="21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O19" s="54"/>
      <c r="P19" s="403">
        <v>1400</v>
      </c>
      <c r="Q19" s="38"/>
      <c r="R19" s="20"/>
      <c r="S19" s="26"/>
      <c r="T19" s="20"/>
      <c r="U19" s="12"/>
      <c r="V19" s="403">
        <v>1400</v>
      </c>
      <c r="W19" s="38"/>
      <c r="X19" s="20"/>
      <c r="Y19" s="26"/>
      <c r="Z19" s="20"/>
      <c r="AA19" s="12"/>
      <c r="AB19" s="403">
        <v>1400</v>
      </c>
      <c r="AC19" s="38"/>
      <c r="AD19" s="20"/>
      <c r="AE19" s="26"/>
      <c r="AF19" s="20"/>
      <c r="AG19" s="12"/>
      <c r="AH19" s="403">
        <v>1400</v>
      </c>
      <c r="AI19" s="38"/>
      <c r="AJ19" s="20"/>
      <c r="AK19" s="26"/>
      <c r="AL19" s="20"/>
      <c r="AM19" s="12"/>
      <c r="AN19" s="403">
        <v>1400</v>
      </c>
      <c r="AO19" s="38"/>
      <c r="AP19" s="20"/>
      <c r="AQ19" s="26"/>
      <c r="AR19" s="20"/>
      <c r="AS19" s="12"/>
    </row>
    <row r="20" spans="1:45" ht="9" customHeight="1" x14ac:dyDescent="0.4">
      <c r="A20" s="408"/>
      <c r="B20" s="41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O20" s="54"/>
      <c r="P20" s="403"/>
      <c r="Q20" s="34"/>
      <c r="R20" s="33"/>
      <c r="S20" s="35"/>
      <c r="T20" s="33"/>
      <c r="U20" s="14"/>
      <c r="V20" s="403"/>
      <c r="W20" s="34"/>
      <c r="X20" s="33"/>
      <c r="Y20" s="35"/>
      <c r="Z20" s="33"/>
      <c r="AA20" s="14"/>
      <c r="AB20" s="403"/>
      <c r="AC20" s="34"/>
      <c r="AD20" s="33"/>
      <c r="AE20" s="35"/>
      <c r="AF20" s="33"/>
      <c r="AG20" s="14"/>
      <c r="AH20" s="403"/>
      <c r="AI20" s="34"/>
      <c r="AJ20" s="33"/>
      <c r="AK20" s="35"/>
      <c r="AL20" s="33"/>
      <c r="AM20" s="14"/>
      <c r="AN20" s="403"/>
      <c r="AO20" s="34"/>
      <c r="AP20" s="33"/>
      <c r="AQ20" s="35"/>
      <c r="AR20" s="33"/>
      <c r="AS20" s="14"/>
    </row>
    <row r="21" spans="1:45" ht="9" customHeight="1" x14ac:dyDescent="0.4">
      <c r="A21" s="408">
        <v>6800</v>
      </c>
      <c r="B21" s="21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O21" s="54"/>
      <c r="P21" s="403">
        <v>1360</v>
      </c>
      <c r="Q21" s="46"/>
      <c r="R21" s="20"/>
      <c r="S21" s="26"/>
      <c r="T21" s="20"/>
      <c r="U21" s="12"/>
      <c r="V21" s="403">
        <v>1360</v>
      </c>
      <c r="W21" s="46"/>
      <c r="X21" s="20"/>
      <c r="Y21" s="26"/>
      <c r="Z21" s="20"/>
      <c r="AA21" s="12"/>
      <c r="AB21" s="403">
        <v>1360</v>
      </c>
      <c r="AC21" s="46"/>
      <c r="AD21" s="20"/>
      <c r="AE21" s="26"/>
      <c r="AF21" s="20"/>
      <c r="AG21" s="12"/>
      <c r="AH21" s="403">
        <v>1360</v>
      </c>
      <c r="AI21" s="46"/>
      <c r="AJ21" s="20"/>
      <c r="AK21" s="26"/>
      <c r="AL21" s="20"/>
      <c r="AM21" s="12"/>
      <c r="AN21" s="403">
        <v>1360</v>
      </c>
      <c r="AO21" s="46"/>
      <c r="AP21" s="20"/>
      <c r="AQ21" s="26"/>
      <c r="AR21" s="20"/>
      <c r="AS21" s="12"/>
    </row>
    <row r="22" spans="1:45" ht="9" customHeight="1" x14ac:dyDescent="0.4">
      <c r="A22" s="408"/>
      <c r="B22" s="41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O22" s="54"/>
      <c r="P22" s="403"/>
      <c r="Q22" s="34"/>
      <c r="R22" s="33"/>
      <c r="S22" s="35"/>
      <c r="T22" s="33"/>
      <c r="U22" s="14"/>
      <c r="V22" s="403"/>
      <c r="W22" s="34"/>
      <c r="X22" s="33"/>
      <c r="Y22" s="35"/>
      <c r="Z22" s="33"/>
      <c r="AA22" s="14"/>
      <c r="AB22" s="403"/>
      <c r="AC22" s="34"/>
      <c r="AD22" s="33"/>
      <c r="AE22" s="35"/>
      <c r="AF22" s="33"/>
      <c r="AG22" s="14"/>
      <c r="AH22" s="403"/>
      <c r="AI22" s="34"/>
      <c r="AJ22" s="33"/>
      <c r="AK22" s="35"/>
      <c r="AL22" s="33"/>
      <c r="AM22" s="14"/>
      <c r="AN22" s="403"/>
      <c r="AO22" s="34"/>
      <c r="AP22" s="33"/>
      <c r="AQ22" s="35"/>
      <c r="AR22" s="33"/>
      <c r="AS22" s="14"/>
    </row>
    <row r="23" spans="1:45" ht="9" customHeight="1" x14ac:dyDescent="0.4">
      <c r="A23" s="408">
        <v>6600</v>
      </c>
      <c r="B23" s="21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O23" s="54"/>
      <c r="P23" s="403">
        <v>1320</v>
      </c>
      <c r="Q23" s="46"/>
      <c r="R23" s="20"/>
      <c r="S23" s="26"/>
      <c r="T23" s="20"/>
      <c r="U23" s="12"/>
      <c r="V23" s="403">
        <v>1320</v>
      </c>
      <c r="W23" s="46"/>
      <c r="X23" s="20"/>
      <c r="Y23" s="26"/>
      <c r="Z23" s="20"/>
      <c r="AA23" s="12"/>
      <c r="AB23" s="403">
        <v>1320</v>
      </c>
      <c r="AC23" s="46"/>
      <c r="AD23" s="20"/>
      <c r="AE23" s="26"/>
      <c r="AF23" s="20"/>
      <c r="AG23" s="12"/>
      <c r="AH23" s="403">
        <v>1320</v>
      </c>
      <c r="AI23" s="46"/>
      <c r="AJ23" s="20"/>
      <c r="AK23" s="26"/>
      <c r="AL23" s="20"/>
      <c r="AM23" s="12"/>
      <c r="AN23" s="403">
        <v>1320</v>
      </c>
      <c r="AO23" s="46"/>
      <c r="AP23" s="20"/>
      <c r="AQ23" s="26"/>
      <c r="AR23" s="20"/>
      <c r="AS23" s="12"/>
    </row>
    <row r="24" spans="1:45" ht="9" customHeight="1" x14ac:dyDescent="0.4">
      <c r="A24" s="408"/>
      <c r="B24" s="41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O24" s="54"/>
      <c r="P24" s="403"/>
      <c r="Q24" s="34"/>
      <c r="R24" s="33"/>
      <c r="S24" s="35"/>
      <c r="T24" s="33"/>
      <c r="U24" s="14"/>
      <c r="V24" s="403"/>
      <c r="W24" s="34"/>
      <c r="X24" s="33"/>
      <c r="Y24" s="35"/>
      <c r="Z24" s="33"/>
      <c r="AA24" s="14"/>
      <c r="AB24" s="403"/>
      <c r="AC24" s="34"/>
      <c r="AD24" s="33"/>
      <c r="AE24" s="35"/>
      <c r="AF24" s="33"/>
      <c r="AG24" s="14"/>
      <c r="AH24" s="403"/>
      <c r="AI24" s="34"/>
      <c r="AJ24" s="33"/>
      <c r="AK24" s="35"/>
      <c r="AL24" s="33"/>
      <c r="AM24" s="14"/>
      <c r="AN24" s="403"/>
      <c r="AO24" s="34"/>
      <c r="AP24" s="33"/>
      <c r="AQ24" s="35"/>
      <c r="AR24" s="33"/>
      <c r="AS24" s="14"/>
    </row>
    <row r="25" spans="1:45" ht="9" customHeight="1" x14ac:dyDescent="0.4">
      <c r="A25" s="408">
        <v>6400</v>
      </c>
      <c r="B25" s="21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O25" s="55"/>
      <c r="P25" s="407">
        <v>1280</v>
      </c>
      <c r="Q25" s="46"/>
      <c r="R25" s="20"/>
      <c r="S25" s="26"/>
      <c r="T25" s="20"/>
      <c r="U25" s="12"/>
      <c r="V25" s="407">
        <v>1280</v>
      </c>
      <c r="W25" s="46"/>
      <c r="X25" s="20"/>
      <c r="Y25" s="26"/>
      <c r="Z25" s="20"/>
      <c r="AA25" s="12"/>
      <c r="AB25" s="407">
        <v>1280</v>
      </c>
      <c r="AC25" s="46"/>
      <c r="AD25" s="20"/>
      <c r="AE25" s="26"/>
      <c r="AF25" s="20"/>
      <c r="AG25" s="12"/>
      <c r="AH25" s="407">
        <v>1280</v>
      </c>
      <c r="AI25" s="46"/>
      <c r="AJ25" s="20"/>
      <c r="AK25" s="26"/>
      <c r="AL25" s="20"/>
      <c r="AM25" s="12"/>
      <c r="AN25" s="407">
        <v>1280</v>
      </c>
      <c r="AO25" s="46"/>
      <c r="AP25" s="20"/>
      <c r="AQ25" s="26"/>
      <c r="AR25" s="20"/>
      <c r="AS25" s="12"/>
    </row>
    <row r="26" spans="1:45" ht="9" customHeight="1" x14ac:dyDescent="0.4">
      <c r="A26" s="408"/>
      <c r="B26" s="41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O26" s="55"/>
      <c r="P26" s="407"/>
      <c r="Q26" s="34"/>
      <c r="R26" s="33"/>
      <c r="S26" s="35"/>
      <c r="T26" s="14"/>
      <c r="U26" s="14"/>
      <c r="V26" s="407"/>
      <c r="W26" s="34"/>
      <c r="X26" s="33"/>
      <c r="Y26" s="35"/>
      <c r="Z26" s="14"/>
      <c r="AA26" s="14"/>
      <c r="AB26" s="407"/>
      <c r="AC26" s="34"/>
      <c r="AD26" s="33"/>
      <c r="AE26" s="35"/>
      <c r="AF26" s="14"/>
      <c r="AG26" s="14"/>
      <c r="AH26" s="407"/>
      <c r="AI26" s="34"/>
      <c r="AJ26" s="33"/>
      <c r="AK26" s="35"/>
      <c r="AL26" s="14"/>
      <c r="AM26" s="14"/>
      <c r="AN26" s="407"/>
      <c r="AO26" s="34"/>
      <c r="AP26" s="33"/>
      <c r="AQ26" s="35"/>
      <c r="AR26" s="14"/>
      <c r="AS26" s="14"/>
    </row>
    <row r="27" spans="1:45" ht="9" customHeight="1" x14ac:dyDescent="0.4">
      <c r="A27" s="408">
        <v>6200</v>
      </c>
      <c r="B27" s="21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O27" s="54"/>
      <c r="P27" s="403">
        <v>1240</v>
      </c>
      <c r="Q27" s="46"/>
      <c r="R27" s="20"/>
      <c r="S27" s="26"/>
      <c r="T27" s="12"/>
      <c r="U27" s="12"/>
      <c r="V27" s="403">
        <v>1240</v>
      </c>
      <c r="W27" s="46"/>
      <c r="X27" s="20"/>
      <c r="Y27" s="26"/>
      <c r="Z27" s="12"/>
      <c r="AA27" s="12"/>
      <c r="AB27" s="403">
        <v>1240</v>
      </c>
      <c r="AC27" s="46"/>
      <c r="AD27" s="20"/>
      <c r="AE27" s="26"/>
      <c r="AF27" s="12"/>
      <c r="AG27" s="12"/>
      <c r="AH27" s="403">
        <v>1240</v>
      </c>
      <c r="AI27" s="46"/>
      <c r="AJ27" s="20"/>
      <c r="AK27" s="26"/>
      <c r="AL27" s="12"/>
      <c r="AM27" s="12"/>
      <c r="AN27" s="403">
        <v>1240</v>
      </c>
      <c r="AO27" s="46"/>
      <c r="AP27" s="20"/>
      <c r="AQ27" s="26"/>
      <c r="AR27" s="12"/>
      <c r="AS27" s="12"/>
    </row>
    <row r="28" spans="1:45" ht="9" customHeight="1" x14ac:dyDescent="0.4">
      <c r="A28" s="408"/>
      <c r="B28" s="41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O28" s="54"/>
      <c r="P28" s="403"/>
      <c r="Q28" s="34"/>
      <c r="R28" s="33"/>
      <c r="S28" s="35"/>
      <c r="T28" s="14"/>
      <c r="U28" s="14"/>
      <c r="V28" s="403"/>
      <c r="W28" s="34"/>
      <c r="X28" s="33"/>
      <c r="Y28" s="35"/>
      <c r="Z28" s="14"/>
      <c r="AA28" s="14"/>
      <c r="AB28" s="403"/>
      <c r="AC28" s="34"/>
      <c r="AD28" s="33"/>
      <c r="AE28" s="35"/>
      <c r="AF28" s="14"/>
      <c r="AG28" s="14"/>
      <c r="AH28" s="403"/>
      <c r="AI28" s="34"/>
      <c r="AJ28" s="33"/>
      <c r="AK28" s="35"/>
      <c r="AL28" s="14"/>
      <c r="AM28" s="14"/>
      <c r="AN28" s="403"/>
      <c r="AO28" s="34"/>
      <c r="AP28" s="33"/>
      <c r="AQ28" s="35"/>
      <c r="AR28" s="14"/>
      <c r="AS28" s="14"/>
    </row>
    <row r="29" spans="1:45" ht="9" customHeight="1" x14ac:dyDescent="0.4">
      <c r="A29" s="425">
        <v>5920</v>
      </c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O29" s="54"/>
      <c r="P29" s="403">
        <v>1200</v>
      </c>
      <c r="Q29" s="46"/>
      <c r="R29" s="20"/>
      <c r="S29" s="26"/>
      <c r="T29" s="12"/>
      <c r="U29" s="12"/>
      <c r="V29" s="403">
        <v>1200</v>
      </c>
      <c r="W29" s="46"/>
      <c r="X29" s="20"/>
      <c r="Y29" s="26"/>
      <c r="Z29" s="12"/>
      <c r="AA29" s="12"/>
      <c r="AB29" s="403">
        <v>1200</v>
      </c>
      <c r="AC29" s="46"/>
      <c r="AD29" s="20"/>
      <c r="AE29" s="26"/>
      <c r="AF29" s="12"/>
      <c r="AG29" s="12"/>
      <c r="AH29" s="403">
        <v>1200</v>
      </c>
      <c r="AI29" s="46"/>
      <c r="AJ29" s="20"/>
      <c r="AK29" s="26"/>
      <c r="AL29" s="12"/>
      <c r="AM29" s="12"/>
      <c r="AN29" s="403">
        <v>1200</v>
      </c>
      <c r="AO29" s="46"/>
      <c r="AP29" s="20"/>
      <c r="AQ29" s="26"/>
      <c r="AR29" s="12"/>
      <c r="AS29" s="12"/>
    </row>
    <row r="30" spans="1:45" ht="9" customHeight="1" x14ac:dyDescent="0.4">
      <c r="A30" s="425"/>
      <c r="B30" s="17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O30" s="54"/>
      <c r="P30" s="403"/>
      <c r="Q30" s="34"/>
      <c r="R30" s="33"/>
      <c r="S30" s="35"/>
      <c r="T30" s="14"/>
      <c r="U30" s="14"/>
      <c r="V30" s="403"/>
      <c r="W30" s="34"/>
      <c r="X30" s="33"/>
      <c r="Y30" s="35"/>
      <c r="Z30" s="14"/>
      <c r="AA30" s="14"/>
      <c r="AB30" s="403"/>
      <c r="AC30" s="34"/>
      <c r="AD30" s="33"/>
      <c r="AE30" s="35"/>
      <c r="AF30" s="14"/>
      <c r="AG30" s="14"/>
      <c r="AH30" s="403"/>
      <c r="AI30" s="34"/>
      <c r="AJ30" s="33"/>
      <c r="AK30" s="35"/>
      <c r="AL30" s="14"/>
      <c r="AM30" s="14"/>
      <c r="AN30" s="403"/>
      <c r="AO30" s="34"/>
      <c r="AP30" s="33"/>
      <c r="AQ30" s="35"/>
      <c r="AR30" s="14"/>
      <c r="AS30" s="14"/>
    </row>
    <row r="31" spans="1:45" ht="9" customHeight="1" x14ac:dyDescent="0.4">
      <c r="A31" s="408">
        <v>5800</v>
      </c>
      <c r="B31" s="2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O31" s="54"/>
      <c r="P31" s="403">
        <v>1160</v>
      </c>
      <c r="Q31" s="46"/>
      <c r="R31" s="20"/>
      <c r="S31" s="26"/>
      <c r="T31" s="12"/>
      <c r="U31" s="12"/>
      <c r="V31" s="403">
        <v>1160</v>
      </c>
      <c r="W31" s="46"/>
      <c r="X31" s="20"/>
      <c r="Y31" s="26"/>
      <c r="Z31" s="12"/>
      <c r="AA31" s="12"/>
      <c r="AB31" s="403">
        <v>1160</v>
      </c>
      <c r="AC31" s="46"/>
      <c r="AD31" s="20"/>
      <c r="AE31" s="26"/>
      <c r="AF31" s="12"/>
      <c r="AG31" s="12"/>
      <c r="AH31" s="403">
        <v>1160</v>
      </c>
      <c r="AI31" s="46"/>
      <c r="AJ31" s="20"/>
      <c r="AK31" s="26"/>
      <c r="AL31" s="12"/>
      <c r="AM31" s="12"/>
      <c r="AN31" s="403">
        <v>1160</v>
      </c>
      <c r="AO31" s="46"/>
      <c r="AP31" s="20"/>
      <c r="AQ31" s="26"/>
      <c r="AR31" s="12"/>
      <c r="AS31" s="12"/>
    </row>
    <row r="32" spans="1:45" ht="9" customHeight="1" x14ac:dyDescent="0.4">
      <c r="A32" s="408"/>
      <c r="B32" s="27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O32" s="54"/>
      <c r="P32" s="403"/>
      <c r="Q32" s="34"/>
      <c r="R32" s="33"/>
      <c r="S32" s="35"/>
      <c r="T32" s="14"/>
      <c r="U32" s="14"/>
      <c r="V32" s="403"/>
      <c r="W32" s="34"/>
      <c r="X32" s="33"/>
      <c r="Y32" s="35"/>
      <c r="Z32" s="14"/>
      <c r="AA32" s="14"/>
      <c r="AB32" s="403"/>
      <c r="AC32" s="34"/>
      <c r="AD32" s="33"/>
      <c r="AE32" s="35"/>
      <c r="AF32" s="14"/>
      <c r="AG32" s="14"/>
      <c r="AH32" s="403"/>
      <c r="AI32" s="34"/>
      <c r="AJ32" s="33"/>
      <c r="AK32" s="35"/>
      <c r="AL32" s="14"/>
      <c r="AM32" s="14"/>
      <c r="AN32" s="403"/>
      <c r="AO32" s="34"/>
      <c r="AP32" s="33"/>
      <c r="AQ32" s="35"/>
      <c r="AR32" s="14"/>
      <c r="AS32" s="14"/>
    </row>
    <row r="33" spans="1:45" ht="9" customHeight="1" x14ac:dyDescent="0.4">
      <c r="A33" s="408">
        <v>5600</v>
      </c>
      <c r="B33" s="2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O33" s="54"/>
      <c r="P33" s="403">
        <v>1120</v>
      </c>
      <c r="Q33" s="46"/>
      <c r="R33" s="20"/>
      <c r="S33" s="26"/>
      <c r="T33" s="12"/>
      <c r="U33" s="12"/>
      <c r="V33" s="403">
        <v>1120</v>
      </c>
      <c r="W33" s="46"/>
      <c r="X33" s="20"/>
      <c r="Y33" s="26"/>
      <c r="Z33" s="12"/>
      <c r="AA33" s="12"/>
      <c r="AB33" s="403">
        <v>1120</v>
      </c>
      <c r="AC33" s="46"/>
      <c r="AD33" s="20"/>
      <c r="AE33" s="26"/>
      <c r="AF33" s="12"/>
      <c r="AG33" s="12"/>
      <c r="AH33" s="403">
        <v>1120</v>
      </c>
      <c r="AI33" s="46"/>
      <c r="AJ33" s="20"/>
      <c r="AK33" s="26"/>
      <c r="AL33" s="12"/>
      <c r="AM33" s="12"/>
      <c r="AN33" s="403">
        <v>1120</v>
      </c>
      <c r="AO33" s="46"/>
      <c r="AP33" s="20"/>
      <c r="AQ33" s="26"/>
      <c r="AR33" s="12"/>
      <c r="AS33" s="12"/>
    </row>
    <row r="34" spans="1:45" ht="9" customHeight="1" x14ac:dyDescent="0.4">
      <c r="A34" s="408"/>
      <c r="B34" s="27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O34" s="54"/>
      <c r="P34" s="403"/>
      <c r="Q34" s="34"/>
      <c r="R34" s="33"/>
      <c r="S34" s="35"/>
      <c r="T34" s="14"/>
      <c r="U34" s="14"/>
      <c r="V34" s="403"/>
      <c r="W34" s="34"/>
      <c r="X34" s="33"/>
      <c r="Y34" s="35"/>
      <c r="Z34" s="14"/>
      <c r="AA34" s="14"/>
      <c r="AB34" s="403"/>
      <c r="AC34" s="34"/>
      <c r="AD34" s="33"/>
      <c r="AE34" s="35"/>
      <c r="AF34" s="14"/>
      <c r="AG34" s="14"/>
      <c r="AH34" s="403"/>
      <c r="AI34" s="34"/>
      <c r="AJ34" s="33"/>
      <c r="AK34" s="35"/>
      <c r="AL34" s="14"/>
      <c r="AM34" s="14"/>
      <c r="AN34" s="403"/>
      <c r="AO34" s="34"/>
      <c r="AP34" s="33"/>
      <c r="AQ34" s="35"/>
      <c r="AR34" s="14"/>
      <c r="AS34" s="14"/>
    </row>
    <row r="35" spans="1:45" ht="9" customHeight="1" x14ac:dyDescent="0.4">
      <c r="A35" s="408">
        <v>5400</v>
      </c>
      <c r="B35" s="2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O35" s="54"/>
      <c r="P35" s="403">
        <v>1080</v>
      </c>
      <c r="Q35" s="46"/>
      <c r="R35" s="20"/>
      <c r="S35" s="26"/>
      <c r="T35" s="12"/>
      <c r="U35" s="12"/>
      <c r="V35" s="403">
        <v>1080</v>
      </c>
      <c r="W35" s="46"/>
      <c r="X35" s="20"/>
      <c r="Y35" s="26"/>
      <c r="Z35" s="12"/>
      <c r="AA35" s="12"/>
      <c r="AB35" s="403">
        <v>1080</v>
      </c>
      <c r="AC35" s="46"/>
      <c r="AD35" s="20"/>
      <c r="AE35" s="26"/>
      <c r="AF35" s="12"/>
      <c r="AG35" s="12"/>
      <c r="AH35" s="403">
        <v>1080</v>
      </c>
      <c r="AI35" s="46"/>
      <c r="AJ35" s="20"/>
      <c r="AK35" s="26"/>
      <c r="AL35" s="12"/>
      <c r="AM35" s="12"/>
      <c r="AN35" s="403">
        <v>1080</v>
      </c>
      <c r="AO35" s="46"/>
      <c r="AP35" s="20"/>
      <c r="AQ35" s="26"/>
      <c r="AR35" s="12"/>
      <c r="AS35" s="12"/>
    </row>
    <row r="36" spans="1:45" ht="9" customHeight="1" x14ac:dyDescent="0.4">
      <c r="A36" s="408"/>
      <c r="B36" s="27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O36" s="54"/>
      <c r="P36" s="403"/>
      <c r="Q36" s="34"/>
      <c r="R36" s="33"/>
      <c r="S36" s="33"/>
      <c r="T36" s="14"/>
      <c r="U36" s="14"/>
      <c r="V36" s="403"/>
      <c r="W36" s="34"/>
      <c r="X36" s="33"/>
      <c r="Y36" s="33"/>
      <c r="Z36" s="14"/>
      <c r="AA36" s="14"/>
      <c r="AB36" s="403"/>
      <c r="AC36" s="34"/>
      <c r="AD36" s="33"/>
      <c r="AE36" s="33"/>
      <c r="AF36" s="14"/>
      <c r="AG36" s="14"/>
      <c r="AH36" s="403"/>
      <c r="AI36" s="34"/>
      <c r="AJ36" s="33"/>
      <c r="AK36" s="33"/>
      <c r="AL36" s="14"/>
      <c r="AM36" s="14"/>
      <c r="AN36" s="403"/>
      <c r="AO36" s="34"/>
      <c r="AP36" s="33"/>
      <c r="AQ36" s="33"/>
      <c r="AR36" s="14"/>
      <c r="AS36" s="14"/>
    </row>
    <row r="37" spans="1:45" ht="9" customHeight="1" x14ac:dyDescent="0.4">
      <c r="A37" s="408">
        <v>5200</v>
      </c>
      <c r="B37" s="2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O37" s="54"/>
      <c r="P37" s="403">
        <v>1040</v>
      </c>
      <c r="Q37" s="46"/>
      <c r="R37" s="20"/>
      <c r="S37" s="20"/>
      <c r="T37" s="12"/>
      <c r="U37" s="12"/>
      <c r="V37" s="403">
        <v>1040</v>
      </c>
      <c r="W37" s="46"/>
      <c r="X37" s="20"/>
      <c r="Y37" s="20"/>
      <c r="Z37" s="12"/>
      <c r="AA37" s="12"/>
      <c r="AB37" s="403">
        <v>1040</v>
      </c>
      <c r="AC37" s="46"/>
      <c r="AD37" s="20"/>
      <c r="AE37" s="20"/>
      <c r="AF37" s="12"/>
      <c r="AG37" s="12"/>
      <c r="AH37" s="403">
        <v>1040</v>
      </c>
      <c r="AI37" s="46"/>
      <c r="AJ37" s="20"/>
      <c r="AK37" s="20"/>
      <c r="AL37" s="12"/>
      <c r="AM37" s="12"/>
      <c r="AN37" s="403">
        <v>1040</v>
      </c>
      <c r="AO37" s="46"/>
      <c r="AP37" s="20"/>
      <c r="AQ37" s="20"/>
      <c r="AR37" s="12"/>
      <c r="AS37" s="12"/>
    </row>
    <row r="38" spans="1:45" ht="9" customHeight="1" x14ac:dyDescent="0.4">
      <c r="A38" s="408"/>
      <c r="B38" s="27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O38" s="54"/>
      <c r="P38" s="403"/>
      <c r="Q38" s="34"/>
      <c r="R38" s="33"/>
      <c r="S38" s="33"/>
      <c r="T38" s="14"/>
      <c r="U38" s="14"/>
      <c r="V38" s="403"/>
      <c r="W38" s="34"/>
      <c r="X38" s="33"/>
      <c r="Y38" s="33"/>
      <c r="Z38" s="14"/>
      <c r="AA38" s="14"/>
      <c r="AB38" s="403"/>
      <c r="AC38" s="34"/>
      <c r="AD38" s="33"/>
      <c r="AE38" s="33"/>
      <c r="AF38" s="14"/>
      <c r="AG38" s="14"/>
      <c r="AH38" s="403"/>
      <c r="AI38" s="34"/>
      <c r="AJ38" s="33"/>
      <c r="AK38" s="33"/>
      <c r="AL38" s="14"/>
      <c r="AM38" s="14"/>
      <c r="AN38" s="403"/>
      <c r="AO38" s="34"/>
      <c r="AP38" s="33"/>
      <c r="AQ38" s="33"/>
      <c r="AR38" s="14"/>
      <c r="AS38" s="14"/>
    </row>
    <row r="39" spans="1:45" ht="9" customHeight="1" x14ac:dyDescent="0.4">
      <c r="A39" s="408">
        <v>5000</v>
      </c>
      <c r="B39" s="2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O39" s="54"/>
      <c r="P39" s="403">
        <v>1000</v>
      </c>
      <c r="Q39" s="46"/>
      <c r="R39" s="20"/>
      <c r="S39" s="20"/>
      <c r="T39" s="12"/>
      <c r="U39" s="12"/>
      <c r="V39" s="403">
        <v>1000</v>
      </c>
      <c r="W39" s="46"/>
      <c r="X39" s="20"/>
      <c r="Y39" s="20"/>
      <c r="Z39" s="12"/>
      <c r="AA39" s="12"/>
      <c r="AB39" s="403">
        <v>1000</v>
      </c>
      <c r="AC39" s="46"/>
      <c r="AD39" s="20"/>
      <c r="AE39" s="20"/>
      <c r="AF39" s="12"/>
      <c r="AG39" s="12"/>
      <c r="AH39" s="403">
        <v>1000</v>
      </c>
      <c r="AI39" s="46"/>
      <c r="AJ39" s="20"/>
      <c r="AK39" s="20"/>
      <c r="AL39" s="12"/>
      <c r="AM39" s="12"/>
      <c r="AN39" s="403">
        <v>1000</v>
      </c>
      <c r="AO39" s="46"/>
      <c r="AP39" s="20"/>
      <c r="AQ39" s="20"/>
      <c r="AR39" s="12"/>
      <c r="AS39" s="12"/>
    </row>
    <row r="40" spans="1:45" ht="9" customHeight="1" x14ac:dyDescent="0.4">
      <c r="A40" s="408"/>
      <c r="B40" s="27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O40" s="54"/>
      <c r="P40" s="403"/>
      <c r="Q40" s="34"/>
      <c r="R40" s="33"/>
      <c r="S40" s="33"/>
      <c r="T40" s="14"/>
      <c r="U40" s="14"/>
      <c r="V40" s="403"/>
      <c r="W40" s="34"/>
      <c r="X40" s="33"/>
      <c r="Y40" s="33"/>
      <c r="Z40" s="14"/>
      <c r="AA40" s="14"/>
      <c r="AB40" s="403"/>
      <c r="AC40" s="34"/>
      <c r="AD40" s="33"/>
      <c r="AE40" s="33"/>
      <c r="AF40" s="14"/>
      <c r="AG40" s="14"/>
      <c r="AH40" s="403"/>
      <c r="AI40" s="34"/>
      <c r="AJ40" s="33"/>
      <c r="AK40" s="33"/>
      <c r="AL40" s="14"/>
      <c r="AM40" s="14"/>
      <c r="AN40" s="403"/>
      <c r="AO40" s="34"/>
      <c r="AP40" s="33"/>
      <c r="AQ40" s="33"/>
      <c r="AR40" s="14"/>
      <c r="AS40" s="14"/>
    </row>
    <row r="41" spans="1:45" ht="9" customHeight="1" x14ac:dyDescent="0.4">
      <c r="A41" s="408">
        <v>4800</v>
      </c>
      <c r="B41" s="2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O41" s="55"/>
      <c r="P41" s="407">
        <v>960</v>
      </c>
      <c r="Q41" s="46"/>
      <c r="R41" s="20"/>
      <c r="S41" s="20"/>
      <c r="T41" s="12"/>
      <c r="U41" s="12"/>
      <c r="V41" s="407">
        <v>960</v>
      </c>
      <c r="W41" s="46"/>
      <c r="X41" s="20"/>
      <c r="Y41" s="20"/>
      <c r="Z41" s="12"/>
      <c r="AA41" s="12"/>
      <c r="AB41" s="407">
        <v>960</v>
      </c>
      <c r="AC41" s="46"/>
      <c r="AD41" s="20"/>
      <c r="AE41" s="20"/>
      <c r="AF41" s="12"/>
      <c r="AG41" s="12"/>
      <c r="AH41" s="407">
        <v>960</v>
      </c>
      <c r="AI41" s="46"/>
      <c r="AJ41" s="20"/>
      <c r="AK41" s="20"/>
      <c r="AL41" s="12"/>
      <c r="AM41" s="12"/>
      <c r="AN41" s="407">
        <v>960</v>
      </c>
      <c r="AO41" s="46"/>
      <c r="AP41" s="20"/>
      <c r="AQ41" s="20"/>
      <c r="AR41" s="12"/>
      <c r="AS41" s="12"/>
    </row>
    <row r="42" spans="1:45" ht="9" customHeight="1" x14ac:dyDescent="0.4">
      <c r="A42" s="408"/>
      <c r="B42" s="27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O42" s="55"/>
      <c r="P42" s="407"/>
      <c r="Q42" s="34"/>
      <c r="R42" s="33"/>
      <c r="S42" s="36"/>
      <c r="T42" s="14"/>
      <c r="U42" s="14"/>
      <c r="V42" s="407"/>
      <c r="W42" s="34"/>
      <c r="X42" s="33"/>
      <c r="Y42" s="36"/>
      <c r="Z42" s="14"/>
      <c r="AA42" s="14"/>
      <c r="AB42" s="407"/>
      <c r="AC42" s="34"/>
      <c r="AD42" s="33"/>
      <c r="AE42" s="36"/>
      <c r="AF42" s="14"/>
      <c r="AG42" s="14"/>
      <c r="AH42" s="407"/>
      <c r="AI42" s="34"/>
      <c r="AJ42" s="33"/>
      <c r="AK42" s="36"/>
      <c r="AL42" s="14"/>
      <c r="AM42" s="14"/>
      <c r="AN42" s="407"/>
      <c r="AO42" s="34"/>
      <c r="AP42" s="33"/>
      <c r="AQ42" s="36"/>
      <c r="AR42" s="14"/>
      <c r="AS42" s="14"/>
    </row>
    <row r="43" spans="1:45" ht="9" customHeight="1" x14ac:dyDescent="0.4">
      <c r="A43" s="408">
        <v>4600</v>
      </c>
      <c r="B43" s="2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O43" s="54"/>
      <c r="P43" s="403">
        <v>920</v>
      </c>
      <c r="Q43" s="46"/>
      <c r="R43" s="20"/>
      <c r="S43" s="47"/>
      <c r="T43" s="12"/>
      <c r="U43" s="12"/>
      <c r="V43" s="403">
        <v>920</v>
      </c>
      <c r="W43" s="46"/>
      <c r="X43" s="20"/>
      <c r="Y43" s="47"/>
      <c r="Z43" s="12"/>
      <c r="AA43" s="12"/>
      <c r="AB43" s="403">
        <v>920</v>
      </c>
      <c r="AC43" s="46"/>
      <c r="AD43" s="20"/>
      <c r="AE43" s="47"/>
      <c r="AF43" s="12"/>
      <c r="AG43" s="12"/>
      <c r="AH43" s="403">
        <v>920</v>
      </c>
      <c r="AI43" s="46"/>
      <c r="AJ43" s="20"/>
      <c r="AK43" s="47"/>
      <c r="AL43" s="12"/>
      <c r="AM43" s="12"/>
      <c r="AN43" s="403">
        <v>920</v>
      </c>
      <c r="AO43" s="46"/>
      <c r="AP43" s="20"/>
      <c r="AQ43" s="47"/>
      <c r="AR43" s="12"/>
      <c r="AS43" s="12"/>
    </row>
    <row r="44" spans="1:45" ht="9" customHeight="1" x14ac:dyDescent="0.4">
      <c r="A44" s="408"/>
      <c r="B44" s="27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O44" s="54"/>
      <c r="P44" s="403"/>
      <c r="Q44" s="34"/>
      <c r="R44" s="33"/>
      <c r="S44" s="36"/>
      <c r="T44" s="14"/>
      <c r="U44" s="14"/>
      <c r="V44" s="403"/>
      <c r="W44" s="34"/>
      <c r="X44" s="33"/>
      <c r="Y44" s="36"/>
      <c r="Z44" s="14"/>
      <c r="AA44" s="14"/>
      <c r="AB44" s="403"/>
      <c r="AC44" s="34"/>
      <c r="AD44" s="33"/>
      <c r="AE44" s="36"/>
      <c r="AF44" s="14"/>
      <c r="AG44" s="14"/>
      <c r="AH44" s="403"/>
      <c r="AI44" s="34"/>
      <c r="AJ44" s="33"/>
      <c r="AK44" s="36"/>
      <c r="AL44" s="14"/>
      <c r="AM44" s="14"/>
      <c r="AN44" s="403"/>
      <c r="AO44" s="34"/>
      <c r="AP44" s="33"/>
      <c r="AQ44" s="36"/>
      <c r="AR44" s="14"/>
      <c r="AS44" s="14"/>
    </row>
    <row r="45" spans="1:45" ht="9" customHeight="1" x14ac:dyDescent="0.4">
      <c r="A45" s="408">
        <v>4400</v>
      </c>
      <c r="B45" s="2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O45" s="54"/>
      <c r="P45" s="403">
        <v>880</v>
      </c>
      <c r="Q45" s="46"/>
      <c r="R45" s="20"/>
      <c r="S45" s="47"/>
      <c r="T45" s="12"/>
      <c r="U45" s="12"/>
      <c r="V45" s="403">
        <v>880</v>
      </c>
      <c r="W45" s="46"/>
      <c r="X45" s="20"/>
      <c r="Y45" s="47"/>
      <c r="Z45" s="12"/>
      <c r="AA45" s="12"/>
      <c r="AB45" s="403">
        <v>880</v>
      </c>
      <c r="AC45" s="46"/>
      <c r="AD45" s="20"/>
      <c r="AE45" s="47"/>
      <c r="AF45" s="12"/>
      <c r="AG45" s="12"/>
      <c r="AH45" s="403">
        <v>880</v>
      </c>
      <c r="AI45" s="46"/>
      <c r="AJ45" s="20"/>
      <c r="AK45" s="47"/>
      <c r="AL45" s="12"/>
      <c r="AM45" s="12"/>
      <c r="AN45" s="403">
        <v>880</v>
      </c>
      <c r="AO45" s="46"/>
      <c r="AP45" s="20"/>
      <c r="AQ45" s="47"/>
      <c r="AR45" s="12"/>
      <c r="AS45" s="12"/>
    </row>
    <row r="46" spans="1:45" ht="9" customHeight="1" x14ac:dyDescent="0.4">
      <c r="A46" s="408"/>
      <c r="B46" s="27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O46" s="54"/>
      <c r="P46" s="403"/>
      <c r="Q46" s="34"/>
      <c r="R46" s="33"/>
      <c r="S46" s="36"/>
      <c r="T46" s="14"/>
      <c r="U46" s="14"/>
      <c r="V46" s="403"/>
      <c r="W46" s="34"/>
      <c r="X46" s="33"/>
      <c r="Y46" s="36"/>
      <c r="Z46" s="14"/>
      <c r="AA46" s="14"/>
      <c r="AB46" s="403"/>
      <c r="AC46" s="34"/>
      <c r="AD46" s="33"/>
      <c r="AE46" s="36"/>
      <c r="AF46" s="14"/>
      <c r="AG46" s="14"/>
      <c r="AH46" s="403"/>
      <c r="AI46" s="34"/>
      <c r="AJ46" s="33"/>
      <c r="AK46" s="36"/>
      <c r="AL46" s="14"/>
      <c r="AM46" s="14"/>
      <c r="AN46" s="403"/>
      <c r="AO46" s="34"/>
      <c r="AP46" s="33"/>
      <c r="AQ46" s="36"/>
      <c r="AR46" s="14"/>
      <c r="AS46" s="14"/>
    </row>
    <row r="47" spans="1:45" ht="9" customHeight="1" x14ac:dyDescent="0.4">
      <c r="A47" s="408">
        <v>4200</v>
      </c>
      <c r="B47" s="2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O47" s="54"/>
      <c r="P47" s="403">
        <v>840</v>
      </c>
      <c r="Q47" s="46"/>
      <c r="R47" s="20"/>
      <c r="S47" s="47"/>
      <c r="T47" s="12"/>
      <c r="U47" s="12"/>
      <c r="V47" s="403">
        <v>840</v>
      </c>
      <c r="W47" s="46"/>
      <c r="X47" s="20"/>
      <c r="Y47" s="47"/>
      <c r="Z47" s="12"/>
      <c r="AA47" s="12"/>
      <c r="AB47" s="403">
        <v>840</v>
      </c>
      <c r="AC47" s="46"/>
      <c r="AD47" s="20"/>
      <c r="AE47" s="47"/>
      <c r="AF47" s="12"/>
      <c r="AG47" s="12"/>
      <c r="AH47" s="403">
        <v>840</v>
      </c>
      <c r="AI47" s="46"/>
      <c r="AJ47" s="20"/>
      <c r="AK47" s="47"/>
      <c r="AL47" s="12"/>
      <c r="AM47" s="12"/>
      <c r="AN47" s="403">
        <v>840</v>
      </c>
      <c r="AO47" s="46"/>
      <c r="AP47" s="20"/>
      <c r="AQ47" s="47"/>
      <c r="AR47" s="12"/>
      <c r="AS47" s="12"/>
    </row>
    <row r="48" spans="1:45" ht="9" customHeight="1" x14ac:dyDescent="0.4">
      <c r="A48" s="408"/>
      <c r="B48" s="27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O48" s="54"/>
      <c r="P48" s="403"/>
      <c r="Q48" s="34"/>
      <c r="R48" s="33"/>
      <c r="S48" s="36"/>
      <c r="T48" s="14"/>
      <c r="U48" s="14"/>
      <c r="V48" s="403"/>
      <c r="W48" s="34"/>
      <c r="X48" s="33"/>
      <c r="Y48" s="36"/>
      <c r="Z48" s="14"/>
      <c r="AA48" s="14"/>
      <c r="AB48" s="403"/>
      <c r="AC48" s="34"/>
      <c r="AD48" s="33"/>
      <c r="AE48" s="36"/>
      <c r="AF48" s="14"/>
      <c r="AG48" s="14"/>
      <c r="AH48" s="403"/>
      <c r="AI48" s="34"/>
      <c r="AJ48" s="33"/>
      <c r="AK48" s="36"/>
      <c r="AL48" s="14"/>
      <c r="AM48" s="14"/>
      <c r="AN48" s="403"/>
      <c r="AO48" s="34"/>
      <c r="AP48" s="33"/>
      <c r="AQ48" s="36"/>
      <c r="AR48" s="14"/>
      <c r="AS48" s="14"/>
    </row>
    <row r="49" spans="1:45" ht="9" customHeight="1" x14ac:dyDescent="0.4">
      <c r="A49" s="408">
        <v>4000</v>
      </c>
      <c r="B49" s="2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O49" s="54"/>
      <c r="P49" s="403">
        <v>800</v>
      </c>
      <c r="Q49" s="46"/>
      <c r="R49" s="20"/>
      <c r="S49" s="47"/>
      <c r="T49" s="12"/>
      <c r="U49" s="12"/>
      <c r="V49" s="403">
        <v>800</v>
      </c>
      <c r="W49" s="46"/>
      <c r="X49" s="20"/>
      <c r="Y49" s="47"/>
      <c r="Z49" s="12"/>
      <c r="AA49" s="12"/>
      <c r="AB49" s="403">
        <v>800</v>
      </c>
      <c r="AC49" s="46"/>
      <c r="AD49" s="20"/>
      <c r="AE49" s="47"/>
      <c r="AF49" s="12"/>
      <c r="AG49" s="12"/>
      <c r="AH49" s="403">
        <v>800</v>
      </c>
      <c r="AI49" s="46"/>
      <c r="AJ49" s="20"/>
      <c r="AK49" s="47"/>
      <c r="AL49" s="12"/>
      <c r="AM49" s="12"/>
      <c r="AN49" s="403">
        <v>800</v>
      </c>
      <c r="AO49" s="46"/>
      <c r="AP49" s="20"/>
      <c r="AQ49" s="47"/>
      <c r="AR49" s="12"/>
      <c r="AS49" s="12"/>
    </row>
    <row r="50" spans="1:45" ht="9" customHeight="1" x14ac:dyDescent="0.4">
      <c r="A50" s="408"/>
      <c r="B50" s="27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O50" s="54"/>
      <c r="P50" s="403"/>
      <c r="Q50" s="34"/>
      <c r="R50" s="33"/>
      <c r="S50" s="36"/>
      <c r="T50" s="14"/>
      <c r="U50" s="14"/>
      <c r="V50" s="403"/>
      <c r="W50" s="34"/>
      <c r="X50" s="33"/>
      <c r="Y50" s="36"/>
      <c r="Z50" s="14"/>
      <c r="AA50" s="14"/>
      <c r="AB50" s="403"/>
      <c r="AC50" s="34"/>
      <c r="AD50" s="33"/>
      <c r="AE50" s="36"/>
      <c r="AF50" s="14"/>
      <c r="AG50" s="14"/>
      <c r="AH50" s="403"/>
      <c r="AI50" s="34"/>
      <c r="AJ50" s="33"/>
      <c r="AK50" s="36"/>
      <c r="AL50" s="14"/>
      <c r="AM50" s="14"/>
      <c r="AN50" s="403"/>
      <c r="AO50" s="34"/>
      <c r="AP50" s="33"/>
      <c r="AQ50" s="36"/>
      <c r="AR50" s="14"/>
      <c r="AS50" s="14"/>
    </row>
    <row r="51" spans="1:45" ht="9" customHeight="1" x14ac:dyDescent="0.4">
      <c r="A51" s="408">
        <v>3800</v>
      </c>
      <c r="B51" s="2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O51" s="54"/>
      <c r="P51" s="403">
        <v>760</v>
      </c>
      <c r="Q51" s="46"/>
      <c r="R51" s="20"/>
      <c r="S51" s="47"/>
      <c r="T51" s="12"/>
      <c r="U51" s="12"/>
      <c r="V51" s="403">
        <v>760</v>
      </c>
      <c r="W51" s="46"/>
      <c r="X51" s="20"/>
      <c r="Y51" s="47"/>
      <c r="Z51" s="12"/>
      <c r="AA51" s="12"/>
      <c r="AB51" s="403">
        <v>760</v>
      </c>
      <c r="AC51" s="46"/>
      <c r="AD51" s="20"/>
      <c r="AE51" s="47"/>
      <c r="AF51" s="12"/>
      <c r="AG51" s="12"/>
      <c r="AH51" s="403">
        <v>760</v>
      </c>
      <c r="AI51" s="46"/>
      <c r="AJ51" s="20"/>
      <c r="AK51" s="47"/>
      <c r="AL51" s="12"/>
      <c r="AM51" s="12"/>
      <c r="AN51" s="403">
        <v>760</v>
      </c>
      <c r="AO51" s="46"/>
      <c r="AP51" s="20"/>
      <c r="AQ51" s="47"/>
      <c r="AR51" s="12"/>
      <c r="AS51" s="12"/>
    </row>
    <row r="52" spans="1:45" ht="9" customHeight="1" x14ac:dyDescent="0.4">
      <c r="A52" s="408"/>
      <c r="B52" s="27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O52" s="54"/>
      <c r="P52" s="403"/>
      <c r="Q52" s="34"/>
      <c r="R52" s="33"/>
      <c r="S52" s="36"/>
      <c r="T52" s="14"/>
      <c r="U52" s="14"/>
      <c r="V52" s="403"/>
      <c r="W52" s="34"/>
      <c r="X52" s="33"/>
      <c r="Y52" s="36"/>
      <c r="Z52" s="14"/>
      <c r="AA52" s="14"/>
      <c r="AB52" s="403"/>
      <c r="AC52" s="34"/>
      <c r="AD52" s="33"/>
      <c r="AE52" s="36"/>
      <c r="AF52" s="14"/>
      <c r="AG52" s="14"/>
      <c r="AH52" s="403"/>
      <c r="AI52" s="34"/>
      <c r="AJ52" s="33"/>
      <c r="AK52" s="36"/>
      <c r="AL52" s="14"/>
      <c r="AM52" s="14"/>
      <c r="AN52" s="403"/>
      <c r="AO52" s="34"/>
      <c r="AP52" s="33"/>
      <c r="AQ52" s="36"/>
      <c r="AR52" s="14"/>
      <c r="AS52" s="14"/>
    </row>
    <row r="53" spans="1:45" ht="9" customHeight="1" x14ac:dyDescent="0.4">
      <c r="A53" s="408">
        <v>3600</v>
      </c>
      <c r="B53" s="2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O53" s="54"/>
      <c r="P53" s="403">
        <v>720</v>
      </c>
      <c r="Q53" s="46"/>
      <c r="R53" s="20"/>
      <c r="S53" s="47"/>
      <c r="T53" s="12"/>
      <c r="U53" s="12"/>
      <c r="V53" s="403">
        <v>720</v>
      </c>
      <c r="W53" s="46"/>
      <c r="X53" s="20"/>
      <c r="Y53" s="47"/>
      <c r="Z53" s="12"/>
      <c r="AA53" s="12"/>
      <c r="AB53" s="403">
        <v>720</v>
      </c>
      <c r="AC53" s="46"/>
      <c r="AD53" s="20"/>
      <c r="AE53" s="47"/>
      <c r="AF53" s="12"/>
      <c r="AG53" s="12"/>
      <c r="AH53" s="403">
        <v>720</v>
      </c>
      <c r="AI53" s="46"/>
      <c r="AJ53" s="20"/>
      <c r="AK53" s="47"/>
      <c r="AL53" s="12"/>
      <c r="AM53" s="12"/>
      <c r="AN53" s="403">
        <v>720</v>
      </c>
      <c r="AO53" s="46"/>
      <c r="AP53" s="20"/>
      <c r="AQ53" s="47"/>
      <c r="AR53" s="12"/>
      <c r="AS53" s="12"/>
    </row>
    <row r="54" spans="1:45" ht="9" customHeight="1" x14ac:dyDescent="0.4">
      <c r="A54" s="408"/>
      <c r="B54" s="27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O54" s="54"/>
      <c r="P54" s="403"/>
      <c r="Q54" s="34"/>
      <c r="R54" s="33"/>
      <c r="S54" s="36"/>
      <c r="T54" s="14"/>
      <c r="U54" s="14"/>
      <c r="V54" s="403"/>
      <c r="W54" s="34"/>
      <c r="X54" s="33"/>
      <c r="Y54" s="36"/>
      <c r="Z54" s="14"/>
      <c r="AA54" s="14"/>
      <c r="AB54" s="403"/>
      <c r="AC54" s="34"/>
      <c r="AD54" s="33"/>
      <c r="AE54" s="36"/>
      <c r="AF54" s="14"/>
      <c r="AG54" s="14"/>
      <c r="AH54" s="403"/>
      <c r="AI54" s="34"/>
      <c r="AJ54" s="33"/>
      <c r="AK54" s="36"/>
      <c r="AL54" s="14"/>
      <c r="AM54" s="14"/>
      <c r="AN54" s="403"/>
      <c r="AO54" s="34"/>
      <c r="AP54" s="33"/>
      <c r="AQ54" s="36"/>
      <c r="AR54" s="14"/>
      <c r="AS54" s="14"/>
    </row>
    <row r="55" spans="1:45" ht="9" customHeight="1" x14ac:dyDescent="0.4">
      <c r="A55" s="408">
        <v>3400</v>
      </c>
      <c r="B55" s="2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O55" s="54"/>
      <c r="P55" s="403">
        <v>680</v>
      </c>
      <c r="Q55" s="46"/>
      <c r="R55" s="20"/>
      <c r="S55" s="47"/>
      <c r="T55" s="12"/>
      <c r="U55" s="12"/>
      <c r="V55" s="403">
        <v>680</v>
      </c>
      <c r="W55" s="46"/>
      <c r="X55" s="20"/>
      <c r="Y55" s="47"/>
      <c r="Z55" s="12"/>
      <c r="AA55" s="12"/>
      <c r="AB55" s="403">
        <v>680</v>
      </c>
      <c r="AC55" s="46"/>
      <c r="AD55" s="20"/>
      <c r="AE55" s="47"/>
      <c r="AF55" s="12"/>
      <c r="AG55" s="12"/>
      <c r="AH55" s="403">
        <v>680</v>
      </c>
      <c r="AI55" s="46"/>
      <c r="AJ55" s="20"/>
      <c r="AK55" s="47"/>
      <c r="AL55" s="12"/>
      <c r="AM55" s="12"/>
      <c r="AN55" s="403">
        <v>680</v>
      </c>
      <c r="AO55" s="46"/>
      <c r="AP55" s="20"/>
      <c r="AQ55" s="47"/>
      <c r="AR55" s="12"/>
      <c r="AS55" s="12"/>
    </row>
    <row r="56" spans="1:45" ht="9" customHeight="1" x14ac:dyDescent="0.4">
      <c r="A56" s="408"/>
      <c r="B56" s="27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O56" s="54"/>
      <c r="P56" s="403"/>
      <c r="Q56" s="34"/>
      <c r="R56" s="33"/>
      <c r="S56" s="36"/>
      <c r="T56" s="14"/>
      <c r="U56" s="14"/>
      <c r="V56" s="403"/>
      <c r="W56" s="34"/>
      <c r="X56" s="33"/>
      <c r="Y56" s="36"/>
      <c r="Z56" s="14"/>
      <c r="AA56" s="14"/>
      <c r="AB56" s="403"/>
      <c r="AC56" s="34"/>
      <c r="AD56" s="33"/>
      <c r="AE56" s="36"/>
      <c r="AF56" s="14"/>
      <c r="AG56" s="14"/>
      <c r="AH56" s="403"/>
      <c r="AI56" s="34"/>
      <c r="AJ56" s="33"/>
      <c r="AK56" s="36"/>
      <c r="AL56" s="14"/>
      <c r="AM56" s="14"/>
      <c r="AN56" s="403"/>
      <c r="AO56" s="34"/>
      <c r="AP56" s="33"/>
      <c r="AQ56" s="36"/>
      <c r="AR56" s="14"/>
      <c r="AS56" s="14"/>
    </row>
    <row r="57" spans="1:45" ht="9" customHeight="1" x14ac:dyDescent="0.4">
      <c r="A57" s="408">
        <v>3200</v>
      </c>
      <c r="B57" s="2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404"/>
      <c r="O57" s="405"/>
      <c r="P57" s="407">
        <v>640</v>
      </c>
      <c r="Q57" s="46"/>
      <c r="R57" s="20"/>
      <c r="S57" s="47"/>
      <c r="T57" s="12"/>
      <c r="U57" s="12"/>
      <c r="V57" s="407">
        <v>640</v>
      </c>
      <c r="W57" s="46"/>
      <c r="X57" s="20"/>
      <c r="Y57" s="47"/>
      <c r="Z57" s="12"/>
      <c r="AA57" s="12"/>
      <c r="AB57" s="407">
        <v>640</v>
      </c>
      <c r="AC57" s="46"/>
      <c r="AD57" s="20"/>
      <c r="AE57" s="47"/>
      <c r="AF57" s="12"/>
      <c r="AG57" s="12"/>
      <c r="AH57" s="407">
        <v>640</v>
      </c>
      <c r="AI57" s="46"/>
      <c r="AJ57" s="20"/>
      <c r="AK57" s="47"/>
      <c r="AL57" s="12"/>
      <c r="AM57" s="12"/>
      <c r="AN57" s="407">
        <v>640</v>
      </c>
      <c r="AO57" s="46"/>
      <c r="AP57" s="20"/>
      <c r="AQ57" s="47"/>
      <c r="AR57" s="12"/>
      <c r="AS57" s="12"/>
    </row>
    <row r="58" spans="1:45" ht="9" customHeight="1" x14ac:dyDescent="0.4">
      <c r="A58" s="408"/>
      <c r="B58" s="16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406"/>
      <c r="O58" s="405"/>
      <c r="P58" s="407"/>
      <c r="Q58" s="34"/>
      <c r="R58" s="14"/>
      <c r="S58" s="36"/>
      <c r="T58" s="14"/>
      <c r="U58" s="14"/>
      <c r="V58" s="407"/>
      <c r="W58" s="34"/>
      <c r="X58" s="14"/>
      <c r="Y58" s="36"/>
      <c r="Z58" s="14"/>
      <c r="AA58" s="14"/>
      <c r="AB58" s="407"/>
      <c r="AC58" s="34"/>
      <c r="AD58" s="14"/>
      <c r="AE58" s="36"/>
      <c r="AF58" s="14"/>
      <c r="AG58" s="14"/>
      <c r="AH58" s="407"/>
      <c r="AI58" s="34"/>
      <c r="AJ58" s="14"/>
      <c r="AK58" s="36"/>
      <c r="AL58" s="14"/>
      <c r="AM58" s="14"/>
      <c r="AN58" s="407"/>
      <c r="AO58" s="34"/>
      <c r="AP58" s="14"/>
      <c r="AQ58" s="36"/>
      <c r="AR58" s="14"/>
      <c r="AS58" s="14"/>
    </row>
    <row r="59" spans="1:45" ht="9" customHeight="1" x14ac:dyDescent="0.4">
      <c r="A59" s="408">
        <v>3000</v>
      </c>
      <c r="B59" s="2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406"/>
      <c r="O59" s="405"/>
      <c r="P59" s="403">
        <v>600</v>
      </c>
      <c r="Q59" s="46"/>
      <c r="R59" s="12"/>
      <c r="S59" s="12"/>
      <c r="T59" s="12"/>
      <c r="U59" s="12"/>
      <c r="V59" s="403">
        <v>600</v>
      </c>
      <c r="W59" s="46"/>
      <c r="X59" s="12"/>
      <c r="Y59" s="12"/>
      <c r="Z59" s="12"/>
      <c r="AA59" s="12"/>
      <c r="AB59" s="403">
        <v>600</v>
      </c>
      <c r="AC59" s="46"/>
      <c r="AD59" s="12"/>
      <c r="AE59" s="12"/>
      <c r="AF59" s="12"/>
      <c r="AG59" s="12"/>
      <c r="AH59" s="403">
        <v>600</v>
      </c>
      <c r="AI59" s="46"/>
      <c r="AJ59" s="12"/>
      <c r="AK59" s="12"/>
      <c r="AL59" s="12"/>
      <c r="AM59" s="12"/>
      <c r="AN59" s="403">
        <v>600</v>
      </c>
      <c r="AO59" s="46"/>
      <c r="AP59" s="12"/>
      <c r="AQ59" s="12"/>
      <c r="AR59" s="12"/>
      <c r="AS59" s="12"/>
    </row>
    <row r="60" spans="1:45" ht="9" customHeight="1" x14ac:dyDescent="0.4">
      <c r="A60" s="408"/>
      <c r="B60" s="27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406"/>
      <c r="O60" s="405"/>
      <c r="P60" s="403"/>
      <c r="Q60" s="34"/>
      <c r="R60" s="14"/>
      <c r="S60" s="14"/>
      <c r="T60" s="14"/>
      <c r="U60" s="14"/>
      <c r="V60" s="403"/>
      <c r="W60" s="34"/>
      <c r="X60" s="14"/>
      <c r="Y60" s="14"/>
      <c r="Z60" s="14"/>
      <c r="AA60" s="14"/>
      <c r="AB60" s="403"/>
      <c r="AC60" s="34"/>
      <c r="AD60" s="14"/>
      <c r="AE60" s="14"/>
      <c r="AF60" s="14"/>
      <c r="AG60" s="14"/>
      <c r="AH60" s="403"/>
      <c r="AI60" s="34"/>
      <c r="AJ60" s="14"/>
      <c r="AK60" s="14"/>
      <c r="AL60" s="14"/>
      <c r="AM60" s="14"/>
      <c r="AN60" s="403"/>
      <c r="AO60" s="34"/>
      <c r="AP60" s="14"/>
      <c r="AQ60" s="14"/>
      <c r="AR60" s="14"/>
      <c r="AS60" s="14"/>
    </row>
    <row r="61" spans="1:45" ht="9" customHeight="1" x14ac:dyDescent="0.4">
      <c r="A61" s="408">
        <v>2800</v>
      </c>
      <c r="B61" s="2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406"/>
      <c r="O61" s="405"/>
      <c r="P61" s="403">
        <v>560</v>
      </c>
      <c r="Q61" s="46"/>
      <c r="R61" s="12"/>
      <c r="S61" s="12"/>
      <c r="T61" s="12"/>
      <c r="U61" s="12"/>
      <c r="V61" s="403">
        <v>560</v>
      </c>
      <c r="W61" s="46"/>
      <c r="X61" s="12"/>
      <c r="Y61" s="12"/>
      <c r="Z61" s="12"/>
      <c r="AA61" s="12"/>
      <c r="AB61" s="403">
        <v>560</v>
      </c>
      <c r="AC61" s="46"/>
      <c r="AD61" s="12"/>
      <c r="AE61" s="12"/>
      <c r="AF61" s="12"/>
      <c r="AG61" s="12"/>
      <c r="AH61" s="403">
        <v>560</v>
      </c>
      <c r="AI61" s="46"/>
      <c r="AJ61" s="12"/>
      <c r="AK61" s="12"/>
      <c r="AL61" s="12"/>
      <c r="AM61" s="12"/>
      <c r="AN61" s="403">
        <v>560</v>
      </c>
      <c r="AO61" s="46"/>
      <c r="AP61" s="12"/>
      <c r="AQ61" s="12"/>
      <c r="AR61" s="12"/>
      <c r="AS61" s="12"/>
    </row>
    <row r="62" spans="1:45" ht="9" customHeight="1" x14ac:dyDescent="0.4">
      <c r="A62" s="408"/>
      <c r="B62" s="27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406"/>
      <c r="O62" s="405"/>
      <c r="P62" s="403"/>
      <c r="Q62" s="34"/>
      <c r="R62" s="14"/>
      <c r="S62" s="14"/>
      <c r="T62" s="14"/>
      <c r="U62" s="14"/>
      <c r="V62" s="403"/>
      <c r="W62" s="34"/>
      <c r="X62" s="14"/>
      <c r="Y62" s="14"/>
      <c r="Z62" s="14"/>
      <c r="AA62" s="14"/>
      <c r="AB62" s="403"/>
      <c r="AC62" s="34"/>
      <c r="AD62" s="14"/>
      <c r="AE62" s="14"/>
      <c r="AF62" s="14"/>
      <c r="AG62" s="14"/>
      <c r="AH62" s="403"/>
      <c r="AI62" s="34"/>
      <c r="AJ62" s="14"/>
      <c r="AK62" s="14"/>
      <c r="AL62" s="14"/>
      <c r="AM62" s="14"/>
      <c r="AN62" s="403"/>
      <c r="AO62" s="34"/>
      <c r="AP62" s="14"/>
      <c r="AQ62" s="14"/>
      <c r="AR62" s="14"/>
      <c r="AS62" s="14"/>
    </row>
    <row r="63" spans="1:45" ht="9" customHeight="1" x14ac:dyDescent="0.4">
      <c r="A63" s="408">
        <v>2600</v>
      </c>
      <c r="B63" s="2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406"/>
      <c r="O63" s="405"/>
      <c r="P63" s="403">
        <v>520</v>
      </c>
      <c r="Q63" s="38"/>
      <c r="R63" s="12"/>
      <c r="S63" s="12"/>
      <c r="T63" s="12"/>
      <c r="U63" s="12"/>
      <c r="V63" s="403">
        <v>520</v>
      </c>
      <c r="W63" s="38"/>
      <c r="X63" s="12"/>
      <c r="Y63" s="12"/>
      <c r="Z63" s="12"/>
      <c r="AA63" s="12"/>
      <c r="AB63" s="403">
        <v>520</v>
      </c>
      <c r="AC63" s="38"/>
      <c r="AD63" s="12"/>
      <c r="AE63" s="12"/>
      <c r="AF63" s="12"/>
      <c r="AG63" s="12"/>
      <c r="AH63" s="403">
        <v>520</v>
      </c>
      <c r="AI63" s="38"/>
      <c r="AJ63" s="12"/>
      <c r="AK63" s="12"/>
      <c r="AL63" s="12"/>
      <c r="AM63" s="12"/>
      <c r="AN63" s="403">
        <v>520</v>
      </c>
      <c r="AO63" s="38"/>
      <c r="AP63" s="12"/>
      <c r="AQ63" s="12"/>
      <c r="AR63" s="12"/>
      <c r="AS63" s="12"/>
    </row>
    <row r="64" spans="1:45" ht="9" customHeight="1" x14ac:dyDescent="0.4">
      <c r="A64" s="408"/>
      <c r="B64" s="27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406"/>
      <c r="O64" s="405"/>
      <c r="P64" s="403"/>
      <c r="Q64" s="42"/>
      <c r="R64" s="14"/>
      <c r="S64" s="14"/>
      <c r="T64" s="14"/>
      <c r="U64" s="14"/>
      <c r="V64" s="403"/>
      <c r="W64" s="42"/>
      <c r="X64" s="14"/>
      <c r="Y64" s="14"/>
      <c r="Z64" s="14"/>
      <c r="AA64" s="14"/>
      <c r="AB64" s="403"/>
      <c r="AC64" s="42"/>
      <c r="AD64" s="14"/>
      <c r="AE64" s="14"/>
      <c r="AF64" s="14"/>
      <c r="AG64" s="14"/>
      <c r="AH64" s="403"/>
      <c r="AI64" s="42"/>
      <c r="AJ64" s="14"/>
      <c r="AK64" s="14"/>
      <c r="AL64" s="14"/>
      <c r="AM64" s="14"/>
      <c r="AN64" s="403"/>
      <c r="AO64" s="42"/>
      <c r="AP64" s="14"/>
      <c r="AQ64" s="14"/>
      <c r="AR64" s="14"/>
      <c r="AS64" s="14"/>
    </row>
    <row r="65" spans="1:45" ht="9" customHeight="1" x14ac:dyDescent="0.4">
      <c r="A65" s="408">
        <v>2400</v>
      </c>
      <c r="B65" s="2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406"/>
      <c r="O65" s="405"/>
      <c r="P65" s="403">
        <v>480</v>
      </c>
      <c r="Q65" s="38"/>
      <c r="R65" s="12"/>
      <c r="S65" s="12"/>
      <c r="T65" s="12"/>
      <c r="U65" s="12"/>
      <c r="V65" s="403">
        <v>480</v>
      </c>
      <c r="W65" s="38"/>
      <c r="X65" s="12"/>
      <c r="Y65" s="12"/>
      <c r="Z65" s="12"/>
      <c r="AA65" s="12"/>
      <c r="AB65" s="403">
        <v>480</v>
      </c>
      <c r="AC65" s="38"/>
      <c r="AD65" s="12"/>
      <c r="AE65" s="12"/>
      <c r="AF65" s="12"/>
      <c r="AG65" s="12"/>
      <c r="AH65" s="403">
        <v>480</v>
      </c>
      <c r="AI65" s="38"/>
      <c r="AJ65" s="12"/>
      <c r="AK65" s="12"/>
      <c r="AL65" s="12"/>
      <c r="AM65" s="12"/>
      <c r="AN65" s="403">
        <v>480</v>
      </c>
      <c r="AO65" s="38"/>
      <c r="AP65" s="12"/>
      <c r="AQ65" s="12"/>
      <c r="AR65" s="12"/>
      <c r="AS65" s="12"/>
    </row>
    <row r="66" spans="1:45" ht="9" customHeight="1" x14ac:dyDescent="0.4">
      <c r="A66" s="408"/>
      <c r="B66" s="27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O66" s="54"/>
      <c r="P66" s="403"/>
      <c r="Q66" s="42"/>
      <c r="R66" s="14"/>
      <c r="S66" s="14"/>
      <c r="T66" s="14"/>
      <c r="U66" s="14"/>
      <c r="V66" s="403"/>
      <c r="W66" s="42"/>
      <c r="X66" s="14"/>
      <c r="Y66" s="14"/>
      <c r="Z66" s="14"/>
      <c r="AA66" s="14"/>
      <c r="AB66" s="403"/>
      <c r="AC66" s="42"/>
      <c r="AD66" s="14"/>
      <c r="AE66" s="14"/>
      <c r="AF66" s="14"/>
      <c r="AG66" s="14"/>
      <c r="AH66" s="403"/>
      <c r="AI66" s="42"/>
      <c r="AJ66" s="14"/>
      <c r="AK66" s="14"/>
      <c r="AL66" s="14"/>
      <c r="AM66" s="14"/>
      <c r="AN66" s="403"/>
      <c r="AO66" s="42"/>
      <c r="AP66" s="14"/>
      <c r="AQ66" s="14"/>
      <c r="AR66" s="14"/>
      <c r="AS66" s="14"/>
    </row>
    <row r="67" spans="1:45" ht="9" customHeight="1" x14ac:dyDescent="0.4">
      <c r="A67" s="408">
        <v>2200</v>
      </c>
      <c r="B67" s="2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O67" s="54"/>
      <c r="P67" s="403">
        <v>440</v>
      </c>
      <c r="Q67" s="38"/>
      <c r="R67" s="12"/>
      <c r="S67" s="12"/>
      <c r="T67" s="12"/>
      <c r="U67" s="12"/>
      <c r="V67" s="403">
        <v>440</v>
      </c>
      <c r="W67" s="38"/>
      <c r="X67" s="12"/>
      <c r="Y67" s="12"/>
      <c r="Z67" s="12"/>
      <c r="AA67" s="12"/>
      <c r="AB67" s="403">
        <v>440</v>
      </c>
      <c r="AC67" s="38"/>
      <c r="AD67" s="12"/>
      <c r="AE67" s="12"/>
      <c r="AF67" s="12"/>
      <c r="AG67" s="12"/>
      <c r="AH67" s="403">
        <v>440</v>
      </c>
      <c r="AI67" s="38"/>
      <c r="AJ67" s="12"/>
      <c r="AK67" s="12"/>
      <c r="AL67" s="12"/>
      <c r="AM67" s="12"/>
      <c r="AN67" s="403">
        <v>440</v>
      </c>
      <c r="AO67" s="38"/>
      <c r="AP67" s="12"/>
      <c r="AQ67" s="12"/>
      <c r="AR67" s="12"/>
      <c r="AS67" s="12"/>
    </row>
    <row r="68" spans="1:45" ht="9" customHeight="1" x14ac:dyDescent="0.4">
      <c r="A68" s="408"/>
      <c r="B68" s="27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O68" s="54"/>
      <c r="P68" s="403"/>
      <c r="Q68" s="42"/>
      <c r="R68" s="14"/>
      <c r="S68" s="14"/>
      <c r="T68" s="14"/>
      <c r="U68" s="14"/>
      <c r="V68" s="403"/>
      <c r="W68" s="42"/>
      <c r="X68" s="14"/>
      <c r="Y68" s="14"/>
      <c r="Z68" s="14"/>
      <c r="AA68" s="14"/>
      <c r="AB68" s="403"/>
      <c r="AC68" s="42"/>
      <c r="AD68" s="14"/>
      <c r="AE68" s="14"/>
      <c r="AF68" s="14"/>
      <c r="AG68" s="14"/>
      <c r="AH68" s="403"/>
      <c r="AI68" s="42"/>
      <c r="AJ68" s="14"/>
      <c r="AK68" s="14"/>
      <c r="AL68" s="14"/>
      <c r="AM68" s="14"/>
      <c r="AN68" s="403"/>
      <c r="AO68" s="42"/>
      <c r="AP68" s="14"/>
      <c r="AQ68" s="14"/>
      <c r="AR68" s="14"/>
      <c r="AS68" s="14"/>
    </row>
    <row r="69" spans="1:45" ht="9" customHeight="1" x14ac:dyDescent="0.4">
      <c r="A69" s="408">
        <v>2000</v>
      </c>
      <c r="B69" s="2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O69" s="54"/>
      <c r="P69" s="403">
        <v>400</v>
      </c>
      <c r="Q69" s="38"/>
      <c r="R69" s="12"/>
      <c r="S69" s="12"/>
      <c r="T69" s="12"/>
      <c r="U69" s="12"/>
      <c r="V69" s="403">
        <v>400</v>
      </c>
      <c r="W69" s="38"/>
      <c r="X69" s="12"/>
      <c r="Y69" s="12"/>
      <c r="Z69" s="12"/>
      <c r="AA69" s="12"/>
      <c r="AB69" s="403">
        <v>400</v>
      </c>
      <c r="AC69" s="38"/>
      <c r="AD69" s="12"/>
      <c r="AE69" s="12"/>
      <c r="AF69" s="12"/>
      <c r="AG69" s="12"/>
      <c r="AH69" s="403">
        <v>400</v>
      </c>
      <c r="AI69" s="38"/>
      <c r="AJ69" s="12"/>
      <c r="AK69" s="12"/>
      <c r="AL69" s="12"/>
      <c r="AM69" s="12"/>
      <c r="AN69" s="403">
        <v>400</v>
      </c>
      <c r="AO69" s="38"/>
      <c r="AP69" s="12"/>
      <c r="AQ69" s="12"/>
      <c r="AR69" s="12"/>
      <c r="AS69" s="12"/>
    </row>
    <row r="70" spans="1:45" ht="9" customHeight="1" x14ac:dyDescent="0.4">
      <c r="A70" s="408"/>
      <c r="B70" s="27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O70" s="54"/>
      <c r="P70" s="403"/>
      <c r="Q70" s="42"/>
      <c r="R70" s="14"/>
      <c r="S70" s="14"/>
      <c r="T70" s="14"/>
      <c r="U70" s="14"/>
      <c r="V70" s="403"/>
      <c r="W70" s="42"/>
      <c r="X70" s="14"/>
      <c r="Y70" s="14"/>
      <c r="Z70" s="14"/>
      <c r="AA70" s="14"/>
      <c r="AB70" s="403"/>
      <c r="AC70" s="42"/>
      <c r="AD70" s="14"/>
      <c r="AE70" s="14"/>
      <c r="AF70" s="14"/>
      <c r="AG70" s="14"/>
      <c r="AH70" s="403"/>
      <c r="AI70" s="42"/>
      <c r="AJ70" s="14"/>
      <c r="AK70" s="14"/>
      <c r="AL70" s="14"/>
      <c r="AM70" s="14"/>
      <c r="AN70" s="403"/>
      <c r="AO70" s="42"/>
      <c r="AP70" s="14"/>
      <c r="AQ70" s="14"/>
      <c r="AR70" s="14"/>
      <c r="AS70" s="14"/>
    </row>
    <row r="71" spans="1:45" ht="9" customHeight="1" x14ac:dyDescent="0.4">
      <c r="A71" s="408">
        <v>1800</v>
      </c>
      <c r="B71" s="2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O71" s="54"/>
      <c r="P71" s="403">
        <v>360</v>
      </c>
      <c r="Q71" s="38"/>
      <c r="R71" s="12"/>
      <c r="S71" s="12"/>
      <c r="T71" s="12"/>
      <c r="U71" s="12"/>
      <c r="V71" s="403">
        <v>360</v>
      </c>
      <c r="W71" s="38"/>
      <c r="X71" s="12"/>
      <c r="Y71" s="12"/>
      <c r="Z71" s="12"/>
      <c r="AA71" s="12"/>
      <c r="AB71" s="403">
        <v>360</v>
      </c>
      <c r="AC71" s="38"/>
      <c r="AD71" s="12"/>
      <c r="AE71" s="12"/>
      <c r="AF71" s="12"/>
      <c r="AG71" s="12"/>
      <c r="AH71" s="403">
        <v>360</v>
      </c>
      <c r="AI71" s="38"/>
      <c r="AJ71" s="12"/>
      <c r="AK71" s="12"/>
      <c r="AL71" s="12"/>
      <c r="AM71" s="12"/>
      <c r="AN71" s="403">
        <v>360</v>
      </c>
      <c r="AO71" s="38"/>
      <c r="AP71" s="12"/>
      <c r="AQ71" s="12"/>
      <c r="AR71" s="12"/>
      <c r="AS71" s="12"/>
    </row>
    <row r="72" spans="1:45" ht="9" customHeight="1" x14ac:dyDescent="0.4">
      <c r="A72" s="408"/>
      <c r="B72" s="27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O72" s="54"/>
      <c r="P72" s="403"/>
      <c r="Q72" s="42"/>
      <c r="R72" s="14"/>
      <c r="S72" s="14"/>
      <c r="T72" s="14"/>
      <c r="U72" s="14"/>
      <c r="V72" s="403"/>
      <c r="W72" s="42"/>
      <c r="X72" s="14"/>
      <c r="Y72" s="14"/>
      <c r="Z72" s="14"/>
      <c r="AA72" s="14"/>
      <c r="AB72" s="403"/>
      <c r="AC72" s="42"/>
      <c r="AD72" s="14"/>
      <c r="AE72" s="14"/>
      <c r="AF72" s="14"/>
      <c r="AG72" s="14"/>
      <c r="AH72" s="403"/>
      <c r="AI72" s="42"/>
      <c r="AJ72" s="14"/>
      <c r="AK72" s="14"/>
      <c r="AL72" s="14"/>
      <c r="AM72" s="14"/>
      <c r="AN72" s="403"/>
      <c r="AO72" s="42"/>
      <c r="AP72" s="14"/>
      <c r="AQ72" s="14"/>
      <c r="AR72" s="14"/>
      <c r="AS72" s="14"/>
    </row>
    <row r="73" spans="1:45" ht="9" customHeight="1" x14ac:dyDescent="0.4">
      <c r="A73" s="408">
        <v>1600</v>
      </c>
      <c r="B73" s="2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O73" s="55"/>
      <c r="P73" s="407">
        <v>320</v>
      </c>
      <c r="Q73" s="38"/>
      <c r="R73" s="12"/>
      <c r="S73" s="12"/>
      <c r="T73" s="12"/>
      <c r="U73" s="12"/>
      <c r="V73" s="407">
        <v>320</v>
      </c>
      <c r="W73" s="38"/>
      <c r="X73" s="12"/>
      <c r="Y73" s="12"/>
      <c r="Z73" s="12"/>
      <c r="AA73" s="12"/>
      <c r="AB73" s="407">
        <v>320</v>
      </c>
      <c r="AC73" s="38"/>
      <c r="AD73" s="12"/>
      <c r="AE73" s="12"/>
      <c r="AF73" s="12"/>
      <c r="AG73" s="12"/>
      <c r="AH73" s="407">
        <v>320</v>
      </c>
      <c r="AI73" s="38"/>
      <c r="AJ73" s="12"/>
      <c r="AK73" s="12"/>
      <c r="AL73" s="12"/>
      <c r="AM73" s="12"/>
      <c r="AN73" s="407">
        <v>320</v>
      </c>
      <c r="AO73" s="38"/>
      <c r="AP73" s="12"/>
      <c r="AQ73" s="12"/>
      <c r="AR73" s="12"/>
      <c r="AS73" s="12"/>
    </row>
    <row r="74" spans="1:45" ht="9" customHeight="1" x14ac:dyDescent="0.4">
      <c r="A74" s="408"/>
      <c r="B74" s="27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O74" s="55"/>
      <c r="P74" s="407"/>
      <c r="Q74" s="37"/>
      <c r="R74" s="14"/>
      <c r="S74" s="14"/>
      <c r="T74" s="14"/>
      <c r="U74" s="14"/>
      <c r="V74" s="407"/>
      <c r="W74" s="37"/>
      <c r="X74" s="14"/>
      <c r="Y74" s="14"/>
      <c r="Z74" s="14"/>
      <c r="AA74" s="14"/>
      <c r="AB74" s="407"/>
      <c r="AC74" s="37"/>
      <c r="AD74" s="14"/>
      <c r="AE74" s="14"/>
      <c r="AF74" s="14"/>
      <c r="AG74" s="14"/>
      <c r="AH74" s="407"/>
      <c r="AI74" s="37"/>
      <c r="AJ74" s="14"/>
      <c r="AK74" s="14"/>
      <c r="AL74" s="14"/>
      <c r="AM74" s="14"/>
      <c r="AN74" s="407"/>
      <c r="AO74" s="37"/>
      <c r="AP74" s="14"/>
      <c r="AQ74" s="14"/>
      <c r="AR74" s="14"/>
      <c r="AS74" s="14"/>
    </row>
    <row r="75" spans="1:45" ht="9" customHeight="1" x14ac:dyDescent="0.4">
      <c r="A75" s="408">
        <v>1400</v>
      </c>
      <c r="B75" s="2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O75" s="54"/>
      <c r="P75" s="403">
        <v>280</v>
      </c>
      <c r="Q75" s="43"/>
      <c r="R75" s="12"/>
      <c r="S75" s="12"/>
      <c r="T75" s="12"/>
      <c r="U75" s="12"/>
      <c r="V75" s="403">
        <v>280</v>
      </c>
      <c r="W75" s="43"/>
      <c r="X75" s="12"/>
      <c r="Y75" s="12"/>
      <c r="Z75" s="12"/>
      <c r="AA75" s="12"/>
      <c r="AB75" s="403">
        <v>280</v>
      </c>
      <c r="AC75" s="43"/>
      <c r="AD75" s="12"/>
      <c r="AE75" s="12"/>
      <c r="AF75" s="12"/>
      <c r="AG75" s="12"/>
      <c r="AH75" s="403">
        <v>280</v>
      </c>
      <c r="AI75" s="43"/>
      <c r="AJ75" s="12"/>
      <c r="AK75" s="12"/>
      <c r="AL75" s="12"/>
      <c r="AM75" s="12"/>
      <c r="AN75" s="403">
        <v>280</v>
      </c>
      <c r="AO75" s="43"/>
      <c r="AP75" s="12"/>
      <c r="AQ75" s="12"/>
      <c r="AR75" s="12"/>
      <c r="AS75" s="12"/>
    </row>
    <row r="76" spans="1:45" ht="9" customHeight="1" x14ac:dyDescent="0.4">
      <c r="A76" s="408"/>
      <c r="B76" s="27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O76" s="54"/>
      <c r="P76" s="403"/>
      <c r="Q76" s="45"/>
      <c r="R76" s="14"/>
      <c r="S76" s="14"/>
      <c r="T76" s="14"/>
      <c r="U76" s="14"/>
      <c r="V76" s="403"/>
      <c r="W76" s="45"/>
      <c r="X76" s="14"/>
      <c r="Y76" s="14"/>
      <c r="Z76" s="14"/>
      <c r="AA76" s="14"/>
      <c r="AB76" s="403"/>
      <c r="AC76" s="45"/>
      <c r="AD76" s="14"/>
      <c r="AE76" s="14"/>
      <c r="AF76" s="14"/>
      <c r="AG76" s="14"/>
      <c r="AH76" s="403"/>
      <c r="AI76" s="45"/>
      <c r="AJ76" s="14"/>
      <c r="AK76" s="14"/>
      <c r="AL76" s="14"/>
      <c r="AM76" s="14"/>
      <c r="AN76" s="403"/>
      <c r="AO76" s="45"/>
      <c r="AP76" s="14"/>
      <c r="AQ76" s="14"/>
      <c r="AR76" s="14"/>
      <c r="AS76" s="14"/>
    </row>
    <row r="77" spans="1:45" ht="9" customHeight="1" x14ac:dyDescent="0.4">
      <c r="A77" s="408">
        <v>1200</v>
      </c>
      <c r="B77" s="2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O77" s="54"/>
      <c r="P77" s="403">
        <v>240</v>
      </c>
      <c r="Q77" s="43"/>
      <c r="R77" s="12"/>
      <c r="S77" s="12"/>
      <c r="T77" s="12"/>
      <c r="U77" s="12"/>
      <c r="V77" s="403">
        <v>240</v>
      </c>
      <c r="W77" s="43"/>
      <c r="X77" s="12"/>
      <c r="Y77" s="12"/>
      <c r="Z77" s="12"/>
      <c r="AA77" s="12"/>
      <c r="AB77" s="403">
        <v>240</v>
      </c>
      <c r="AC77" s="43"/>
      <c r="AD77" s="12"/>
      <c r="AE77" s="12"/>
      <c r="AF77" s="12"/>
      <c r="AG77" s="12"/>
      <c r="AH77" s="403">
        <v>240</v>
      </c>
      <c r="AI77" s="43"/>
      <c r="AJ77" s="12"/>
      <c r="AK77" s="12"/>
      <c r="AL77" s="12"/>
      <c r="AM77" s="12"/>
      <c r="AN77" s="403">
        <v>240</v>
      </c>
      <c r="AO77" s="43"/>
      <c r="AP77" s="12"/>
      <c r="AQ77" s="12"/>
      <c r="AR77" s="12"/>
      <c r="AS77" s="12"/>
    </row>
    <row r="78" spans="1:45" ht="9" customHeight="1" x14ac:dyDescent="0.4">
      <c r="A78" s="408"/>
      <c r="B78" s="27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O78" s="54"/>
      <c r="P78" s="403"/>
      <c r="Q78" s="30"/>
      <c r="R78" s="15"/>
      <c r="S78" s="15"/>
      <c r="T78" s="15"/>
      <c r="U78" s="15"/>
      <c r="V78" s="403"/>
      <c r="W78" s="30"/>
      <c r="X78" s="15"/>
      <c r="Y78" s="15"/>
      <c r="Z78" s="15"/>
      <c r="AA78" s="15"/>
      <c r="AB78" s="403"/>
      <c r="AC78" s="30"/>
      <c r="AD78" s="15"/>
      <c r="AE78" s="15"/>
      <c r="AF78" s="15"/>
      <c r="AG78" s="15"/>
      <c r="AH78" s="403"/>
      <c r="AI78" s="30"/>
      <c r="AJ78" s="15"/>
      <c r="AK78" s="15"/>
      <c r="AL78" s="15"/>
      <c r="AM78" s="15"/>
      <c r="AN78" s="403"/>
      <c r="AO78" s="30"/>
      <c r="AP78" s="15"/>
      <c r="AQ78" s="15"/>
      <c r="AR78" s="15"/>
      <c r="AS78" s="15"/>
    </row>
    <row r="79" spans="1:45" ht="9" customHeight="1" x14ac:dyDescent="0.4">
      <c r="A79" s="408">
        <v>1000</v>
      </c>
      <c r="B79" s="2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O79" s="54"/>
      <c r="P79" s="403">
        <v>200</v>
      </c>
      <c r="Q79" s="43"/>
      <c r="R79" s="12"/>
      <c r="S79" s="12"/>
      <c r="T79" s="12"/>
      <c r="U79" s="12"/>
      <c r="V79" s="403">
        <v>200</v>
      </c>
      <c r="W79" s="43"/>
      <c r="X79" s="12"/>
      <c r="Y79" s="12"/>
      <c r="Z79" s="12"/>
      <c r="AA79" s="12"/>
      <c r="AB79" s="403">
        <v>200</v>
      </c>
      <c r="AC79" s="43"/>
      <c r="AD79" s="12"/>
      <c r="AE79" s="12"/>
      <c r="AF79" s="12"/>
      <c r="AG79" s="12"/>
      <c r="AH79" s="403">
        <v>200</v>
      </c>
      <c r="AI79" s="43"/>
      <c r="AJ79" s="12"/>
      <c r="AK79" s="12"/>
      <c r="AL79" s="12"/>
      <c r="AM79" s="12"/>
      <c r="AN79" s="403">
        <v>200</v>
      </c>
      <c r="AO79" s="43"/>
      <c r="AP79" s="12"/>
      <c r="AQ79" s="12"/>
      <c r="AR79" s="12"/>
      <c r="AS79" s="12"/>
    </row>
    <row r="80" spans="1:45" ht="9" customHeight="1" x14ac:dyDescent="0.4">
      <c r="A80" s="408"/>
      <c r="B80" s="27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O80" s="54"/>
      <c r="P80" s="403"/>
      <c r="Q80" s="30"/>
      <c r="R80" s="15"/>
      <c r="S80" s="15"/>
      <c r="T80" s="15"/>
      <c r="U80" s="15"/>
      <c r="V80" s="403"/>
      <c r="W80" s="30"/>
      <c r="X80" s="15"/>
      <c r="Y80" s="15"/>
      <c r="Z80" s="15"/>
      <c r="AA80" s="15"/>
      <c r="AB80" s="403"/>
      <c r="AC80" s="30"/>
      <c r="AD80" s="15"/>
      <c r="AE80" s="15"/>
      <c r="AF80" s="15"/>
      <c r="AG80" s="15"/>
      <c r="AH80" s="403"/>
      <c r="AI80" s="30"/>
      <c r="AJ80" s="15"/>
      <c r="AK80" s="15"/>
      <c r="AL80" s="15"/>
      <c r="AM80" s="15"/>
      <c r="AN80" s="403"/>
      <c r="AO80" s="30"/>
      <c r="AP80" s="15"/>
      <c r="AQ80" s="15"/>
      <c r="AR80" s="15"/>
      <c r="AS80" s="15"/>
    </row>
    <row r="81" spans="1:45" ht="9" customHeight="1" x14ac:dyDescent="0.4">
      <c r="A81" s="408">
        <v>800</v>
      </c>
      <c r="B81" s="2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O81" s="54"/>
      <c r="P81" s="403">
        <v>160</v>
      </c>
      <c r="Q81" s="43"/>
      <c r="R81" s="12"/>
      <c r="S81" s="12"/>
      <c r="T81" s="12"/>
      <c r="U81" s="12"/>
      <c r="V81" s="403">
        <v>160</v>
      </c>
      <c r="W81" s="43"/>
      <c r="X81" s="12"/>
      <c r="Y81" s="12"/>
      <c r="Z81" s="12"/>
      <c r="AA81" s="12"/>
      <c r="AB81" s="403">
        <v>160</v>
      </c>
      <c r="AC81" s="43"/>
      <c r="AD81" s="12"/>
      <c r="AE81" s="12"/>
      <c r="AF81" s="12"/>
      <c r="AG81" s="12"/>
      <c r="AH81" s="403">
        <v>160</v>
      </c>
      <c r="AI81" s="43"/>
      <c r="AJ81" s="12"/>
      <c r="AK81" s="12"/>
      <c r="AL81" s="12"/>
      <c r="AM81" s="12"/>
      <c r="AN81" s="403">
        <v>160</v>
      </c>
      <c r="AO81" s="43"/>
      <c r="AP81" s="12"/>
      <c r="AQ81" s="12"/>
      <c r="AR81" s="12"/>
      <c r="AS81" s="12"/>
    </row>
    <row r="82" spans="1:45" ht="9" customHeight="1" x14ac:dyDescent="0.4">
      <c r="A82" s="408"/>
      <c r="B82" s="27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O82" s="54"/>
      <c r="P82" s="403"/>
      <c r="Q82" s="45"/>
      <c r="R82" s="14"/>
      <c r="S82" s="14"/>
      <c r="T82" s="14"/>
      <c r="U82" s="14"/>
      <c r="V82" s="403"/>
      <c r="W82" s="45"/>
      <c r="X82" s="14"/>
      <c r="Y82" s="14"/>
      <c r="Z82" s="14"/>
      <c r="AA82" s="14"/>
      <c r="AB82" s="403"/>
      <c r="AC82" s="45"/>
      <c r="AD82" s="14"/>
      <c r="AE82" s="14"/>
      <c r="AF82" s="14"/>
      <c r="AG82" s="14"/>
      <c r="AH82" s="403"/>
      <c r="AI82" s="45"/>
      <c r="AJ82" s="14"/>
      <c r="AK82" s="14"/>
      <c r="AL82" s="14"/>
      <c r="AM82" s="14"/>
      <c r="AN82" s="403"/>
      <c r="AO82" s="45"/>
      <c r="AP82" s="14"/>
      <c r="AQ82" s="14"/>
      <c r="AR82" s="14"/>
      <c r="AS82" s="14"/>
    </row>
    <row r="83" spans="1:45" ht="9" customHeight="1" x14ac:dyDescent="0.4">
      <c r="A83" s="408">
        <v>600</v>
      </c>
      <c r="B83" s="2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O83" s="54"/>
      <c r="P83" s="403">
        <v>120</v>
      </c>
      <c r="Q83" s="43"/>
      <c r="R83" s="12"/>
      <c r="S83" s="12"/>
      <c r="T83" s="12"/>
      <c r="U83" s="12"/>
      <c r="V83" s="403">
        <v>120</v>
      </c>
      <c r="W83" s="43"/>
      <c r="X83" s="12"/>
      <c r="Y83" s="12"/>
      <c r="Z83" s="12"/>
      <c r="AA83" s="12"/>
      <c r="AB83" s="403">
        <v>120</v>
      </c>
      <c r="AC83" s="43"/>
      <c r="AD83" s="12"/>
      <c r="AE83" s="12"/>
      <c r="AF83" s="12"/>
      <c r="AG83" s="12"/>
      <c r="AH83" s="403">
        <v>120</v>
      </c>
      <c r="AI83" s="43"/>
      <c r="AJ83" s="12"/>
      <c r="AK83" s="12"/>
      <c r="AL83" s="12"/>
      <c r="AM83" s="12"/>
      <c r="AN83" s="403">
        <v>120</v>
      </c>
      <c r="AO83" s="43"/>
      <c r="AP83" s="12"/>
      <c r="AQ83" s="12"/>
      <c r="AR83" s="12"/>
      <c r="AS83" s="12"/>
    </row>
    <row r="84" spans="1:45" ht="9" customHeight="1" x14ac:dyDescent="0.4">
      <c r="A84" s="408"/>
      <c r="B84" s="27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O84" s="54"/>
      <c r="P84" s="403"/>
      <c r="Q84" s="30"/>
      <c r="R84" s="15"/>
      <c r="S84" s="15"/>
      <c r="T84" s="15"/>
      <c r="U84" s="15"/>
      <c r="V84" s="403"/>
      <c r="W84" s="30"/>
      <c r="X84" s="15"/>
      <c r="Y84" s="15"/>
      <c r="Z84" s="15"/>
      <c r="AA84" s="15"/>
      <c r="AB84" s="403"/>
      <c r="AC84" s="30"/>
      <c r="AD84" s="15"/>
      <c r="AE84" s="15"/>
      <c r="AF84" s="15"/>
      <c r="AG84" s="15"/>
      <c r="AH84" s="403"/>
      <c r="AI84" s="30"/>
      <c r="AJ84" s="15"/>
      <c r="AK84" s="15"/>
      <c r="AL84" s="15"/>
      <c r="AM84" s="15"/>
      <c r="AN84" s="403"/>
      <c r="AO84" s="30"/>
      <c r="AP84" s="15"/>
      <c r="AQ84" s="15"/>
      <c r="AR84" s="15"/>
      <c r="AS84" s="15"/>
    </row>
    <row r="85" spans="1:45" ht="9" customHeight="1" x14ac:dyDescent="0.4">
      <c r="A85" s="408">
        <v>400</v>
      </c>
      <c r="B85" s="2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O85" s="54"/>
      <c r="P85" s="403">
        <v>80</v>
      </c>
      <c r="Q85" s="43"/>
      <c r="R85" s="12"/>
      <c r="S85" s="12"/>
      <c r="T85" s="12"/>
      <c r="U85" s="12"/>
      <c r="V85" s="403">
        <v>80</v>
      </c>
      <c r="W85" s="43"/>
      <c r="X85" s="12"/>
      <c r="Y85" s="12"/>
      <c r="Z85" s="12"/>
      <c r="AA85" s="12"/>
      <c r="AB85" s="403">
        <v>80</v>
      </c>
      <c r="AC85" s="43"/>
      <c r="AD85" s="12"/>
      <c r="AE85" s="12"/>
      <c r="AF85" s="12"/>
      <c r="AG85" s="12"/>
      <c r="AH85" s="403">
        <v>80</v>
      </c>
      <c r="AI85" s="43"/>
      <c r="AJ85" s="12"/>
      <c r="AK85" s="12"/>
      <c r="AL85" s="12"/>
      <c r="AM85" s="12"/>
      <c r="AN85" s="403">
        <v>80</v>
      </c>
      <c r="AO85" s="43"/>
      <c r="AP85" s="12"/>
      <c r="AQ85" s="12"/>
      <c r="AR85" s="12"/>
      <c r="AS85" s="12"/>
    </row>
    <row r="86" spans="1:45" ht="9" customHeight="1" x14ac:dyDescent="0.4">
      <c r="A86" s="408"/>
      <c r="B86" s="27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O86" s="54"/>
      <c r="P86" s="403"/>
      <c r="Q86" s="45"/>
      <c r="R86" s="14"/>
      <c r="S86" s="14"/>
      <c r="T86" s="14"/>
      <c r="U86" s="14"/>
      <c r="V86" s="403"/>
      <c r="W86" s="45"/>
      <c r="X86" s="14"/>
      <c r="Y86" s="14"/>
      <c r="Z86" s="14"/>
      <c r="AA86" s="14"/>
      <c r="AB86" s="403"/>
      <c r="AC86" s="45"/>
      <c r="AD86" s="14"/>
      <c r="AE86" s="14"/>
      <c r="AF86" s="14"/>
      <c r="AG86" s="14"/>
      <c r="AH86" s="403"/>
      <c r="AI86" s="45"/>
      <c r="AJ86" s="14"/>
      <c r="AK86" s="14"/>
      <c r="AL86" s="14"/>
      <c r="AM86" s="14"/>
      <c r="AN86" s="403"/>
      <c r="AO86" s="45"/>
      <c r="AP86" s="14"/>
      <c r="AQ86" s="14"/>
      <c r="AR86" s="14"/>
      <c r="AS86" s="14"/>
    </row>
    <row r="87" spans="1:45" ht="9" customHeight="1" x14ac:dyDescent="0.4">
      <c r="A87" s="408">
        <v>200</v>
      </c>
      <c r="B87" s="2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O87" s="54"/>
      <c r="P87" s="403">
        <v>40</v>
      </c>
      <c r="Q87" s="43"/>
      <c r="R87" s="12"/>
      <c r="S87" s="12"/>
      <c r="T87" s="12"/>
      <c r="U87" s="12"/>
      <c r="V87" s="403">
        <v>40</v>
      </c>
      <c r="W87" s="43"/>
      <c r="X87" s="12"/>
      <c r="Y87" s="12"/>
      <c r="Z87" s="12"/>
      <c r="AA87" s="12"/>
      <c r="AB87" s="403">
        <v>40</v>
      </c>
      <c r="AC87" s="43"/>
      <c r="AD87" s="12"/>
      <c r="AE87" s="12"/>
      <c r="AF87" s="12"/>
      <c r="AG87" s="12"/>
      <c r="AH87" s="403">
        <v>40</v>
      </c>
      <c r="AI87" s="43"/>
      <c r="AJ87" s="12"/>
      <c r="AK87" s="12"/>
      <c r="AL87" s="12"/>
      <c r="AM87" s="12"/>
      <c r="AN87" s="403">
        <v>40</v>
      </c>
      <c r="AO87" s="43"/>
      <c r="AP87" s="12"/>
      <c r="AQ87" s="12"/>
      <c r="AR87" s="12"/>
      <c r="AS87" s="12"/>
    </row>
    <row r="88" spans="1:45" ht="9" customHeight="1" x14ac:dyDescent="0.4">
      <c r="A88" s="408"/>
      <c r="B88" s="28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O88" s="54"/>
      <c r="P88" s="403"/>
      <c r="Q88" s="44"/>
      <c r="R88" s="29"/>
      <c r="S88" s="29"/>
      <c r="T88" s="29"/>
      <c r="U88" s="29"/>
      <c r="V88" s="403"/>
      <c r="W88" s="44"/>
      <c r="X88" s="29"/>
      <c r="Y88" s="29"/>
      <c r="Z88" s="29"/>
      <c r="AA88" s="29"/>
      <c r="AB88" s="403"/>
      <c r="AC88" s="44"/>
      <c r="AD88" s="29"/>
      <c r="AE88" s="29"/>
      <c r="AF88" s="29"/>
      <c r="AG88" s="29"/>
      <c r="AH88" s="403"/>
      <c r="AI88" s="44"/>
      <c r="AJ88" s="29"/>
      <c r="AK88" s="29"/>
      <c r="AL88" s="29"/>
      <c r="AM88" s="29"/>
      <c r="AN88" s="403"/>
      <c r="AO88" s="44"/>
      <c r="AP88" s="29"/>
      <c r="AQ88" s="29"/>
      <c r="AR88" s="29"/>
      <c r="AS88" s="29"/>
    </row>
    <row r="89" spans="1:45" s="10" customFormat="1" ht="20.25" customHeight="1" x14ac:dyDescent="0.4">
      <c r="A89" s="31">
        <v>0</v>
      </c>
      <c r="B89" s="24" t="s">
        <v>0</v>
      </c>
      <c r="C89" s="24" t="s">
        <v>1</v>
      </c>
      <c r="D89" s="24" t="s">
        <v>2</v>
      </c>
      <c r="E89" s="24" t="s">
        <v>3</v>
      </c>
      <c r="F89" s="24" t="s">
        <v>2</v>
      </c>
      <c r="G89" s="24" t="s">
        <v>0</v>
      </c>
      <c r="H89" s="24" t="s">
        <v>0</v>
      </c>
      <c r="I89" s="24" t="s">
        <v>3</v>
      </c>
      <c r="J89" s="24" t="s">
        <v>4</v>
      </c>
      <c r="K89" s="24" t="s">
        <v>5</v>
      </c>
      <c r="L89" s="24" t="s">
        <v>6</v>
      </c>
      <c r="M89" s="24" t="s">
        <v>7</v>
      </c>
      <c r="O89" s="31"/>
      <c r="P89" s="31">
        <v>0</v>
      </c>
      <c r="Q89" s="32" t="s">
        <v>9</v>
      </c>
      <c r="R89" s="13" t="s">
        <v>2</v>
      </c>
      <c r="S89" s="13" t="s">
        <v>2</v>
      </c>
      <c r="T89" s="13" t="s">
        <v>0</v>
      </c>
      <c r="U89" s="13" t="s">
        <v>10</v>
      </c>
      <c r="V89" s="31">
        <v>0</v>
      </c>
      <c r="W89" s="32" t="s">
        <v>9</v>
      </c>
      <c r="X89" s="13" t="s">
        <v>2</v>
      </c>
      <c r="Y89" s="13" t="s">
        <v>2</v>
      </c>
      <c r="Z89" s="13" t="s">
        <v>0</v>
      </c>
      <c r="AA89" s="13" t="s">
        <v>10</v>
      </c>
      <c r="AB89" s="31">
        <v>0</v>
      </c>
      <c r="AC89" s="32" t="s">
        <v>9</v>
      </c>
      <c r="AD89" s="13" t="s">
        <v>2</v>
      </c>
      <c r="AE89" s="13" t="s">
        <v>2</v>
      </c>
      <c r="AF89" s="13" t="s">
        <v>0</v>
      </c>
      <c r="AG89" s="13" t="s">
        <v>10</v>
      </c>
      <c r="AH89" s="31">
        <v>0</v>
      </c>
      <c r="AI89" s="32" t="s">
        <v>9</v>
      </c>
      <c r="AJ89" s="13" t="s">
        <v>2</v>
      </c>
      <c r="AK89" s="13" t="s">
        <v>2</v>
      </c>
      <c r="AL89" s="13" t="s">
        <v>0</v>
      </c>
      <c r="AM89" s="13" t="s">
        <v>10</v>
      </c>
      <c r="AN89" s="31">
        <v>0</v>
      </c>
      <c r="AO89" s="32" t="s">
        <v>9</v>
      </c>
      <c r="AP89" s="13" t="s">
        <v>2</v>
      </c>
      <c r="AQ89" s="13" t="s">
        <v>2</v>
      </c>
      <c r="AR89" s="13" t="s">
        <v>0</v>
      </c>
      <c r="AS89" s="13" t="s">
        <v>10</v>
      </c>
    </row>
    <row r="90" spans="1:45" s="1" customFormat="1" ht="16.5" customHeight="1" x14ac:dyDescent="0.25">
      <c r="A90" s="427" t="s">
        <v>11</v>
      </c>
      <c r="B90" s="426"/>
      <c r="C90" s="426"/>
      <c r="D90" s="426"/>
      <c r="E90" s="426"/>
      <c r="F90" s="426"/>
      <c r="G90" s="426"/>
      <c r="H90" s="426"/>
      <c r="I90" s="426"/>
      <c r="J90" s="426"/>
      <c r="K90" s="426"/>
      <c r="L90" s="426"/>
      <c r="M90" s="426"/>
      <c r="N90"/>
      <c r="O90"/>
      <c r="P90" s="51"/>
      <c r="Q90" s="426"/>
      <c r="R90" s="426"/>
      <c r="S90" s="426"/>
      <c r="T90" s="426"/>
      <c r="U90" s="426"/>
      <c r="V90" s="428"/>
      <c r="W90" s="426"/>
      <c r="X90" s="426"/>
      <c r="Y90" s="426"/>
      <c r="Z90" s="426"/>
      <c r="AA90" s="426"/>
      <c r="AB90" s="428"/>
      <c r="AC90" s="426"/>
      <c r="AD90" s="426"/>
      <c r="AE90" s="426"/>
      <c r="AF90" s="426"/>
      <c r="AG90" s="426"/>
      <c r="AH90" s="428"/>
      <c r="AI90" s="426"/>
      <c r="AJ90" s="426"/>
      <c r="AK90" s="426"/>
      <c r="AL90" s="426"/>
      <c r="AM90" s="426"/>
      <c r="AN90" s="428"/>
      <c r="AO90" s="426"/>
      <c r="AP90" s="426"/>
      <c r="AQ90" s="426"/>
      <c r="AR90" s="426"/>
      <c r="AS90" s="426"/>
    </row>
    <row r="91" spans="1:45" s="1" customFormat="1" ht="16.5" customHeight="1" x14ac:dyDescent="0.25">
      <c r="A91" s="427"/>
      <c r="B91" s="426"/>
      <c r="C91" s="426"/>
      <c r="D91" s="426"/>
      <c r="E91" s="426"/>
      <c r="F91" s="426"/>
      <c r="G91" s="426"/>
      <c r="H91" s="426"/>
      <c r="I91" s="426"/>
      <c r="J91" s="426"/>
      <c r="K91" s="426"/>
      <c r="L91" s="426"/>
      <c r="M91" s="426"/>
      <c r="N91"/>
      <c r="O91"/>
      <c r="P91" s="52"/>
      <c r="Q91" s="426"/>
      <c r="R91" s="426"/>
      <c r="S91" s="426"/>
      <c r="T91" s="426"/>
      <c r="U91" s="426"/>
      <c r="V91" s="429"/>
      <c r="W91" s="426"/>
      <c r="X91" s="426"/>
      <c r="Y91" s="426"/>
      <c r="Z91" s="426"/>
      <c r="AA91" s="426"/>
      <c r="AB91" s="429"/>
      <c r="AC91" s="426"/>
      <c r="AD91" s="426"/>
      <c r="AE91" s="426"/>
      <c r="AF91" s="426"/>
      <c r="AG91" s="426"/>
      <c r="AH91" s="429"/>
      <c r="AI91" s="426"/>
      <c r="AJ91" s="426"/>
      <c r="AK91" s="426"/>
      <c r="AL91" s="426"/>
      <c r="AM91" s="426"/>
      <c r="AN91" s="429"/>
      <c r="AO91" s="426"/>
      <c r="AP91" s="426"/>
      <c r="AQ91" s="426"/>
      <c r="AR91" s="426"/>
      <c r="AS91" s="426"/>
    </row>
    <row r="92" spans="1:45" ht="16.5" customHeight="1" x14ac:dyDescent="0.25">
      <c r="A92" s="427"/>
      <c r="B92" s="426"/>
      <c r="C92" s="426"/>
      <c r="D92" s="426"/>
      <c r="E92" s="426"/>
      <c r="F92" s="426"/>
      <c r="G92" s="426"/>
      <c r="H92" s="426"/>
      <c r="I92" s="426"/>
      <c r="J92" s="426"/>
      <c r="K92" s="426"/>
      <c r="L92" s="426"/>
      <c r="M92" s="426"/>
      <c r="P92" s="52"/>
      <c r="Q92" s="426"/>
      <c r="R92" s="426"/>
      <c r="S92" s="426"/>
      <c r="T92" s="426"/>
      <c r="U92" s="426"/>
      <c r="V92" s="429"/>
      <c r="W92" s="426"/>
      <c r="X92" s="426"/>
      <c r="Y92" s="426"/>
      <c r="Z92" s="426"/>
      <c r="AA92" s="426"/>
      <c r="AB92" s="429"/>
      <c r="AC92" s="426"/>
      <c r="AD92" s="426"/>
      <c r="AE92" s="426"/>
      <c r="AF92" s="426"/>
      <c r="AG92" s="426"/>
      <c r="AH92" s="429"/>
      <c r="AI92" s="426"/>
      <c r="AJ92" s="426"/>
      <c r="AK92" s="426"/>
      <c r="AL92" s="426"/>
      <c r="AM92" s="426"/>
      <c r="AN92" s="429"/>
      <c r="AO92" s="426"/>
      <c r="AP92" s="426"/>
      <c r="AQ92" s="426"/>
      <c r="AR92" s="426"/>
      <c r="AS92" s="426"/>
    </row>
    <row r="93" spans="1:45" ht="16.5" customHeight="1" x14ac:dyDescent="0.25">
      <c r="A93" s="427"/>
      <c r="B93" s="426"/>
      <c r="C93" s="426"/>
      <c r="D93" s="426"/>
      <c r="E93" s="426"/>
      <c r="F93" s="426"/>
      <c r="G93" s="426"/>
      <c r="H93" s="426"/>
      <c r="I93" s="426"/>
      <c r="J93" s="426"/>
      <c r="K93" s="426"/>
      <c r="L93" s="426"/>
      <c r="M93" s="426"/>
      <c r="P93" s="52"/>
      <c r="Q93" s="426"/>
      <c r="R93" s="426"/>
      <c r="S93" s="426"/>
      <c r="T93" s="426"/>
      <c r="U93" s="426"/>
      <c r="V93" s="429"/>
      <c r="W93" s="426"/>
      <c r="X93" s="426"/>
      <c r="Y93" s="426"/>
      <c r="Z93" s="426"/>
      <c r="AA93" s="426"/>
      <c r="AB93" s="429"/>
      <c r="AC93" s="426"/>
      <c r="AD93" s="426"/>
      <c r="AE93" s="426"/>
      <c r="AF93" s="426"/>
      <c r="AG93" s="426"/>
      <c r="AH93" s="429"/>
      <c r="AI93" s="426"/>
      <c r="AJ93" s="426"/>
      <c r="AK93" s="426"/>
      <c r="AL93" s="426"/>
      <c r="AM93" s="426"/>
      <c r="AN93" s="429"/>
      <c r="AO93" s="426"/>
      <c r="AP93" s="426"/>
      <c r="AQ93" s="426"/>
      <c r="AR93" s="426"/>
      <c r="AS93" s="426"/>
    </row>
    <row r="94" spans="1:45" ht="16.5" customHeight="1" x14ac:dyDescent="0.25">
      <c r="A94" s="427"/>
      <c r="B94" s="426"/>
      <c r="C94" s="426"/>
      <c r="D94" s="426"/>
      <c r="E94" s="426"/>
      <c r="F94" s="426"/>
      <c r="G94" s="426"/>
      <c r="H94" s="426"/>
      <c r="I94" s="426"/>
      <c r="J94" s="426"/>
      <c r="K94" s="426"/>
      <c r="L94" s="426"/>
      <c r="M94" s="426"/>
      <c r="P94" s="53"/>
      <c r="Q94" s="426"/>
      <c r="R94" s="426"/>
      <c r="S94" s="426"/>
      <c r="T94" s="426"/>
      <c r="U94" s="426"/>
      <c r="V94" s="430"/>
      <c r="W94" s="426"/>
      <c r="X94" s="426"/>
      <c r="Y94" s="426"/>
      <c r="Z94" s="426"/>
      <c r="AA94" s="426"/>
      <c r="AB94" s="430"/>
      <c r="AC94" s="426"/>
      <c r="AD94" s="426"/>
      <c r="AE94" s="426"/>
      <c r="AF94" s="426"/>
      <c r="AG94" s="426"/>
      <c r="AH94" s="430"/>
      <c r="AI94" s="426"/>
      <c r="AJ94" s="426"/>
      <c r="AK94" s="426"/>
      <c r="AL94" s="426"/>
      <c r="AM94" s="426"/>
      <c r="AN94" s="430"/>
      <c r="AO94" s="426"/>
      <c r="AP94" s="426"/>
      <c r="AQ94" s="426"/>
      <c r="AR94" s="426"/>
      <c r="AS94" s="426"/>
    </row>
    <row r="95" spans="1:45" ht="16.5" customHeight="1" x14ac:dyDescent="0.25">
      <c r="A95" s="71" t="s">
        <v>22</v>
      </c>
      <c r="I95" s="23"/>
      <c r="J95" s="23"/>
      <c r="K95" s="23"/>
      <c r="L95" s="23"/>
      <c r="M95" s="23"/>
      <c r="P95" s="3"/>
      <c r="Q95" s="23"/>
      <c r="R95" s="23"/>
      <c r="S95" s="23"/>
      <c r="T95" s="23"/>
      <c r="U95" s="23"/>
      <c r="V95" s="2"/>
      <c r="W95" s="23"/>
      <c r="X95" s="23"/>
      <c r="Y95" s="23"/>
      <c r="Z95" s="23"/>
      <c r="AA95" s="23"/>
      <c r="AB95" s="2"/>
      <c r="AC95" s="23"/>
      <c r="AD95" s="23"/>
      <c r="AE95" s="23"/>
      <c r="AF95" s="23"/>
      <c r="AG95" s="23"/>
      <c r="AH95" s="2"/>
      <c r="AI95" s="23"/>
      <c r="AJ95" s="23"/>
      <c r="AK95" s="23"/>
      <c r="AL95" s="23"/>
      <c r="AM95" s="23"/>
      <c r="AN95" s="2"/>
      <c r="AO95" s="23"/>
      <c r="AP95" s="23"/>
      <c r="AQ95" s="23"/>
      <c r="AR95" s="23"/>
      <c r="AS95" s="23"/>
    </row>
    <row r="96" spans="1:45" ht="26.25" x14ac:dyDescent="0.4">
      <c r="B96" s="445">
        <v>54</v>
      </c>
      <c r="C96" s="446"/>
      <c r="D96" s="446"/>
      <c r="E96" s="447"/>
      <c r="F96" s="448">
        <v>52</v>
      </c>
      <c r="G96" s="449"/>
      <c r="H96" s="449"/>
      <c r="I96" s="450"/>
      <c r="J96" s="448">
        <v>50</v>
      </c>
      <c r="K96" s="449"/>
      <c r="L96" s="449"/>
      <c r="M96" s="450"/>
      <c r="O96" s="72" t="s">
        <v>20</v>
      </c>
      <c r="P96" s="70">
        <v>54</v>
      </c>
      <c r="Q96" s="32" t="s">
        <v>9</v>
      </c>
      <c r="R96" s="63" t="s">
        <v>2</v>
      </c>
      <c r="S96" s="63" t="s">
        <v>2</v>
      </c>
      <c r="T96" s="63" t="s">
        <v>0</v>
      </c>
      <c r="U96" s="63" t="s">
        <v>10</v>
      </c>
      <c r="V96" s="31"/>
      <c r="W96" s="32" t="s">
        <v>9</v>
      </c>
      <c r="X96" s="63" t="s">
        <v>2</v>
      </c>
      <c r="Y96" s="63" t="s">
        <v>2</v>
      </c>
      <c r="Z96" s="63" t="s">
        <v>0</v>
      </c>
      <c r="AA96" s="63" t="s">
        <v>10</v>
      </c>
      <c r="AB96" s="31"/>
      <c r="AC96" s="32" t="s">
        <v>9</v>
      </c>
      <c r="AD96" s="63" t="s">
        <v>2</v>
      </c>
      <c r="AE96" s="63" t="s">
        <v>2</v>
      </c>
      <c r="AF96" s="63" t="s">
        <v>0</v>
      </c>
      <c r="AG96" s="63" t="s">
        <v>10</v>
      </c>
      <c r="AH96" s="31"/>
      <c r="AI96" s="32" t="s">
        <v>9</v>
      </c>
      <c r="AJ96" s="63" t="s">
        <v>2</v>
      </c>
      <c r="AK96" s="63" t="s">
        <v>2</v>
      </c>
      <c r="AL96" s="63" t="s">
        <v>0</v>
      </c>
      <c r="AM96" s="63" t="s">
        <v>10</v>
      </c>
      <c r="AN96" s="31"/>
      <c r="AO96" s="32" t="s">
        <v>9</v>
      </c>
      <c r="AP96" s="63" t="s">
        <v>2</v>
      </c>
      <c r="AQ96" s="63" t="s">
        <v>2</v>
      </c>
      <c r="AR96" s="63" t="s">
        <v>0</v>
      </c>
      <c r="AS96" s="63" t="s">
        <v>10</v>
      </c>
    </row>
    <row r="97" spans="1:45" ht="16.5" customHeight="1" x14ac:dyDescent="0.3">
      <c r="A97" s="73" t="s">
        <v>26</v>
      </c>
      <c r="B97" s="433" t="s">
        <v>24</v>
      </c>
      <c r="C97" s="434"/>
      <c r="D97" s="431" t="s">
        <v>25</v>
      </c>
      <c r="E97" s="432"/>
      <c r="F97" s="433" t="s">
        <v>24</v>
      </c>
      <c r="G97" s="434"/>
      <c r="H97" s="431" t="s">
        <v>25</v>
      </c>
      <c r="I97" s="432"/>
      <c r="J97" s="433" t="s">
        <v>24</v>
      </c>
      <c r="K97" s="434"/>
      <c r="L97" s="431" t="s">
        <v>25</v>
      </c>
      <c r="M97" s="432"/>
      <c r="O97" s="435" t="s">
        <v>21</v>
      </c>
      <c r="P97" s="436"/>
      <c r="Q97" s="64"/>
      <c r="R97" s="68"/>
      <c r="S97" s="68"/>
      <c r="T97" s="68"/>
      <c r="U97" s="65"/>
      <c r="W97" s="64"/>
      <c r="X97" s="68"/>
      <c r="Y97" s="68"/>
      <c r="Z97" s="68"/>
      <c r="AA97" s="65"/>
      <c r="AC97" s="64"/>
      <c r="AD97" s="68"/>
      <c r="AE97" s="68"/>
      <c r="AF97" s="68"/>
      <c r="AG97" s="65"/>
      <c r="AI97" s="64"/>
      <c r="AJ97" s="68"/>
      <c r="AK97" s="68"/>
      <c r="AL97" s="68"/>
      <c r="AM97" s="65"/>
      <c r="AO97" s="64"/>
      <c r="AP97" s="68"/>
      <c r="AQ97" s="68"/>
      <c r="AR97" s="68"/>
      <c r="AS97" s="65"/>
    </row>
    <row r="98" spans="1:45" ht="16.5" customHeight="1" x14ac:dyDescent="0.25">
      <c r="A98" s="463">
        <v>35</v>
      </c>
      <c r="B98" s="437">
        <f>ROUNDDOWN(B96*$A$98/$B$102,-1)</f>
        <v>1480</v>
      </c>
      <c r="C98" s="438"/>
      <c r="D98" s="451">
        <f>ROUND(B98/4.5,-1)</f>
        <v>330</v>
      </c>
      <c r="E98" s="452"/>
      <c r="F98" s="437">
        <f>ROUNDDOWN(F96*$A$98/$B$102,-1)</f>
        <v>1430</v>
      </c>
      <c r="G98" s="438" t="e">
        <f>ROUNDDOWN($U96*F$66/$T$64,-1)</f>
        <v>#VALUE!</v>
      </c>
      <c r="H98" s="451">
        <f>ROUND(F98/4.5,-1)</f>
        <v>320</v>
      </c>
      <c r="I98" s="452"/>
      <c r="J98" s="437">
        <f>ROUNDDOWN(J96*$A$98/$B$102,-1)</f>
        <v>1370</v>
      </c>
      <c r="K98" s="438" t="e">
        <f>ROUNDDOWN($U96*J$66/$T$64,-1)</f>
        <v>#VALUE!</v>
      </c>
      <c r="L98" s="451">
        <f>ROUND(J98/4.5,-1)</f>
        <v>300</v>
      </c>
      <c r="M98" s="452"/>
      <c r="O98" s="435"/>
      <c r="P98" s="436"/>
      <c r="Q98" s="66"/>
      <c r="R98" s="69"/>
      <c r="S98" s="69"/>
      <c r="T98" s="69"/>
      <c r="U98" s="67"/>
      <c r="W98" s="66"/>
      <c r="X98" s="69"/>
      <c r="Y98" s="69"/>
      <c r="Z98" s="69"/>
      <c r="AA98" s="67"/>
      <c r="AC98" s="66"/>
      <c r="AD98" s="69"/>
      <c r="AE98" s="69"/>
      <c r="AF98" s="69"/>
      <c r="AG98" s="67"/>
      <c r="AI98" s="66"/>
      <c r="AJ98" s="69"/>
      <c r="AK98" s="69"/>
      <c r="AL98" s="69"/>
      <c r="AM98" s="67"/>
      <c r="AO98" s="66"/>
      <c r="AP98" s="69"/>
      <c r="AQ98" s="69"/>
      <c r="AR98" s="69"/>
      <c r="AS98" s="67"/>
    </row>
    <row r="99" spans="1:45" x14ac:dyDescent="0.25">
      <c r="A99" s="463"/>
      <c r="B99" s="439"/>
      <c r="C99" s="440"/>
      <c r="D99" s="453"/>
      <c r="E99" s="454"/>
      <c r="F99" s="439"/>
      <c r="G99" s="440"/>
      <c r="H99" s="453"/>
      <c r="I99" s="454"/>
      <c r="J99" s="439"/>
      <c r="K99" s="440"/>
      <c r="L99" s="453"/>
      <c r="M99" s="454"/>
    </row>
    <row r="100" spans="1:45" x14ac:dyDescent="0.25">
      <c r="A100" s="435">
        <v>37</v>
      </c>
      <c r="B100" s="441">
        <f>ROUNDDOWN(B96*$A$100/$B$102,-1)</f>
        <v>1570</v>
      </c>
      <c r="C100" s="442"/>
      <c r="D100" s="455">
        <f>ROUND(B100/4.5,-1)</f>
        <v>350</v>
      </c>
      <c r="E100" s="456"/>
      <c r="F100" s="441">
        <f>ROUNDDOWN(F96*$A$100/$B$102,-1)</f>
        <v>1510</v>
      </c>
      <c r="G100" s="442" t="e">
        <f>ROUNDDOWN($U96*F$67/$T$64,-1)</f>
        <v>#VALUE!</v>
      </c>
      <c r="H100" s="455">
        <f>ROUND(F100/4.5,-1)</f>
        <v>340</v>
      </c>
      <c r="I100" s="456"/>
      <c r="J100" s="441">
        <f>ROUNDDOWN(J96*$A$100/$B$102,-1)</f>
        <v>1450</v>
      </c>
      <c r="K100" s="442" t="e">
        <f>ROUNDDOWN($U96*J$67/$T$64,-1)</f>
        <v>#VALUE!</v>
      </c>
      <c r="L100" s="455">
        <f>ROUND(J100/4.5,-1)</f>
        <v>320</v>
      </c>
      <c r="M100" s="456"/>
    </row>
    <row r="101" spans="1:45" x14ac:dyDescent="0.25">
      <c r="A101" s="435"/>
      <c r="B101" s="443"/>
      <c r="C101" s="444"/>
      <c r="D101" s="457"/>
      <c r="E101" s="458"/>
      <c r="F101" s="443"/>
      <c r="G101" s="444"/>
      <c r="H101" s="457"/>
      <c r="I101" s="458"/>
      <c r="J101" s="443"/>
      <c r="K101" s="444"/>
      <c r="L101" s="457"/>
      <c r="M101" s="458"/>
    </row>
    <row r="102" spans="1:45" x14ac:dyDescent="0.25">
      <c r="A102" s="459" t="s">
        <v>23</v>
      </c>
      <c r="B102" s="461">
        <v>1.27</v>
      </c>
      <c r="C102" s="461"/>
    </row>
    <row r="103" spans="1:45" x14ac:dyDescent="0.25">
      <c r="A103" s="460"/>
      <c r="B103" s="462"/>
      <c r="C103" s="462"/>
    </row>
    <row r="104" spans="1:45" ht="16.5" customHeight="1" x14ac:dyDescent="0.25">
      <c r="A104" s="409"/>
      <c r="B104" s="410"/>
      <c r="C104" s="410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62"/>
      <c r="O104" s="62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</row>
    <row r="105" spans="1:45" ht="16.5" customHeight="1" x14ac:dyDescent="0.25">
      <c r="A105" s="411"/>
      <c r="B105" s="412"/>
      <c r="C105" s="412"/>
      <c r="D105" s="57"/>
      <c r="E105" s="57"/>
      <c r="F105" s="57"/>
      <c r="G105" s="57"/>
      <c r="H105" s="418" t="s">
        <v>19</v>
      </c>
      <c r="I105" s="418"/>
      <c r="J105" s="418"/>
      <c r="K105" s="418"/>
      <c r="L105" s="418"/>
      <c r="M105" s="418"/>
      <c r="N105" s="59"/>
      <c r="O105" s="60"/>
      <c r="P105" s="58"/>
      <c r="Q105" s="58"/>
      <c r="R105" s="58"/>
      <c r="S105" s="58"/>
      <c r="T105" s="58"/>
      <c r="U105" s="58"/>
      <c r="V105" s="58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</row>
    <row r="106" spans="1:45" ht="16.5" customHeight="1" x14ac:dyDescent="0.25">
      <c r="A106" s="411"/>
      <c r="B106" s="412"/>
      <c r="C106" s="412"/>
      <c r="D106" s="49"/>
      <c r="E106" s="49"/>
      <c r="F106" s="49"/>
      <c r="G106" s="49"/>
      <c r="H106" s="418"/>
      <c r="I106" s="418"/>
      <c r="J106" s="418"/>
      <c r="K106" s="418"/>
      <c r="L106" s="418"/>
      <c r="M106" s="418"/>
      <c r="N106" s="59"/>
      <c r="O106" s="60"/>
      <c r="P106" s="58"/>
      <c r="Q106" s="58"/>
      <c r="R106" s="58"/>
      <c r="S106" s="58"/>
      <c r="T106" s="58"/>
      <c r="U106" s="58"/>
      <c r="V106" s="58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</row>
    <row r="107" spans="1:45" ht="16.5" customHeight="1" x14ac:dyDescent="0.25">
      <c r="A107" s="411"/>
      <c r="B107" s="412"/>
      <c r="C107" s="412"/>
      <c r="D107" s="49"/>
      <c r="E107" s="49"/>
      <c r="F107" s="49"/>
      <c r="G107" s="49"/>
      <c r="H107" s="418"/>
      <c r="I107" s="418"/>
      <c r="J107" s="418"/>
      <c r="K107" s="418"/>
      <c r="L107" s="418"/>
      <c r="M107" s="418"/>
      <c r="N107" s="59"/>
      <c r="O107" s="60"/>
      <c r="P107" s="58"/>
      <c r="Q107" s="58"/>
      <c r="R107" s="58"/>
      <c r="S107" s="58"/>
      <c r="T107" s="58"/>
      <c r="U107" s="58"/>
      <c r="V107" s="58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</row>
    <row r="108" spans="1:45" ht="16.5" customHeight="1" x14ac:dyDescent="0.25">
      <c r="A108" s="413"/>
      <c r="B108" s="414"/>
      <c r="C108" s="414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61"/>
      <c r="O108" s="61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16.5" customHeight="1" x14ac:dyDescent="0.25">
      <c r="Q109" s="4"/>
    </row>
    <row r="112" spans="1:45" x14ac:dyDescent="0.25">
      <c r="W112" s="18"/>
      <c r="X112" s="18"/>
      <c r="Y112" s="18"/>
      <c r="Z112" s="18"/>
      <c r="AA112" s="18"/>
    </row>
    <row r="168" spans="14:15" x14ac:dyDescent="0.25">
      <c r="N168" s="10"/>
      <c r="O168" s="10"/>
    </row>
  </sheetData>
  <mergeCells count="293">
    <mergeCell ref="A102:A103"/>
    <mergeCell ref="B102:C103"/>
    <mergeCell ref="A98:A99"/>
    <mergeCell ref="A100:A101"/>
    <mergeCell ref="D98:E99"/>
    <mergeCell ref="D100:E101"/>
    <mergeCell ref="F98:G99"/>
    <mergeCell ref="H98:I99"/>
    <mergeCell ref="F100:G101"/>
    <mergeCell ref="H100:I101"/>
    <mergeCell ref="B97:C97"/>
    <mergeCell ref="B96:E96"/>
    <mergeCell ref="F96:I96"/>
    <mergeCell ref="J96:M96"/>
    <mergeCell ref="B98:C99"/>
    <mergeCell ref="B100:C101"/>
    <mergeCell ref="L98:M99"/>
    <mergeCell ref="L100:M101"/>
    <mergeCell ref="F97:G97"/>
    <mergeCell ref="D97:E97"/>
    <mergeCell ref="H105:M107"/>
    <mergeCell ref="W90:AA94"/>
    <mergeCell ref="AC90:AG94"/>
    <mergeCell ref="AI90:AM94"/>
    <mergeCell ref="AO90:AS94"/>
    <mergeCell ref="V90:V94"/>
    <mergeCell ref="AB90:AB94"/>
    <mergeCell ref="AH90:AH94"/>
    <mergeCell ref="AN90:AN94"/>
    <mergeCell ref="J90:J94"/>
    <mergeCell ref="K90:K94"/>
    <mergeCell ref="L90:L94"/>
    <mergeCell ref="M90:M94"/>
    <mergeCell ref="Q90:U94"/>
    <mergeCell ref="L97:M97"/>
    <mergeCell ref="J97:K97"/>
    <mergeCell ref="H97:I97"/>
    <mergeCell ref="O97:P98"/>
    <mergeCell ref="J98:K99"/>
    <mergeCell ref="J100:K101"/>
    <mergeCell ref="E90:E94"/>
    <mergeCell ref="F90:F94"/>
    <mergeCell ref="G90:G94"/>
    <mergeCell ref="H90:H94"/>
    <mergeCell ref="I90:I94"/>
    <mergeCell ref="A87:A88"/>
    <mergeCell ref="A90:A94"/>
    <mergeCell ref="B90:B94"/>
    <mergeCell ref="C90:C94"/>
    <mergeCell ref="D90:D94"/>
    <mergeCell ref="A77:A78"/>
    <mergeCell ref="A79:A80"/>
    <mergeCell ref="A81:A82"/>
    <mergeCell ref="A83:A84"/>
    <mergeCell ref="A85:A86"/>
    <mergeCell ref="A69:A70"/>
    <mergeCell ref="A71:A72"/>
    <mergeCell ref="A73:A74"/>
    <mergeCell ref="A75:A76"/>
    <mergeCell ref="A57:A58"/>
    <mergeCell ref="A59:A60"/>
    <mergeCell ref="A61:A62"/>
    <mergeCell ref="A63:A64"/>
    <mergeCell ref="A65:A66"/>
    <mergeCell ref="A51:A52"/>
    <mergeCell ref="A53:A54"/>
    <mergeCell ref="A55:A56"/>
    <mergeCell ref="A37:A38"/>
    <mergeCell ref="A39:A40"/>
    <mergeCell ref="A41:A42"/>
    <mergeCell ref="A43:A44"/>
    <mergeCell ref="A45:A46"/>
    <mergeCell ref="A49:A50"/>
    <mergeCell ref="A67:A68"/>
    <mergeCell ref="A104:C108"/>
    <mergeCell ref="A1:AS5"/>
    <mergeCell ref="B7:AS7"/>
    <mergeCell ref="B9:M9"/>
    <mergeCell ref="Q9:U9"/>
    <mergeCell ref="W9:AA9"/>
    <mergeCell ref="AC9:AG9"/>
    <mergeCell ref="AI9:AM9"/>
    <mergeCell ref="AO9:AS9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47:A48"/>
    <mergeCell ref="P11:P12"/>
    <mergeCell ref="P13:P14"/>
    <mergeCell ref="P15:P16"/>
    <mergeCell ref="P17:P18"/>
    <mergeCell ref="P19:P20"/>
    <mergeCell ref="P21:P22"/>
    <mergeCell ref="P23:P24"/>
    <mergeCell ref="P25:P26"/>
    <mergeCell ref="P27:P28"/>
    <mergeCell ref="P29:P30"/>
    <mergeCell ref="P31:P32"/>
    <mergeCell ref="P33:P34"/>
    <mergeCell ref="P35:P36"/>
    <mergeCell ref="P37:P38"/>
    <mergeCell ref="P39:P40"/>
    <mergeCell ref="P41:P42"/>
    <mergeCell ref="P43:P44"/>
    <mergeCell ref="P45:P46"/>
    <mergeCell ref="P47:P48"/>
    <mergeCell ref="P49:P50"/>
    <mergeCell ref="P51:P52"/>
    <mergeCell ref="P53:P54"/>
    <mergeCell ref="P55:P56"/>
    <mergeCell ref="P57:P58"/>
    <mergeCell ref="P59:P60"/>
    <mergeCell ref="P61:P62"/>
    <mergeCell ref="P63:P64"/>
    <mergeCell ref="P65:P66"/>
    <mergeCell ref="P67:P68"/>
    <mergeCell ref="P69:P70"/>
    <mergeCell ref="P71:P72"/>
    <mergeCell ref="P73:P74"/>
    <mergeCell ref="P75:P76"/>
    <mergeCell ref="P77:P78"/>
    <mergeCell ref="P79:P80"/>
    <mergeCell ref="P81:P82"/>
    <mergeCell ref="P83:P84"/>
    <mergeCell ref="P85:P86"/>
    <mergeCell ref="P87:P88"/>
    <mergeCell ref="V11:V12"/>
    <mergeCell ref="V13:V14"/>
    <mergeCell ref="V15:V16"/>
    <mergeCell ref="V17:V18"/>
    <mergeCell ref="V19:V20"/>
    <mergeCell ref="V21:V22"/>
    <mergeCell ref="V23:V24"/>
    <mergeCell ref="V25:V26"/>
    <mergeCell ref="V27:V28"/>
    <mergeCell ref="V29:V30"/>
    <mergeCell ref="V31:V32"/>
    <mergeCell ref="V33:V34"/>
    <mergeCell ref="V35:V36"/>
    <mergeCell ref="V37:V38"/>
    <mergeCell ref="V39:V40"/>
    <mergeCell ref="V41:V42"/>
    <mergeCell ref="V43:V44"/>
    <mergeCell ref="V45:V46"/>
    <mergeCell ref="V47:V48"/>
    <mergeCell ref="V49:V50"/>
    <mergeCell ref="V51:V52"/>
    <mergeCell ref="V53:V54"/>
    <mergeCell ref="V55:V56"/>
    <mergeCell ref="V57:V58"/>
    <mergeCell ref="V59:V60"/>
    <mergeCell ref="V61:V62"/>
    <mergeCell ref="V63:V64"/>
    <mergeCell ref="V65:V66"/>
    <mergeCell ref="V67:V68"/>
    <mergeCell ref="V69:V70"/>
    <mergeCell ref="V71:V72"/>
    <mergeCell ref="V73:V74"/>
    <mergeCell ref="V75:V76"/>
    <mergeCell ref="V77:V78"/>
    <mergeCell ref="V79:V80"/>
    <mergeCell ref="V81:V82"/>
    <mergeCell ref="V83:V84"/>
    <mergeCell ref="V85:V86"/>
    <mergeCell ref="V87:V88"/>
    <mergeCell ref="AB11:AB12"/>
    <mergeCell ref="AB13:AB14"/>
    <mergeCell ref="AB15:AB16"/>
    <mergeCell ref="AB17:AB18"/>
    <mergeCell ref="AB19:AB20"/>
    <mergeCell ref="AB21:AB22"/>
    <mergeCell ref="AB23:AB24"/>
    <mergeCell ref="AB25:AB26"/>
    <mergeCell ref="AB27:AB28"/>
    <mergeCell ref="AB79:AB80"/>
    <mergeCell ref="AB81:AB82"/>
    <mergeCell ref="AB47:AB48"/>
    <mergeCell ref="AB49:AB50"/>
    <mergeCell ref="AB51:AB52"/>
    <mergeCell ref="AB53:AB54"/>
    <mergeCell ref="AB55:AB56"/>
    <mergeCell ref="AB57:AB58"/>
    <mergeCell ref="AB59:AB60"/>
    <mergeCell ref="AB61:AB62"/>
    <mergeCell ref="AB63:AB64"/>
    <mergeCell ref="AB69:AB70"/>
    <mergeCell ref="AB71:AB72"/>
    <mergeCell ref="AB73:AB74"/>
    <mergeCell ref="AB75:AB76"/>
    <mergeCell ref="AB77:AB78"/>
    <mergeCell ref="AB87:AB88"/>
    <mergeCell ref="AH11:AH12"/>
    <mergeCell ref="AH13:AH14"/>
    <mergeCell ref="AH15:AH16"/>
    <mergeCell ref="AH17:AH18"/>
    <mergeCell ref="AH19:AH20"/>
    <mergeCell ref="AH21:AH22"/>
    <mergeCell ref="AH23:AH24"/>
    <mergeCell ref="AH25:AH26"/>
    <mergeCell ref="AH27:AH28"/>
    <mergeCell ref="AH29:AH30"/>
    <mergeCell ref="AH31:AH32"/>
    <mergeCell ref="AH33:AH34"/>
    <mergeCell ref="AH35:AH36"/>
    <mergeCell ref="AH37:AH38"/>
    <mergeCell ref="AH39:AH40"/>
    <mergeCell ref="AH41:AH42"/>
    <mergeCell ref="AH43:AH44"/>
    <mergeCell ref="AH45:AH46"/>
    <mergeCell ref="AH47:AH48"/>
    <mergeCell ref="AH49:AH50"/>
    <mergeCell ref="AH51:AH52"/>
    <mergeCell ref="AB65:AB66"/>
    <mergeCell ref="AB67:AB68"/>
    <mergeCell ref="AN11:AN12"/>
    <mergeCell ref="AN13:AN14"/>
    <mergeCell ref="AN15:AN16"/>
    <mergeCell ref="AN17:AN18"/>
    <mergeCell ref="AN19:AN20"/>
    <mergeCell ref="AN21:AN22"/>
    <mergeCell ref="AN23:AN24"/>
    <mergeCell ref="AN25:AN26"/>
    <mergeCell ref="AN27:AN28"/>
    <mergeCell ref="AN29:AN30"/>
    <mergeCell ref="AN31:AN32"/>
    <mergeCell ref="AN33:AN34"/>
    <mergeCell ref="AN35:AN36"/>
    <mergeCell ref="AN37:AN38"/>
    <mergeCell ref="AN39:AN40"/>
    <mergeCell ref="AN41:AN42"/>
    <mergeCell ref="AN43:AN44"/>
    <mergeCell ref="AN45:AN46"/>
    <mergeCell ref="AB29:AB30"/>
    <mergeCell ref="AB31:AB32"/>
    <mergeCell ref="AB33:AB34"/>
    <mergeCell ref="AB35:AB36"/>
    <mergeCell ref="AB37:AB38"/>
    <mergeCell ref="AB39:AB40"/>
    <mergeCell ref="AB41:AB42"/>
    <mergeCell ref="AB43:AB44"/>
    <mergeCell ref="AB45:AB46"/>
    <mergeCell ref="AH53:AH54"/>
    <mergeCell ref="AH55:AH56"/>
    <mergeCell ref="AH57:AH58"/>
    <mergeCell ref="AH59:AH60"/>
    <mergeCell ref="AH61:AH62"/>
    <mergeCell ref="AH63:AH64"/>
    <mergeCell ref="AH65:AH66"/>
    <mergeCell ref="AH67:AH68"/>
    <mergeCell ref="AH69:AH70"/>
    <mergeCell ref="AN47:AN48"/>
    <mergeCell ref="AN49:AN50"/>
    <mergeCell ref="AN51:AN52"/>
    <mergeCell ref="AN53:AN54"/>
    <mergeCell ref="AN55:AN56"/>
    <mergeCell ref="AN57:AN58"/>
    <mergeCell ref="AN59:AN60"/>
    <mergeCell ref="AN61:AN62"/>
    <mergeCell ref="AN63:AN64"/>
    <mergeCell ref="AN83:AN84"/>
    <mergeCell ref="AN85:AN86"/>
    <mergeCell ref="AN87:AN88"/>
    <mergeCell ref="N57:O65"/>
    <mergeCell ref="AN65:AN66"/>
    <mergeCell ref="AN67:AN68"/>
    <mergeCell ref="AN69:AN70"/>
    <mergeCell ref="AN71:AN72"/>
    <mergeCell ref="AN73:AN74"/>
    <mergeCell ref="AN75:AN76"/>
    <mergeCell ref="AN77:AN78"/>
    <mergeCell ref="AN79:AN80"/>
    <mergeCell ref="AN81:AN82"/>
    <mergeCell ref="AH71:AH72"/>
    <mergeCell ref="AH73:AH74"/>
    <mergeCell ref="AH75:AH76"/>
    <mergeCell ref="AH77:AH78"/>
    <mergeCell ref="AH79:AH80"/>
    <mergeCell ref="AH81:AH82"/>
    <mergeCell ref="AH83:AH84"/>
    <mergeCell ref="AH85:AH86"/>
    <mergeCell ref="AH87:AH88"/>
    <mergeCell ref="AB83:AB84"/>
    <mergeCell ref="AB85:AB86"/>
  </mergeCells>
  <printOptions horizontalCentered="1" verticalCentered="1"/>
  <pageMargins left="0.19685039370078741" right="0.19685039370078741" top="0" bottom="0" header="0" footer="0"/>
  <pageSetup paperSize="8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Y168"/>
  <sheetViews>
    <sheetView topLeftCell="A37" zoomScale="57" zoomScaleNormal="57" workbookViewId="0">
      <selection activeCell="U95" sqref="U95:V97"/>
    </sheetView>
  </sheetViews>
  <sheetFormatPr baseColWidth="10" defaultRowHeight="15" x14ac:dyDescent="0.25"/>
  <cols>
    <col min="1" max="1" width="15.28515625" customWidth="1"/>
    <col min="2" max="2" width="14.5703125" customWidth="1"/>
    <col min="3" max="14" width="15.7109375" customWidth="1"/>
    <col min="15" max="24" width="10.7109375" customWidth="1"/>
    <col min="236" max="236" width="4.140625" customWidth="1"/>
    <col min="237" max="237" width="4" customWidth="1"/>
    <col min="238" max="238" width="4.140625" customWidth="1"/>
    <col min="239" max="239" width="3.85546875" customWidth="1"/>
    <col min="240" max="248" width="4.140625" customWidth="1"/>
    <col min="249" max="249" width="3.7109375" customWidth="1"/>
    <col min="250" max="280" width="4.42578125" customWidth="1"/>
    <col min="492" max="492" width="4.140625" customWidth="1"/>
    <col min="493" max="493" width="4" customWidth="1"/>
    <col min="494" max="494" width="4.140625" customWidth="1"/>
    <col min="495" max="495" width="3.85546875" customWidth="1"/>
    <col min="496" max="504" width="4.140625" customWidth="1"/>
    <col min="505" max="505" width="3.7109375" customWidth="1"/>
    <col min="506" max="536" width="4.42578125" customWidth="1"/>
    <col min="748" max="748" width="4.140625" customWidth="1"/>
    <col min="749" max="749" width="4" customWidth="1"/>
    <col min="750" max="750" width="4.140625" customWidth="1"/>
    <col min="751" max="751" width="3.85546875" customWidth="1"/>
    <col min="752" max="760" width="4.140625" customWidth="1"/>
    <col min="761" max="761" width="3.7109375" customWidth="1"/>
    <col min="762" max="792" width="4.42578125" customWidth="1"/>
    <col min="1004" max="1004" width="4.140625" customWidth="1"/>
    <col min="1005" max="1005" width="4" customWidth="1"/>
    <col min="1006" max="1006" width="4.140625" customWidth="1"/>
    <col min="1007" max="1007" width="3.85546875" customWidth="1"/>
    <col min="1008" max="1016" width="4.140625" customWidth="1"/>
    <col min="1017" max="1017" width="3.7109375" customWidth="1"/>
    <col min="1018" max="1048" width="4.42578125" customWidth="1"/>
    <col min="1260" max="1260" width="4.140625" customWidth="1"/>
    <col min="1261" max="1261" width="4" customWidth="1"/>
    <col min="1262" max="1262" width="4.140625" customWidth="1"/>
    <col min="1263" max="1263" width="3.85546875" customWidth="1"/>
    <col min="1264" max="1272" width="4.140625" customWidth="1"/>
    <col min="1273" max="1273" width="3.7109375" customWidth="1"/>
    <col min="1274" max="1304" width="4.42578125" customWidth="1"/>
    <col min="1516" max="1516" width="4.140625" customWidth="1"/>
    <col min="1517" max="1517" width="4" customWidth="1"/>
    <col min="1518" max="1518" width="4.140625" customWidth="1"/>
    <col min="1519" max="1519" width="3.85546875" customWidth="1"/>
    <col min="1520" max="1528" width="4.140625" customWidth="1"/>
    <col min="1529" max="1529" width="3.7109375" customWidth="1"/>
    <col min="1530" max="1560" width="4.42578125" customWidth="1"/>
    <col min="1772" max="1772" width="4.140625" customWidth="1"/>
    <col min="1773" max="1773" width="4" customWidth="1"/>
    <col min="1774" max="1774" width="4.140625" customWidth="1"/>
    <col min="1775" max="1775" width="3.85546875" customWidth="1"/>
    <col min="1776" max="1784" width="4.140625" customWidth="1"/>
    <col min="1785" max="1785" width="3.7109375" customWidth="1"/>
    <col min="1786" max="1816" width="4.42578125" customWidth="1"/>
    <col min="2028" max="2028" width="4.140625" customWidth="1"/>
    <col min="2029" max="2029" width="4" customWidth="1"/>
    <col min="2030" max="2030" width="4.140625" customWidth="1"/>
    <col min="2031" max="2031" width="3.85546875" customWidth="1"/>
    <col min="2032" max="2040" width="4.140625" customWidth="1"/>
    <col min="2041" max="2041" width="3.7109375" customWidth="1"/>
    <col min="2042" max="2072" width="4.42578125" customWidth="1"/>
    <col min="2284" max="2284" width="4.140625" customWidth="1"/>
    <col min="2285" max="2285" width="4" customWidth="1"/>
    <col min="2286" max="2286" width="4.140625" customWidth="1"/>
    <col min="2287" max="2287" width="3.85546875" customWidth="1"/>
    <col min="2288" max="2296" width="4.140625" customWidth="1"/>
    <col min="2297" max="2297" width="3.7109375" customWidth="1"/>
    <col min="2298" max="2328" width="4.42578125" customWidth="1"/>
    <col min="2540" max="2540" width="4.140625" customWidth="1"/>
    <col min="2541" max="2541" width="4" customWidth="1"/>
    <col min="2542" max="2542" width="4.140625" customWidth="1"/>
    <col min="2543" max="2543" width="3.85546875" customWidth="1"/>
    <col min="2544" max="2552" width="4.140625" customWidth="1"/>
    <col min="2553" max="2553" width="3.7109375" customWidth="1"/>
    <col min="2554" max="2584" width="4.42578125" customWidth="1"/>
    <col min="2796" max="2796" width="4.140625" customWidth="1"/>
    <col min="2797" max="2797" width="4" customWidth="1"/>
    <col min="2798" max="2798" width="4.140625" customWidth="1"/>
    <col min="2799" max="2799" width="3.85546875" customWidth="1"/>
    <col min="2800" max="2808" width="4.140625" customWidth="1"/>
    <col min="2809" max="2809" width="3.7109375" customWidth="1"/>
    <col min="2810" max="2840" width="4.42578125" customWidth="1"/>
    <col min="3052" max="3052" width="4.140625" customWidth="1"/>
    <col min="3053" max="3053" width="4" customWidth="1"/>
    <col min="3054" max="3054" width="4.140625" customWidth="1"/>
    <col min="3055" max="3055" width="3.85546875" customWidth="1"/>
    <col min="3056" max="3064" width="4.140625" customWidth="1"/>
    <col min="3065" max="3065" width="3.7109375" customWidth="1"/>
    <col min="3066" max="3096" width="4.42578125" customWidth="1"/>
    <col min="3308" max="3308" width="4.140625" customWidth="1"/>
    <col min="3309" max="3309" width="4" customWidth="1"/>
    <col min="3310" max="3310" width="4.140625" customWidth="1"/>
    <col min="3311" max="3311" width="3.85546875" customWidth="1"/>
    <col min="3312" max="3320" width="4.140625" customWidth="1"/>
    <col min="3321" max="3321" width="3.7109375" customWidth="1"/>
    <col min="3322" max="3352" width="4.42578125" customWidth="1"/>
    <col min="3564" max="3564" width="4.140625" customWidth="1"/>
    <col min="3565" max="3565" width="4" customWidth="1"/>
    <col min="3566" max="3566" width="4.140625" customWidth="1"/>
    <col min="3567" max="3567" width="3.85546875" customWidth="1"/>
    <col min="3568" max="3576" width="4.140625" customWidth="1"/>
    <col min="3577" max="3577" width="3.7109375" customWidth="1"/>
    <col min="3578" max="3608" width="4.42578125" customWidth="1"/>
    <col min="3820" max="3820" width="4.140625" customWidth="1"/>
    <col min="3821" max="3821" width="4" customWidth="1"/>
    <col min="3822" max="3822" width="4.140625" customWidth="1"/>
    <col min="3823" max="3823" width="3.85546875" customWidth="1"/>
    <col min="3824" max="3832" width="4.140625" customWidth="1"/>
    <col min="3833" max="3833" width="3.7109375" customWidth="1"/>
    <col min="3834" max="3864" width="4.42578125" customWidth="1"/>
    <col min="4076" max="4076" width="4.140625" customWidth="1"/>
    <col min="4077" max="4077" width="4" customWidth="1"/>
    <col min="4078" max="4078" width="4.140625" customWidth="1"/>
    <col min="4079" max="4079" width="3.85546875" customWidth="1"/>
    <col min="4080" max="4088" width="4.140625" customWidth="1"/>
    <col min="4089" max="4089" width="3.7109375" customWidth="1"/>
    <col min="4090" max="4120" width="4.42578125" customWidth="1"/>
    <col min="4332" max="4332" width="4.140625" customWidth="1"/>
    <col min="4333" max="4333" width="4" customWidth="1"/>
    <col min="4334" max="4334" width="4.140625" customWidth="1"/>
    <col min="4335" max="4335" width="3.85546875" customWidth="1"/>
    <col min="4336" max="4344" width="4.140625" customWidth="1"/>
    <col min="4345" max="4345" width="3.7109375" customWidth="1"/>
    <col min="4346" max="4376" width="4.42578125" customWidth="1"/>
    <col min="4588" max="4588" width="4.140625" customWidth="1"/>
    <col min="4589" max="4589" width="4" customWidth="1"/>
    <col min="4590" max="4590" width="4.140625" customWidth="1"/>
    <col min="4591" max="4591" width="3.85546875" customWidth="1"/>
    <col min="4592" max="4600" width="4.140625" customWidth="1"/>
    <col min="4601" max="4601" width="3.7109375" customWidth="1"/>
    <col min="4602" max="4632" width="4.42578125" customWidth="1"/>
    <col min="4844" max="4844" width="4.140625" customWidth="1"/>
    <col min="4845" max="4845" width="4" customWidth="1"/>
    <col min="4846" max="4846" width="4.140625" customWidth="1"/>
    <col min="4847" max="4847" width="3.85546875" customWidth="1"/>
    <col min="4848" max="4856" width="4.140625" customWidth="1"/>
    <col min="4857" max="4857" width="3.7109375" customWidth="1"/>
    <col min="4858" max="4888" width="4.42578125" customWidth="1"/>
    <col min="5100" max="5100" width="4.140625" customWidth="1"/>
    <col min="5101" max="5101" width="4" customWidth="1"/>
    <col min="5102" max="5102" width="4.140625" customWidth="1"/>
    <col min="5103" max="5103" width="3.85546875" customWidth="1"/>
    <col min="5104" max="5112" width="4.140625" customWidth="1"/>
    <col min="5113" max="5113" width="3.7109375" customWidth="1"/>
    <col min="5114" max="5144" width="4.42578125" customWidth="1"/>
    <col min="5356" max="5356" width="4.140625" customWidth="1"/>
    <col min="5357" max="5357" width="4" customWidth="1"/>
    <col min="5358" max="5358" width="4.140625" customWidth="1"/>
    <col min="5359" max="5359" width="3.85546875" customWidth="1"/>
    <col min="5360" max="5368" width="4.140625" customWidth="1"/>
    <col min="5369" max="5369" width="3.7109375" customWidth="1"/>
    <col min="5370" max="5400" width="4.42578125" customWidth="1"/>
    <col min="5612" max="5612" width="4.140625" customWidth="1"/>
    <col min="5613" max="5613" width="4" customWidth="1"/>
    <col min="5614" max="5614" width="4.140625" customWidth="1"/>
    <col min="5615" max="5615" width="3.85546875" customWidth="1"/>
    <col min="5616" max="5624" width="4.140625" customWidth="1"/>
    <col min="5625" max="5625" width="3.7109375" customWidth="1"/>
    <col min="5626" max="5656" width="4.42578125" customWidth="1"/>
    <col min="5868" max="5868" width="4.140625" customWidth="1"/>
    <col min="5869" max="5869" width="4" customWidth="1"/>
    <col min="5870" max="5870" width="4.140625" customWidth="1"/>
    <col min="5871" max="5871" width="3.85546875" customWidth="1"/>
    <col min="5872" max="5880" width="4.140625" customWidth="1"/>
    <col min="5881" max="5881" width="3.7109375" customWidth="1"/>
    <col min="5882" max="5912" width="4.42578125" customWidth="1"/>
    <col min="6124" max="6124" width="4.140625" customWidth="1"/>
    <col min="6125" max="6125" width="4" customWidth="1"/>
    <col min="6126" max="6126" width="4.140625" customWidth="1"/>
    <col min="6127" max="6127" width="3.85546875" customWidth="1"/>
    <col min="6128" max="6136" width="4.140625" customWidth="1"/>
    <col min="6137" max="6137" width="3.7109375" customWidth="1"/>
    <col min="6138" max="6168" width="4.42578125" customWidth="1"/>
    <col min="6380" max="6380" width="4.140625" customWidth="1"/>
    <col min="6381" max="6381" width="4" customWidth="1"/>
    <col min="6382" max="6382" width="4.140625" customWidth="1"/>
    <col min="6383" max="6383" width="3.85546875" customWidth="1"/>
    <col min="6384" max="6392" width="4.140625" customWidth="1"/>
    <col min="6393" max="6393" width="3.7109375" customWidth="1"/>
    <col min="6394" max="6424" width="4.42578125" customWidth="1"/>
    <col min="6636" max="6636" width="4.140625" customWidth="1"/>
    <col min="6637" max="6637" width="4" customWidth="1"/>
    <col min="6638" max="6638" width="4.140625" customWidth="1"/>
    <col min="6639" max="6639" width="3.85546875" customWidth="1"/>
    <col min="6640" max="6648" width="4.140625" customWidth="1"/>
    <col min="6649" max="6649" width="3.7109375" customWidth="1"/>
    <col min="6650" max="6680" width="4.42578125" customWidth="1"/>
    <col min="6892" max="6892" width="4.140625" customWidth="1"/>
    <col min="6893" max="6893" width="4" customWidth="1"/>
    <col min="6894" max="6894" width="4.140625" customWidth="1"/>
    <col min="6895" max="6895" width="3.85546875" customWidth="1"/>
    <col min="6896" max="6904" width="4.140625" customWidth="1"/>
    <col min="6905" max="6905" width="3.7109375" customWidth="1"/>
    <col min="6906" max="6936" width="4.42578125" customWidth="1"/>
    <col min="7148" max="7148" width="4.140625" customWidth="1"/>
    <col min="7149" max="7149" width="4" customWidth="1"/>
    <col min="7150" max="7150" width="4.140625" customWidth="1"/>
    <col min="7151" max="7151" width="3.85546875" customWidth="1"/>
    <col min="7152" max="7160" width="4.140625" customWidth="1"/>
    <col min="7161" max="7161" width="3.7109375" customWidth="1"/>
    <col min="7162" max="7192" width="4.42578125" customWidth="1"/>
    <col min="7404" max="7404" width="4.140625" customWidth="1"/>
    <col min="7405" max="7405" width="4" customWidth="1"/>
    <col min="7406" max="7406" width="4.140625" customWidth="1"/>
    <col min="7407" max="7407" width="3.85546875" customWidth="1"/>
    <col min="7408" max="7416" width="4.140625" customWidth="1"/>
    <col min="7417" max="7417" width="3.7109375" customWidth="1"/>
    <col min="7418" max="7448" width="4.42578125" customWidth="1"/>
    <col min="7660" max="7660" width="4.140625" customWidth="1"/>
    <col min="7661" max="7661" width="4" customWidth="1"/>
    <col min="7662" max="7662" width="4.140625" customWidth="1"/>
    <col min="7663" max="7663" width="3.85546875" customWidth="1"/>
    <col min="7664" max="7672" width="4.140625" customWidth="1"/>
    <col min="7673" max="7673" width="3.7109375" customWidth="1"/>
    <col min="7674" max="7704" width="4.42578125" customWidth="1"/>
    <col min="7916" max="7916" width="4.140625" customWidth="1"/>
    <col min="7917" max="7917" width="4" customWidth="1"/>
    <col min="7918" max="7918" width="4.140625" customWidth="1"/>
    <col min="7919" max="7919" width="3.85546875" customWidth="1"/>
    <col min="7920" max="7928" width="4.140625" customWidth="1"/>
    <col min="7929" max="7929" width="3.7109375" customWidth="1"/>
    <col min="7930" max="7960" width="4.42578125" customWidth="1"/>
    <col min="8172" max="8172" width="4.140625" customWidth="1"/>
    <col min="8173" max="8173" width="4" customWidth="1"/>
    <col min="8174" max="8174" width="4.140625" customWidth="1"/>
    <col min="8175" max="8175" width="3.85546875" customWidth="1"/>
    <col min="8176" max="8184" width="4.140625" customWidth="1"/>
    <col min="8185" max="8185" width="3.7109375" customWidth="1"/>
    <col min="8186" max="8216" width="4.42578125" customWidth="1"/>
    <col min="8428" max="8428" width="4.140625" customWidth="1"/>
    <col min="8429" max="8429" width="4" customWidth="1"/>
    <col min="8430" max="8430" width="4.140625" customWidth="1"/>
    <col min="8431" max="8431" width="3.85546875" customWidth="1"/>
    <col min="8432" max="8440" width="4.140625" customWidth="1"/>
    <col min="8441" max="8441" width="3.7109375" customWidth="1"/>
    <col min="8442" max="8472" width="4.42578125" customWidth="1"/>
    <col min="8684" max="8684" width="4.140625" customWidth="1"/>
    <col min="8685" max="8685" width="4" customWidth="1"/>
    <col min="8686" max="8686" width="4.140625" customWidth="1"/>
    <col min="8687" max="8687" width="3.85546875" customWidth="1"/>
    <col min="8688" max="8696" width="4.140625" customWidth="1"/>
    <col min="8697" max="8697" width="3.7109375" customWidth="1"/>
    <col min="8698" max="8728" width="4.42578125" customWidth="1"/>
    <col min="8940" max="8940" width="4.140625" customWidth="1"/>
    <col min="8941" max="8941" width="4" customWidth="1"/>
    <col min="8942" max="8942" width="4.140625" customWidth="1"/>
    <col min="8943" max="8943" width="3.85546875" customWidth="1"/>
    <col min="8944" max="8952" width="4.140625" customWidth="1"/>
    <col min="8953" max="8953" width="3.7109375" customWidth="1"/>
    <col min="8954" max="8984" width="4.42578125" customWidth="1"/>
    <col min="9196" max="9196" width="4.140625" customWidth="1"/>
    <col min="9197" max="9197" width="4" customWidth="1"/>
    <col min="9198" max="9198" width="4.140625" customWidth="1"/>
    <col min="9199" max="9199" width="3.85546875" customWidth="1"/>
    <col min="9200" max="9208" width="4.140625" customWidth="1"/>
    <col min="9209" max="9209" width="3.7109375" customWidth="1"/>
    <col min="9210" max="9240" width="4.42578125" customWidth="1"/>
    <col min="9452" max="9452" width="4.140625" customWidth="1"/>
    <col min="9453" max="9453" width="4" customWidth="1"/>
    <col min="9454" max="9454" width="4.140625" customWidth="1"/>
    <col min="9455" max="9455" width="3.85546875" customWidth="1"/>
    <col min="9456" max="9464" width="4.140625" customWidth="1"/>
    <col min="9465" max="9465" width="3.7109375" customWidth="1"/>
    <col min="9466" max="9496" width="4.42578125" customWidth="1"/>
    <col min="9708" max="9708" width="4.140625" customWidth="1"/>
    <col min="9709" max="9709" width="4" customWidth="1"/>
    <col min="9710" max="9710" width="4.140625" customWidth="1"/>
    <col min="9711" max="9711" width="3.85546875" customWidth="1"/>
    <col min="9712" max="9720" width="4.140625" customWidth="1"/>
    <col min="9721" max="9721" width="3.7109375" customWidth="1"/>
    <col min="9722" max="9752" width="4.42578125" customWidth="1"/>
    <col min="9964" max="9964" width="4.140625" customWidth="1"/>
    <col min="9965" max="9965" width="4" customWidth="1"/>
    <col min="9966" max="9966" width="4.140625" customWidth="1"/>
    <col min="9967" max="9967" width="3.85546875" customWidth="1"/>
    <col min="9968" max="9976" width="4.140625" customWidth="1"/>
    <col min="9977" max="9977" width="3.7109375" customWidth="1"/>
    <col min="9978" max="10008" width="4.42578125" customWidth="1"/>
    <col min="10220" max="10220" width="4.140625" customWidth="1"/>
    <col min="10221" max="10221" width="4" customWidth="1"/>
    <col min="10222" max="10222" width="4.140625" customWidth="1"/>
    <col min="10223" max="10223" width="3.85546875" customWidth="1"/>
    <col min="10224" max="10232" width="4.140625" customWidth="1"/>
    <col min="10233" max="10233" width="3.7109375" customWidth="1"/>
    <col min="10234" max="10264" width="4.42578125" customWidth="1"/>
    <col min="10476" max="10476" width="4.140625" customWidth="1"/>
    <col min="10477" max="10477" width="4" customWidth="1"/>
    <col min="10478" max="10478" width="4.140625" customWidth="1"/>
    <col min="10479" max="10479" width="3.85546875" customWidth="1"/>
    <col min="10480" max="10488" width="4.140625" customWidth="1"/>
    <col min="10489" max="10489" width="3.7109375" customWidth="1"/>
    <col min="10490" max="10520" width="4.42578125" customWidth="1"/>
    <col min="10732" max="10732" width="4.140625" customWidth="1"/>
    <col min="10733" max="10733" width="4" customWidth="1"/>
    <col min="10734" max="10734" width="4.140625" customWidth="1"/>
    <col min="10735" max="10735" width="3.85546875" customWidth="1"/>
    <col min="10736" max="10744" width="4.140625" customWidth="1"/>
    <col min="10745" max="10745" width="3.7109375" customWidth="1"/>
    <col min="10746" max="10776" width="4.42578125" customWidth="1"/>
    <col min="10988" max="10988" width="4.140625" customWidth="1"/>
    <col min="10989" max="10989" width="4" customWidth="1"/>
    <col min="10990" max="10990" width="4.140625" customWidth="1"/>
    <col min="10991" max="10991" width="3.85546875" customWidth="1"/>
    <col min="10992" max="11000" width="4.140625" customWidth="1"/>
    <col min="11001" max="11001" width="3.7109375" customWidth="1"/>
    <col min="11002" max="11032" width="4.42578125" customWidth="1"/>
    <col min="11244" max="11244" width="4.140625" customWidth="1"/>
    <col min="11245" max="11245" width="4" customWidth="1"/>
    <col min="11246" max="11246" width="4.140625" customWidth="1"/>
    <col min="11247" max="11247" width="3.85546875" customWidth="1"/>
    <col min="11248" max="11256" width="4.140625" customWidth="1"/>
    <col min="11257" max="11257" width="3.7109375" customWidth="1"/>
    <col min="11258" max="11288" width="4.42578125" customWidth="1"/>
    <col min="11500" max="11500" width="4.140625" customWidth="1"/>
    <col min="11501" max="11501" width="4" customWidth="1"/>
    <col min="11502" max="11502" width="4.140625" customWidth="1"/>
    <col min="11503" max="11503" width="3.85546875" customWidth="1"/>
    <col min="11504" max="11512" width="4.140625" customWidth="1"/>
    <col min="11513" max="11513" width="3.7109375" customWidth="1"/>
    <col min="11514" max="11544" width="4.42578125" customWidth="1"/>
    <col min="11756" max="11756" width="4.140625" customWidth="1"/>
    <col min="11757" max="11757" width="4" customWidth="1"/>
    <col min="11758" max="11758" width="4.140625" customWidth="1"/>
    <col min="11759" max="11759" width="3.85546875" customWidth="1"/>
    <col min="11760" max="11768" width="4.140625" customWidth="1"/>
    <col min="11769" max="11769" width="3.7109375" customWidth="1"/>
    <col min="11770" max="11800" width="4.42578125" customWidth="1"/>
    <col min="12012" max="12012" width="4.140625" customWidth="1"/>
    <col min="12013" max="12013" width="4" customWidth="1"/>
    <col min="12014" max="12014" width="4.140625" customWidth="1"/>
    <col min="12015" max="12015" width="3.85546875" customWidth="1"/>
    <col min="12016" max="12024" width="4.140625" customWidth="1"/>
    <col min="12025" max="12025" width="3.7109375" customWidth="1"/>
    <col min="12026" max="12056" width="4.42578125" customWidth="1"/>
    <col min="12268" max="12268" width="4.140625" customWidth="1"/>
    <col min="12269" max="12269" width="4" customWidth="1"/>
    <col min="12270" max="12270" width="4.140625" customWidth="1"/>
    <col min="12271" max="12271" width="3.85546875" customWidth="1"/>
    <col min="12272" max="12280" width="4.140625" customWidth="1"/>
    <col min="12281" max="12281" width="3.7109375" customWidth="1"/>
    <col min="12282" max="12312" width="4.42578125" customWidth="1"/>
    <col min="12524" max="12524" width="4.140625" customWidth="1"/>
    <col min="12525" max="12525" width="4" customWidth="1"/>
    <col min="12526" max="12526" width="4.140625" customWidth="1"/>
    <col min="12527" max="12527" width="3.85546875" customWidth="1"/>
    <col min="12528" max="12536" width="4.140625" customWidth="1"/>
    <col min="12537" max="12537" width="3.7109375" customWidth="1"/>
    <col min="12538" max="12568" width="4.42578125" customWidth="1"/>
    <col min="12780" max="12780" width="4.140625" customWidth="1"/>
    <col min="12781" max="12781" width="4" customWidth="1"/>
    <col min="12782" max="12782" width="4.140625" customWidth="1"/>
    <col min="12783" max="12783" width="3.85546875" customWidth="1"/>
    <col min="12784" max="12792" width="4.140625" customWidth="1"/>
    <col min="12793" max="12793" width="3.7109375" customWidth="1"/>
    <col min="12794" max="12824" width="4.42578125" customWidth="1"/>
    <col min="13036" max="13036" width="4.140625" customWidth="1"/>
    <col min="13037" max="13037" width="4" customWidth="1"/>
    <col min="13038" max="13038" width="4.140625" customWidth="1"/>
    <col min="13039" max="13039" width="3.85546875" customWidth="1"/>
    <col min="13040" max="13048" width="4.140625" customWidth="1"/>
    <col min="13049" max="13049" width="3.7109375" customWidth="1"/>
    <col min="13050" max="13080" width="4.42578125" customWidth="1"/>
    <col min="13292" max="13292" width="4.140625" customWidth="1"/>
    <col min="13293" max="13293" width="4" customWidth="1"/>
    <col min="13294" max="13294" width="4.140625" customWidth="1"/>
    <col min="13295" max="13295" width="3.85546875" customWidth="1"/>
    <col min="13296" max="13304" width="4.140625" customWidth="1"/>
    <col min="13305" max="13305" width="3.7109375" customWidth="1"/>
    <col min="13306" max="13336" width="4.42578125" customWidth="1"/>
    <col min="13548" max="13548" width="4.140625" customWidth="1"/>
    <col min="13549" max="13549" width="4" customWidth="1"/>
    <col min="13550" max="13550" width="4.140625" customWidth="1"/>
    <col min="13551" max="13551" width="3.85546875" customWidth="1"/>
    <col min="13552" max="13560" width="4.140625" customWidth="1"/>
    <col min="13561" max="13561" width="3.7109375" customWidth="1"/>
    <col min="13562" max="13592" width="4.42578125" customWidth="1"/>
    <col min="13804" max="13804" width="4.140625" customWidth="1"/>
    <col min="13805" max="13805" width="4" customWidth="1"/>
    <col min="13806" max="13806" width="4.140625" customWidth="1"/>
    <col min="13807" max="13807" width="3.85546875" customWidth="1"/>
    <col min="13808" max="13816" width="4.140625" customWidth="1"/>
    <col min="13817" max="13817" width="3.7109375" customWidth="1"/>
    <col min="13818" max="13848" width="4.42578125" customWidth="1"/>
    <col min="14060" max="14060" width="4.140625" customWidth="1"/>
    <col min="14061" max="14061" width="4" customWidth="1"/>
    <col min="14062" max="14062" width="4.140625" customWidth="1"/>
    <col min="14063" max="14063" width="3.85546875" customWidth="1"/>
    <col min="14064" max="14072" width="4.140625" customWidth="1"/>
    <col min="14073" max="14073" width="3.7109375" customWidth="1"/>
    <col min="14074" max="14104" width="4.42578125" customWidth="1"/>
    <col min="14316" max="14316" width="4.140625" customWidth="1"/>
    <col min="14317" max="14317" width="4" customWidth="1"/>
    <col min="14318" max="14318" width="4.140625" customWidth="1"/>
    <col min="14319" max="14319" width="3.85546875" customWidth="1"/>
    <col min="14320" max="14328" width="4.140625" customWidth="1"/>
    <col min="14329" max="14329" width="3.7109375" customWidth="1"/>
    <col min="14330" max="14360" width="4.42578125" customWidth="1"/>
    <col min="14572" max="14572" width="4.140625" customWidth="1"/>
    <col min="14573" max="14573" width="4" customWidth="1"/>
    <col min="14574" max="14574" width="4.140625" customWidth="1"/>
    <col min="14575" max="14575" width="3.85546875" customWidth="1"/>
    <col min="14576" max="14584" width="4.140625" customWidth="1"/>
    <col min="14585" max="14585" width="3.7109375" customWidth="1"/>
    <col min="14586" max="14616" width="4.42578125" customWidth="1"/>
    <col min="14828" max="14828" width="4.140625" customWidth="1"/>
    <col min="14829" max="14829" width="4" customWidth="1"/>
    <col min="14830" max="14830" width="4.140625" customWidth="1"/>
    <col min="14831" max="14831" width="3.85546875" customWidth="1"/>
    <col min="14832" max="14840" width="4.140625" customWidth="1"/>
    <col min="14841" max="14841" width="3.7109375" customWidth="1"/>
    <col min="14842" max="14872" width="4.42578125" customWidth="1"/>
    <col min="15084" max="15084" width="4.140625" customWidth="1"/>
    <col min="15085" max="15085" width="4" customWidth="1"/>
    <col min="15086" max="15086" width="4.140625" customWidth="1"/>
    <col min="15087" max="15087" width="3.85546875" customWidth="1"/>
    <col min="15088" max="15096" width="4.140625" customWidth="1"/>
    <col min="15097" max="15097" width="3.7109375" customWidth="1"/>
    <col min="15098" max="15128" width="4.42578125" customWidth="1"/>
    <col min="15340" max="15340" width="4.140625" customWidth="1"/>
    <col min="15341" max="15341" width="4" customWidth="1"/>
    <col min="15342" max="15342" width="4.140625" customWidth="1"/>
    <col min="15343" max="15343" width="3.85546875" customWidth="1"/>
    <col min="15344" max="15352" width="4.140625" customWidth="1"/>
    <col min="15353" max="15353" width="3.7109375" customWidth="1"/>
    <col min="15354" max="15384" width="4.42578125" customWidth="1"/>
    <col min="15596" max="15596" width="4.140625" customWidth="1"/>
    <col min="15597" max="15597" width="4" customWidth="1"/>
    <col min="15598" max="15598" width="4.140625" customWidth="1"/>
    <col min="15599" max="15599" width="3.85546875" customWidth="1"/>
    <col min="15600" max="15608" width="4.140625" customWidth="1"/>
    <col min="15609" max="15609" width="3.7109375" customWidth="1"/>
    <col min="15610" max="15640" width="4.42578125" customWidth="1"/>
    <col min="15852" max="15852" width="4.140625" customWidth="1"/>
    <col min="15853" max="15853" width="4" customWidth="1"/>
    <col min="15854" max="15854" width="4.140625" customWidth="1"/>
    <col min="15855" max="15855" width="3.85546875" customWidth="1"/>
    <col min="15856" max="15864" width="4.140625" customWidth="1"/>
    <col min="15865" max="15865" width="3.7109375" customWidth="1"/>
    <col min="15866" max="15896" width="4.42578125" customWidth="1"/>
    <col min="16108" max="16108" width="4.140625" customWidth="1"/>
    <col min="16109" max="16109" width="4" customWidth="1"/>
    <col min="16110" max="16110" width="4.140625" customWidth="1"/>
    <col min="16111" max="16111" width="3.85546875" customWidth="1"/>
    <col min="16112" max="16120" width="4.140625" customWidth="1"/>
    <col min="16121" max="16121" width="3.7109375" customWidth="1"/>
    <col min="16122" max="16152" width="4.42578125" customWidth="1"/>
  </cols>
  <sheetData>
    <row r="1" spans="1:24" ht="1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</row>
    <row r="2" spans="1:24" ht="1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</row>
    <row r="3" spans="1:24" ht="1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</row>
    <row r="4" spans="1:24" ht="1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</row>
    <row r="5" spans="1:24" ht="28.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</row>
    <row r="6" spans="1:24" s="1" customFormat="1" ht="1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s="1" customFormat="1" ht="38.450000000000003" customHeight="1" x14ac:dyDescent="0.25">
      <c r="A7" s="481" t="s">
        <v>30</v>
      </c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3"/>
    </row>
    <row r="8" spans="1:24" s="1" customFormat="1" ht="1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8"/>
      <c r="N8" s="8"/>
      <c r="O8" s="8"/>
      <c r="P8" s="8"/>
      <c r="Q8" s="5"/>
      <c r="R8" s="5"/>
      <c r="S8" s="5"/>
      <c r="T8" s="5"/>
      <c r="U8" s="5"/>
      <c r="V8" s="5"/>
      <c r="W8" s="5"/>
      <c r="X8" s="5"/>
    </row>
    <row r="9" spans="1:24" ht="21.75" customHeight="1" x14ac:dyDescent="0.35">
      <c r="B9" s="7"/>
      <c r="C9" s="423" t="s">
        <v>29</v>
      </c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423"/>
      <c r="O9" s="19"/>
      <c r="P9" s="19"/>
      <c r="Q9" s="2"/>
      <c r="R9" s="103"/>
      <c r="S9" s="170"/>
      <c r="T9" s="170"/>
      <c r="U9" s="170"/>
      <c r="V9" s="170"/>
      <c r="W9" s="56"/>
      <c r="X9" s="2"/>
    </row>
    <row r="10" spans="1:24" ht="15.6" customHeight="1" x14ac:dyDescent="0.25">
      <c r="A10" s="3"/>
      <c r="B10" s="105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2"/>
      <c r="P10" s="3"/>
      <c r="Q10" s="2"/>
      <c r="R10" s="2"/>
      <c r="S10" s="104"/>
      <c r="T10" s="5"/>
      <c r="U10" s="5"/>
      <c r="V10" s="5"/>
      <c r="W10" s="5"/>
      <c r="X10" s="2"/>
    </row>
    <row r="11" spans="1:24" ht="9" customHeight="1" x14ac:dyDescent="0.4">
      <c r="A11" s="3"/>
      <c r="B11" s="34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11"/>
      <c r="Q11" s="2"/>
      <c r="R11" s="166"/>
      <c r="S11" s="87"/>
      <c r="T11" s="2"/>
      <c r="U11" s="2"/>
      <c r="V11" s="2"/>
      <c r="W11" s="166"/>
      <c r="X11" s="2"/>
    </row>
    <row r="12" spans="1:24" ht="9" customHeight="1" x14ac:dyDescent="0.4">
      <c r="A12" s="3"/>
      <c r="B12" s="34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111"/>
      <c r="Q12" s="2"/>
      <c r="R12" s="166"/>
      <c r="S12" s="87"/>
      <c r="T12" s="2"/>
      <c r="U12" s="2"/>
      <c r="V12" s="2"/>
      <c r="W12" s="166"/>
      <c r="X12" s="2"/>
    </row>
    <row r="13" spans="1:24" ht="9" customHeight="1" x14ac:dyDescent="0.4">
      <c r="A13" s="3"/>
      <c r="B13" s="34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11"/>
      <c r="Q13" s="2"/>
      <c r="R13" s="166"/>
      <c r="S13" s="87"/>
      <c r="T13" s="2"/>
      <c r="U13" s="2"/>
      <c r="V13" s="2"/>
      <c r="W13" s="166"/>
      <c r="X13" s="2"/>
    </row>
    <row r="14" spans="1:24" ht="9" customHeight="1" x14ac:dyDescent="0.4">
      <c r="A14" s="3"/>
      <c r="B14" s="34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11"/>
      <c r="Q14" s="2"/>
      <c r="R14" s="166"/>
      <c r="S14" s="87"/>
      <c r="T14" s="2"/>
      <c r="U14" s="2"/>
      <c r="V14" s="2"/>
      <c r="W14" s="166"/>
      <c r="X14" s="2"/>
    </row>
    <row r="15" spans="1:24" ht="9" customHeight="1" x14ac:dyDescent="0.4">
      <c r="A15" s="3"/>
      <c r="B15" s="34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55"/>
      <c r="Q15" s="2"/>
      <c r="R15" s="166"/>
      <c r="S15" s="87"/>
      <c r="T15" s="2"/>
      <c r="U15" s="2"/>
      <c r="V15" s="2"/>
      <c r="W15" s="167"/>
      <c r="X15" s="2"/>
    </row>
    <row r="16" spans="1:24" ht="9" customHeight="1" x14ac:dyDescent="0.4">
      <c r="A16" s="3"/>
      <c r="B16" s="34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55"/>
      <c r="Q16" s="2"/>
      <c r="R16" s="166"/>
      <c r="S16" s="87"/>
      <c r="T16" s="2"/>
      <c r="U16" s="2"/>
      <c r="V16" s="2"/>
      <c r="W16" s="167"/>
      <c r="X16" s="2"/>
    </row>
    <row r="17" spans="1:24" ht="9" customHeight="1" x14ac:dyDescent="0.4">
      <c r="A17" s="3"/>
      <c r="B17" s="34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111"/>
      <c r="Q17" s="2"/>
      <c r="R17" s="166"/>
      <c r="S17" s="87"/>
      <c r="T17" s="2"/>
      <c r="U17" s="2"/>
      <c r="V17" s="2"/>
      <c r="W17" s="166"/>
      <c r="X17" s="2"/>
    </row>
    <row r="18" spans="1:24" ht="9" customHeight="1" x14ac:dyDescent="0.4">
      <c r="A18" s="3"/>
      <c r="B18" s="34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111"/>
      <c r="Q18" s="2"/>
      <c r="R18" s="166"/>
      <c r="S18" s="87"/>
      <c r="T18" s="2"/>
      <c r="U18" s="2"/>
      <c r="V18" s="2"/>
      <c r="W18" s="166"/>
      <c r="X18" s="2"/>
    </row>
    <row r="19" spans="1:24" ht="9" customHeight="1" x14ac:dyDescent="0.4">
      <c r="A19" s="3"/>
      <c r="B19" s="34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11"/>
      <c r="Q19" s="2"/>
      <c r="R19" s="166"/>
      <c r="S19" s="87"/>
      <c r="T19" s="2"/>
      <c r="U19" s="2"/>
      <c r="V19" s="2"/>
      <c r="W19" s="166"/>
      <c r="X19" s="2"/>
    </row>
    <row r="20" spans="1:24" ht="9" customHeight="1" x14ac:dyDescent="0.4">
      <c r="A20" s="3"/>
      <c r="B20" s="34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111"/>
      <c r="Q20" s="2"/>
      <c r="R20" s="166"/>
      <c r="S20" s="87"/>
      <c r="T20" s="2"/>
      <c r="U20" s="2"/>
      <c r="V20" s="2"/>
      <c r="W20" s="166"/>
      <c r="X20" s="2"/>
    </row>
    <row r="21" spans="1:24" ht="9" customHeight="1" x14ac:dyDescent="0.4">
      <c r="A21" s="3"/>
      <c r="B21" s="34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11"/>
      <c r="Q21" s="2"/>
      <c r="R21" s="166"/>
      <c r="S21" s="87"/>
      <c r="T21" s="2"/>
      <c r="U21" s="2"/>
      <c r="V21" s="2"/>
      <c r="W21" s="166"/>
      <c r="X21" s="2"/>
    </row>
    <row r="22" spans="1:24" ht="9" customHeight="1" x14ac:dyDescent="0.4">
      <c r="A22" s="3"/>
      <c r="B22" s="34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111"/>
      <c r="Q22" s="2"/>
      <c r="R22" s="166"/>
      <c r="S22" s="87"/>
      <c r="T22" s="2"/>
      <c r="U22" s="2"/>
      <c r="V22" s="2"/>
      <c r="W22" s="166"/>
      <c r="X22" s="2"/>
    </row>
    <row r="23" spans="1:24" ht="9" customHeight="1" x14ac:dyDescent="0.4">
      <c r="A23" s="3"/>
      <c r="B23" s="34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11"/>
      <c r="Q23" s="2"/>
      <c r="R23" s="166"/>
      <c r="S23" s="87"/>
      <c r="T23" s="2"/>
      <c r="U23" s="2"/>
      <c r="V23" s="2"/>
      <c r="W23" s="166"/>
      <c r="X23" s="2"/>
    </row>
    <row r="24" spans="1:24" ht="9" customHeight="1" x14ac:dyDescent="0.4">
      <c r="A24" s="3"/>
      <c r="B24" s="34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111"/>
      <c r="Q24" s="2"/>
      <c r="R24" s="166"/>
      <c r="S24" s="87"/>
      <c r="T24" s="2"/>
      <c r="U24" s="2"/>
      <c r="V24" s="2"/>
      <c r="W24" s="166"/>
      <c r="X24" s="2"/>
    </row>
    <row r="25" spans="1:24" ht="9" customHeight="1" x14ac:dyDescent="0.4">
      <c r="A25" s="3"/>
      <c r="B25" s="34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55"/>
      <c r="Q25" s="2"/>
      <c r="R25" s="166"/>
      <c r="S25" s="87"/>
      <c r="T25" s="2"/>
      <c r="U25" s="2"/>
      <c r="V25" s="2"/>
      <c r="W25" s="167"/>
      <c r="X25" s="2"/>
    </row>
    <row r="26" spans="1:24" ht="9" customHeight="1" x14ac:dyDescent="0.4">
      <c r="A26" s="3"/>
      <c r="B26" s="34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55"/>
      <c r="Q26" s="2"/>
      <c r="R26" s="166"/>
      <c r="S26" s="87"/>
      <c r="T26" s="2"/>
      <c r="U26" s="2"/>
      <c r="V26" s="2"/>
      <c r="W26" s="167"/>
      <c r="X26" s="2"/>
    </row>
    <row r="27" spans="1:24" ht="9" customHeight="1" x14ac:dyDescent="0.4">
      <c r="A27" s="3"/>
      <c r="B27" s="34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111"/>
      <c r="Q27" s="2"/>
      <c r="R27" s="166"/>
      <c r="S27" s="87"/>
      <c r="T27" s="2"/>
      <c r="U27" s="2"/>
      <c r="V27" s="2"/>
      <c r="W27" s="166"/>
      <c r="X27" s="2"/>
    </row>
    <row r="28" spans="1:24" ht="9" customHeight="1" x14ac:dyDescent="0.4">
      <c r="A28" s="3"/>
      <c r="B28" s="34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111"/>
      <c r="Q28" s="2"/>
      <c r="R28" s="166"/>
      <c r="S28" s="87"/>
      <c r="T28" s="2"/>
      <c r="U28" s="2"/>
      <c r="V28" s="2"/>
      <c r="W28" s="166"/>
      <c r="X28" s="2"/>
    </row>
    <row r="29" spans="1:24" ht="9" customHeight="1" x14ac:dyDescent="0.4">
      <c r="A29" s="3"/>
      <c r="B29" s="34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111"/>
      <c r="Q29" s="2"/>
      <c r="R29" s="166"/>
      <c r="S29" s="87"/>
      <c r="T29" s="2"/>
      <c r="U29" s="2"/>
      <c r="V29" s="2"/>
      <c r="W29" s="166"/>
      <c r="X29" s="2"/>
    </row>
    <row r="30" spans="1:24" ht="9" customHeight="1" x14ac:dyDescent="0.4">
      <c r="A30" s="3"/>
      <c r="B30" s="34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111"/>
      <c r="Q30" s="2"/>
      <c r="R30" s="166"/>
      <c r="S30" s="87"/>
      <c r="T30" s="2"/>
      <c r="U30" s="2"/>
      <c r="V30" s="2"/>
      <c r="W30" s="166"/>
      <c r="X30" s="2"/>
    </row>
    <row r="31" spans="1:24" ht="9" customHeight="1" x14ac:dyDescent="0.4">
      <c r="A31" s="3"/>
      <c r="B31" s="34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111"/>
      <c r="Q31" s="2"/>
      <c r="R31" s="166"/>
      <c r="S31" s="87"/>
      <c r="T31" s="2"/>
      <c r="U31" s="2"/>
      <c r="V31" s="2"/>
      <c r="W31" s="166"/>
      <c r="X31" s="2"/>
    </row>
    <row r="32" spans="1:24" ht="9" customHeight="1" x14ac:dyDescent="0.4">
      <c r="A32" s="3"/>
      <c r="B32" s="34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111"/>
      <c r="Q32" s="2"/>
      <c r="R32" s="166"/>
      <c r="S32" s="87"/>
      <c r="T32" s="2"/>
      <c r="U32" s="2"/>
      <c r="V32" s="2"/>
      <c r="W32" s="166"/>
      <c r="X32" s="2"/>
    </row>
    <row r="33" spans="1:24" ht="9" customHeight="1" x14ac:dyDescent="0.4">
      <c r="A33" s="3"/>
      <c r="B33" s="34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11"/>
      <c r="Q33" s="2"/>
      <c r="R33" s="166"/>
      <c r="S33" s="87"/>
      <c r="T33" s="2"/>
      <c r="U33" s="2"/>
      <c r="V33" s="2"/>
      <c r="W33" s="166"/>
      <c r="X33" s="2"/>
    </row>
    <row r="34" spans="1:24" ht="9" customHeight="1" x14ac:dyDescent="0.4">
      <c r="A34" s="3"/>
      <c r="B34" s="34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11"/>
      <c r="Q34" s="2"/>
      <c r="R34" s="166"/>
      <c r="S34" s="87"/>
      <c r="T34" s="2"/>
      <c r="U34" s="2"/>
      <c r="V34" s="2"/>
      <c r="W34" s="166"/>
      <c r="X34" s="2"/>
    </row>
    <row r="35" spans="1:24" ht="9" customHeight="1" x14ac:dyDescent="0.4">
      <c r="A35" s="3"/>
      <c r="B35" s="34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11"/>
      <c r="Q35" s="2"/>
      <c r="R35" s="166"/>
      <c r="S35" s="87"/>
      <c r="T35" s="2"/>
      <c r="U35" s="2"/>
      <c r="V35" s="2"/>
      <c r="W35" s="166"/>
      <c r="X35" s="2"/>
    </row>
    <row r="36" spans="1:24" ht="9" customHeight="1" x14ac:dyDescent="0.4">
      <c r="A36" s="3"/>
      <c r="B36" s="34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11"/>
      <c r="Q36" s="2"/>
      <c r="R36" s="166"/>
      <c r="S36" s="87"/>
      <c r="T36" s="2"/>
      <c r="U36" s="2"/>
      <c r="V36" s="2"/>
      <c r="W36" s="166"/>
      <c r="X36" s="2"/>
    </row>
    <row r="37" spans="1:24" ht="9" customHeight="1" x14ac:dyDescent="0.4">
      <c r="A37" s="3"/>
      <c r="B37" s="34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11"/>
      <c r="Q37" s="2"/>
      <c r="R37" s="166"/>
      <c r="S37" s="87"/>
      <c r="T37" s="2"/>
      <c r="U37" s="2"/>
      <c r="V37" s="2"/>
      <c r="W37" s="166"/>
      <c r="X37" s="2"/>
    </row>
    <row r="38" spans="1:24" ht="9" customHeight="1" x14ac:dyDescent="0.4">
      <c r="A38" s="3"/>
      <c r="B38" s="34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11"/>
      <c r="Q38" s="2"/>
      <c r="R38" s="166"/>
      <c r="S38" s="87"/>
      <c r="T38" s="2"/>
      <c r="U38" s="2"/>
      <c r="V38" s="2"/>
      <c r="W38" s="166"/>
      <c r="X38" s="2"/>
    </row>
    <row r="39" spans="1:24" ht="9" customHeight="1" x14ac:dyDescent="0.4">
      <c r="A39" s="3"/>
      <c r="B39" s="34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11"/>
      <c r="Q39" s="2"/>
      <c r="R39" s="166"/>
      <c r="S39" s="87"/>
      <c r="T39" s="2"/>
      <c r="U39" s="2"/>
      <c r="V39" s="2"/>
      <c r="W39" s="166"/>
      <c r="X39" s="2"/>
    </row>
    <row r="40" spans="1:24" ht="9" customHeight="1" x14ac:dyDescent="0.4">
      <c r="A40" s="3"/>
      <c r="B40" s="34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11"/>
      <c r="Q40" s="2"/>
      <c r="R40" s="166"/>
      <c r="S40" s="87"/>
      <c r="T40" s="2"/>
      <c r="U40" s="2"/>
      <c r="V40" s="2"/>
      <c r="W40" s="166"/>
      <c r="X40" s="2"/>
    </row>
    <row r="41" spans="1:24" ht="9" customHeight="1" x14ac:dyDescent="0.4">
      <c r="A41" s="3"/>
      <c r="B41" s="34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55"/>
      <c r="Q41" s="2"/>
      <c r="R41" s="166"/>
      <c r="S41" s="87"/>
      <c r="T41" s="2"/>
      <c r="U41" s="2"/>
      <c r="V41" s="2"/>
      <c r="W41" s="167"/>
      <c r="X41" s="2"/>
    </row>
    <row r="42" spans="1:24" ht="9" customHeight="1" x14ac:dyDescent="0.4">
      <c r="A42" s="3"/>
      <c r="B42" s="34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55"/>
      <c r="Q42" s="2"/>
      <c r="R42" s="166"/>
      <c r="S42" s="87"/>
      <c r="T42" s="2"/>
      <c r="U42" s="97"/>
      <c r="V42" s="2"/>
      <c r="W42" s="167"/>
      <c r="X42" s="2"/>
    </row>
    <row r="43" spans="1:24" ht="9" customHeight="1" x14ac:dyDescent="0.4">
      <c r="A43" s="3"/>
      <c r="B43" s="34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111"/>
      <c r="Q43" s="2"/>
      <c r="R43" s="166"/>
      <c r="S43" s="87"/>
      <c r="T43" s="2"/>
      <c r="U43" s="97"/>
      <c r="V43" s="2"/>
      <c r="W43" s="166"/>
      <c r="X43" s="2"/>
    </row>
    <row r="44" spans="1:24" ht="9" customHeight="1" x14ac:dyDescent="0.4">
      <c r="A44" s="3"/>
      <c r="B44" s="34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111"/>
      <c r="Q44" s="2"/>
      <c r="R44" s="166"/>
      <c r="S44" s="87"/>
      <c r="T44" s="2"/>
      <c r="U44" s="97"/>
      <c r="V44" s="2"/>
      <c r="W44" s="166"/>
      <c r="X44" s="2"/>
    </row>
    <row r="45" spans="1:24" ht="9" customHeight="1" x14ac:dyDescent="0.4">
      <c r="A45" s="3"/>
      <c r="B45" s="34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11"/>
      <c r="Q45" s="2"/>
      <c r="R45" s="166"/>
      <c r="S45" s="87"/>
      <c r="T45" s="2"/>
      <c r="U45" s="97"/>
      <c r="V45" s="2"/>
      <c r="W45" s="166"/>
      <c r="X45" s="2"/>
    </row>
    <row r="46" spans="1:24" ht="9" customHeight="1" x14ac:dyDescent="0.4">
      <c r="A46" s="3"/>
      <c r="B46" s="34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11"/>
      <c r="Q46" s="2"/>
      <c r="R46" s="166"/>
      <c r="S46" s="87"/>
      <c r="T46" s="2"/>
      <c r="U46" s="97"/>
      <c r="V46" s="2"/>
      <c r="W46" s="166"/>
      <c r="X46" s="2"/>
    </row>
    <row r="47" spans="1:24" ht="9" customHeight="1" x14ac:dyDescent="0.4">
      <c r="A47" s="3"/>
      <c r="B47" s="34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111"/>
      <c r="Q47" s="2"/>
      <c r="R47" s="166"/>
      <c r="S47" s="87"/>
      <c r="T47" s="2"/>
      <c r="U47" s="97"/>
      <c r="V47" s="2"/>
      <c r="W47" s="166"/>
      <c r="X47" s="2"/>
    </row>
    <row r="48" spans="1:24" ht="9" customHeight="1" x14ac:dyDescent="0.4">
      <c r="A48" s="3"/>
      <c r="B48" s="34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11"/>
      <c r="Q48" s="2"/>
      <c r="R48" s="166"/>
      <c r="S48" s="87"/>
      <c r="T48" s="2"/>
      <c r="U48" s="97"/>
      <c r="V48" s="2"/>
      <c r="W48" s="166"/>
      <c r="X48" s="2"/>
    </row>
    <row r="49" spans="1:24" ht="9" customHeight="1" x14ac:dyDescent="0.4">
      <c r="A49" s="3"/>
      <c r="B49" s="34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111"/>
      <c r="Q49" s="2"/>
      <c r="R49" s="166"/>
      <c r="S49" s="87"/>
      <c r="T49" s="2"/>
      <c r="U49" s="97"/>
      <c r="V49" s="2"/>
      <c r="W49" s="166"/>
      <c r="X49" s="2"/>
    </row>
    <row r="50" spans="1:24" ht="9" customHeight="1" x14ac:dyDescent="0.4">
      <c r="A50" s="3"/>
      <c r="B50" s="34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11"/>
      <c r="Q50" s="2"/>
      <c r="R50" s="166"/>
      <c r="S50" s="87"/>
      <c r="T50" s="2"/>
      <c r="U50" s="97"/>
      <c r="V50" s="2"/>
      <c r="W50" s="166"/>
      <c r="X50" s="2"/>
    </row>
    <row r="51" spans="1:24" ht="9" customHeight="1" x14ac:dyDescent="0.4">
      <c r="A51" s="3"/>
      <c r="B51" s="34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111"/>
      <c r="Q51" s="2"/>
      <c r="R51" s="166"/>
      <c r="S51" s="87"/>
      <c r="T51" s="2"/>
      <c r="U51" s="97"/>
      <c r="V51" s="2"/>
      <c r="W51" s="166"/>
      <c r="X51" s="2"/>
    </row>
    <row r="52" spans="1:24" ht="9" customHeight="1" x14ac:dyDescent="0.4">
      <c r="A52" s="3"/>
      <c r="B52" s="34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11"/>
      <c r="Q52" s="2"/>
      <c r="R52" s="166"/>
      <c r="S52" s="87"/>
      <c r="T52" s="2"/>
      <c r="U52" s="97"/>
      <c r="V52" s="2"/>
      <c r="W52" s="166"/>
      <c r="X52" s="2"/>
    </row>
    <row r="53" spans="1:24" ht="9" customHeight="1" x14ac:dyDescent="0.4">
      <c r="A53" s="3"/>
      <c r="B53" s="34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11"/>
      <c r="Q53" s="2"/>
      <c r="R53" s="166"/>
      <c r="S53" s="87"/>
      <c r="T53" s="2"/>
      <c r="U53" s="97"/>
      <c r="V53" s="2"/>
      <c r="W53" s="166"/>
      <c r="X53" s="2"/>
    </row>
    <row r="54" spans="1:24" ht="9" customHeight="1" x14ac:dyDescent="0.4">
      <c r="A54" s="3"/>
      <c r="B54" s="34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111"/>
      <c r="Q54" s="2"/>
      <c r="R54" s="166"/>
      <c r="S54" s="87"/>
      <c r="T54" s="2"/>
      <c r="U54" s="97"/>
      <c r="V54" s="2"/>
      <c r="W54" s="166"/>
      <c r="X54" s="2"/>
    </row>
    <row r="55" spans="1:24" ht="9" customHeight="1" x14ac:dyDescent="0.4">
      <c r="A55" s="3"/>
      <c r="B55" s="34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11"/>
      <c r="Q55" s="2"/>
      <c r="R55" s="166"/>
      <c r="S55" s="87"/>
      <c r="T55" s="2"/>
      <c r="U55" s="97"/>
      <c r="V55" s="2"/>
      <c r="W55" s="166"/>
      <c r="X55" s="2"/>
    </row>
    <row r="56" spans="1:24" ht="9" customHeight="1" x14ac:dyDescent="0.4">
      <c r="A56" s="3"/>
      <c r="B56" s="34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111"/>
      <c r="Q56" s="2"/>
      <c r="R56" s="166"/>
      <c r="S56" s="87"/>
      <c r="T56" s="2"/>
      <c r="U56" s="97"/>
      <c r="V56" s="2"/>
      <c r="W56" s="166"/>
      <c r="X56" s="2"/>
    </row>
    <row r="57" spans="1:24" ht="9" customHeight="1" x14ac:dyDescent="0.4">
      <c r="A57" s="3"/>
      <c r="B57" s="34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27"/>
      <c r="P57" s="345"/>
      <c r="Q57" s="2"/>
      <c r="R57" s="166"/>
      <c r="S57" s="87"/>
      <c r="T57" s="2"/>
      <c r="U57" s="97"/>
      <c r="V57" s="2"/>
      <c r="W57" s="167"/>
      <c r="X57" s="2"/>
    </row>
    <row r="58" spans="1:24" ht="9" customHeight="1" x14ac:dyDescent="0.4">
      <c r="A58" s="3"/>
      <c r="B58" s="34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28"/>
      <c r="P58" s="345"/>
      <c r="Q58" s="2"/>
      <c r="R58" s="166"/>
      <c r="S58" s="87"/>
      <c r="T58" s="2"/>
      <c r="U58" s="97"/>
      <c r="V58" s="2"/>
      <c r="W58" s="167"/>
      <c r="X58" s="2"/>
    </row>
    <row r="59" spans="1:24" ht="9" customHeight="1" x14ac:dyDescent="0.4">
      <c r="A59" s="3"/>
      <c r="B59" s="34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28"/>
      <c r="P59" s="345"/>
      <c r="Q59" s="2"/>
      <c r="R59" s="166"/>
      <c r="S59" s="87"/>
      <c r="T59" s="2"/>
      <c r="U59" s="2"/>
      <c r="V59" s="2"/>
      <c r="W59" s="166"/>
      <c r="X59" s="2"/>
    </row>
    <row r="60" spans="1:24" ht="9" customHeight="1" x14ac:dyDescent="0.4">
      <c r="A60" s="3"/>
      <c r="B60" s="34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28"/>
      <c r="P60" s="345"/>
      <c r="Q60" s="2"/>
      <c r="R60" s="166"/>
      <c r="S60" s="87"/>
      <c r="T60" s="2"/>
      <c r="U60" s="2"/>
      <c r="V60" s="2"/>
      <c r="W60" s="166"/>
      <c r="X60" s="2"/>
    </row>
    <row r="61" spans="1:24" ht="9" customHeight="1" x14ac:dyDescent="0.4">
      <c r="A61" s="3"/>
      <c r="B61" s="34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28"/>
      <c r="P61" s="345"/>
      <c r="Q61" s="2"/>
      <c r="R61" s="166"/>
      <c r="S61" s="87"/>
      <c r="T61" s="2"/>
      <c r="U61" s="2"/>
      <c r="V61" s="2"/>
      <c r="W61" s="166"/>
      <c r="X61" s="2"/>
    </row>
    <row r="62" spans="1:24" ht="9" customHeight="1" x14ac:dyDescent="0.4">
      <c r="A62" s="3"/>
      <c r="B62" s="34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28"/>
      <c r="P62" s="345"/>
      <c r="Q62" s="2"/>
      <c r="R62" s="166"/>
      <c r="S62" s="87"/>
      <c r="T62" s="2"/>
      <c r="U62" s="2"/>
      <c r="V62" s="2"/>
      <c r="W62" s="166"/>
      <c r="X62" s="2"/>
    </row>
    <row r="63" spans="1:24" ht="9" customHeight="1" x14ac:dyDescent="0.4">
      <c r="A63" s="3"/>
      <c r="B63" s="34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28"/>
      <c r="P63" s="345"/>
      <c r="Q63" s="2"/>
      <c r="R63" s="166"/>
      <c r="S63" s="87"/>
      <c r="T63" s="2"/>
      <c r="U63" s="2"/>
      <c r="V63" s="2"/>
      <c r="W63" s="166"/>
      <c r="X63" s="2"/>
    </row>
    <row r="64" spans="1:24" ht="9" customHeight="1" x14ac:dyDescent="0.4">
      <c r="A64" s="3"/>
      <c r="B64" s="34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28"/>
      <c r="P64" s="345"/>
      <c r="Q64" s="2"/>
      <c r="R64" s="166"/>
      <c r="S64" s="87"/>
      <c r="T64" s="2"/>
      <c r="U64" s="2"/>
      <c r="V64" s="2"/>
      <c r="W64" s="166"/>
      <c r="X64" s="2"/>
    </row>
    <row r="65" spans="1:24" ht="9" customHeight="1" x14ac:dyDescent="0.4">
      <c r="A65" s="3"/>
      <c r="B65" s="34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28"/>
      <c r="P65" s="345"/>
      <c r="Q65" s="2"/>
      <c r="R65" s="166"/>
      <c r="S65" s="87"/>
      <c r="T65" s="2"/>
      <c r="U65" s="2"/>
      <c r="V65" s="2"/>
      <c r="W65" s="166"/>
      <c r="X65" s="2"/>
    </row>
    <row r="66" spans="1:24" ht="9" customHeight="1" x14ac:dyDescent="0.4">
      <c r="A66" s="3"/>
      <c r="B66" s="34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11"/>
      <c r="Q66" s="2"/>
      <c r="R66" s="166"/>
      <c r="S66" s="87"/>
      <c r="T66" s="2"/>
      <c r="U66" s="2"/>
      <c r="V66" s="2"/>
      <c r="W66" s="166"/>
      <c r="X66" s="2"/>
    </row>
    <row r="67" spans="1:24" ht="9" customHeight="1" x14ac:dyDescent="0.4">
      <c r="A67" s="3"/>
      <c r="B67" s="34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111"/>
      <c r="Q67" s="2"/>
      <c r="R67" s="166"/>
      <c r="S67" s="87"/>
      <c r="T67" s="2"/>
      <c r="U67" s="2"/>
      <c r="V67" s="2"/>
      <c r="W67" s="166"/>
      <c r="X67" s="2"/>
    </row>
    <row r="68" spans="1:24" ht="9" customHeight="1" x14ac:dyDescent="0.4">
      <c r="A68" s="3"/>
      <c r="B68" s="34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111"/>
      <c r="Q68" s="2"/>
      <c r="R68" s="166"/>
      <c r="S68" s="87"/>
      <c r="T68" s="2"/>
      <c r="U68" s="2"/>
      <c r="V68" s="2"/>
      <c r="W68" s="166"/>
      <c r="X68" s="2"/>
    </row>
    <row r="69" spans="1:24" ht="9" customHeight="1" x14ac:dyDescent="0.4">
      <c r="A69" s="3"/>
      <c r="B69" s="34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11"/>
      <c r="Q69" s="2"/>
      <c r="R69" s="166"/>
      <c r="S69" s="87"/>
      <c r="T69" s="2"/>
      <c r="U69" s="2"/>
      <c r="V69" s="2"/>
      <c r="W69" s="166"/>
      <c r="X69" s="2"/>
    </row>
    <row r="70" spans="1:24" ht="9" customHeight="1" x14ac:dyDescent="0.4">
      <c r="A70" s="3"/>
      <c r="B70" s="34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11"/>
      <c r="Q70" s="2"/>
      <c r="R70" s="166"/>
      <c r="S70" s="87"/>
      <c r="T70" s="2"/>
      <c r="U70" s="2"/>
      <c r="V70" s="2"/>
      <c r="W70" s="166"/>
      <c r="X70" s="2"/>
    </row>
    <row r="71" spans="1:24" ht="9" customHeight="1" x14ac:dyDescent="0.4">
      <c r="A71" s="3"/>
      <c r="B71" s="34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11"/>
      <c r="Q71" s="2"/>
      <c r="R71" s="166"/>
      <c r="S71" s="87"/>
      <c r="T71" s="2"/>
      <c r="U71" s="2"/>
      <c r="V71" s="2"/>
      <c r="W71" s="166"/>
      <c r="X71" s="2"/>
    </row>
    <row r="72" spans="1:24" ht="9" customHeight="1" x14ac:dyDescent="0.4">
      <c r="A72" s="3"/>
      <c r="B72" s="3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11"/>
      <c r="Q72" s="2"/>
      <c r="R72" s="166"/>
      <c r="S72" s="87"/>
      <c r="T72" s="2"/>
      <c r="U72" s="2"/>
      <c r="V72" s="2"/>
      <c r="W72" s="166"/>
      <c r="X72" s="2"/>
    </row>
    <row r="73" spans="1:24" ht="9" customHeight="1" x14ac:dyDescent="0.4">
      <c r="A73" s="3"/>
      <c r="B73" s="34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5"/>
      <c r="Q73" s="2"/>
      <c r="R73" s="166"/>
      <c r="S73" s="87"/>
      <c r="T73" s="2"/>
      <c r="U73" s="2"/>
      <c r="V73" s="2"/>
      <c r="W73" s="167"/>
      <c r="X73" s="2"/>
    </row>
    <row r="74" spans="1:24" ht="9" customHeight="1" x14ac:dyDescent="0.4">
      <c r="A74" s="3"/>
      <c r="B74" s="34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5"/>
      <c r="Q74" s="2"/>
      <c r="R74" s="166"/>
      <c r="S74" s="87"/>
      <c r="T74" s="2"/>
      <c r="U74" s="2"/>
      <c r="V74" s="2"/>
      <c r="W74" s="167"/>
      <c r="X74" s="2"/>
    </row>
    <row r="75" spans="1:24" ht="9" customHeight="1" x14ac:dyDescent="0.4">
      <c r="A75" s="3"/>
      <c r="B75" s="34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11"/>
      <c r="Q75" s="2"/>
      <c r="R75" s="166"/>
      <c r="S75" s="87"/>
      <c r="T75" s="2"/>
      <c r="U75" s="2"/>
      <c r="V75" s="2"/>
      <c r="W75" s="166"/>
      <c r="X75" s="2"/>
    </row>
    <row r="76" spans="1:24" ht="9" customHeight="1" x14ac:dyDescent="0.4">
      <c r="A76" s="3"/>
      <c r="B76" s="34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11"/>
      <c r="Q76" s="2"/>
      <c r="R76" s="166"/>
      <c r="S76" s="87"/>
      <c r="T76" s="2"/>
      <c r="U76" s="2"/>
      <c r="V76" s="2"/>
      <c r="W76" s="166"/>
      <c r="X76" s="2"/>
    </row>
    <row r="77" spans="1:24" ht="9" customHeight="1" x14ac:dyDescent="0.4">
      <c r="A77" s="3"/>
      <c r="B77" s="34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11"/>
      <c r="Q77" s="2"/>
      <c r="R77" s="166"/>
      <c r="S77" s="87"/>
      <c r="T77" s="2"/>
      <c r="U77" s="2"/>
      <c r="V77" s="2"/>
      <c r="W77" s="166"/>
      <c r="X77" s="2"/>
    </row>
    <row r="78" spans="1:24" ht="9" customHeight="1" x14ac:dyDescent="0.4">
      <c r="A78" s="3"/>
      <c r="B78" s="34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11"/>
      <c r="Q78" s="2"/>
      <c r="R78" s="166"/>
      <c r="S78" s="87"/>
      <c r="T78" s="2"/>
      <c r="U78" s="2"/>
      <c r="V78" s="2"/>
      <c r="W78" s="166"/>
      <c r="X78" s="2"/>
    </row>
    <row r="79" spans="1:24" ht="9" customHeight="1" x14ac:dyDescent="0.4">
      <c r="A79" s="3"/>
      <c r="B79" s="34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11"/>
      <c r="Q79" s="2"/>
      <c r="R79" s="166"/>
      <c r="S79" s="87"/>
      <c r="T79" s="2"/>
      <c r="U79" s="2"/>
      <c r="V79" s="2"/>
      <c r="W79" s="166"/>
      <c r="X79" s="2"/>
    </row>
    <row r="80" spans="1:24" ht="9" customHeight="1" x14ac:dyDescent="0.4">
      <c r="A80" s="3"/>
      <c r="B80" s="34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11"/>
      <c r="Q80" s="2"/>
      <c r="R80" s="166"/>
      <c r="S80" s="87"/>
      <c r="T80" s="2"/>
      <c r="U80" s="2"/>
      <c r="V80" s="2"/>
      <c r="W80" s="166"/>
      <c r="X80" s="2"/>
    </row>
    <row r="81" spans="1:25" ht="9" customHeight="1" x14ac:dyDescent="0.4">
      <c r="A81" s="3"/>
      <c r="B81" s="34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11"/>
      <c r="Q81" s="2"/>
      <c r="R81" s="166"/>
      <c r="S81" s="87"/>
      <c r="T81" s="2"/>
      <c r="U81" s="2"/>
      <c r="V81" s="2"/>
      <c r="W81" s="166"/>
      <c r="X81" s="2"/>
    </row>
    <row r="82" spans="1:25" ht="9" customHeight="1" x14ac:dyDescent="0.4">
      <c r="A82" s="3"/>
      <c r="B82" s="34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11"/>
      <c r="Q82" s="2"/>
      <c r="R82" s="166"/>
      <c r="S82" s="87"/>
      <c r="T82" s="2"/>
      <c r="U82" s="2"/>
      <c r="V82" s="2"/>
      <c r="W82" s="166"/>
      <c r="X82" s="2"/>
    </row>
    <row r="83" spans="1:25" ht="9" customHeight="1" x14ac:dyDescent="0.4">
      <c r="A83" s="3"/>
      <c r="B83" s="34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11"/>
      <c r="Q83" s="2"/>
      <c r="R83" s="166"/>
      <c r="S83" s="87"/>
      <c r="T83" s="2"/>
      <c r="U83" s="2"/>
      <c r="V83" s="2"/>
      <c r="W83" s="166"/>
      <c r="X83" s="2"/>
    </row>
    <row r="84" spans="1:25" ht="9" customHeight="1" x14ac:dyDescent="0.4">
      <c r="A84" s="3"/>
      <c r="B84" s="34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11"/>
      <c r="Q84" s="2"/>
      <c r="R84" s="166"/>
      <c r="S84" s="87"/>
      <c r="T84" s="2"/>
      <c r="U84" s="2"/>
      <c r="V84" s="2"/>
      <c r="W84" s="166"/>
      <c r="X84" s="2"/>
    </row>
    <row r="85" spans="1:25" ht="9" customHeight="1" x14ac:dyDescent="0.4">
      <c r="A85" s="3"/>
      <c r="B85" s="34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11"/>
      <c r="Q85" s="2"/>
      <c r="R85" s="166"/>
      <c r="S85" s="87"/>
      <c r="T85" s="2"/>
      <c r="U85" s="2"/>
      <c r="V85" s="2"/>
      <c r="W85" s="166"/>
      <c r="X85" s="2"/>
    </row>
    <row r="86" spans="1:25" ht="9" customHeight="1" x14ac:dyDescent="0.4">
      <c r="A86" s="3"/>
      <c r="B86" s="34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11"/>
      <c r="Q86" s="2"/>
      <c r="R86" s="166"/>
      <c r="S86" s="87"/>
      <c r="T86" s="2"/>
      <c r="U86" s="2"/>
      <c r="V86" s="2"/>
      <c r="W86" s="166"/>
      <c r="X86" s="2"/>
    </row>
    <row r="87" spans="1:25" ht="9" customHeight="1" x14ac:dyDescent="0.4">
      <c r="A87" s="3"/>
      <c r="B87" s="34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11"/>
      <c r="Q87" s="2"/>
      <c r="R87" s="166"/>
      <c r="S87" s="87"/>
      <c r="T87" s="2"/>
      <c r="U87" s="2"/>
      <c r="V87" s="2"/>
      <c r="W87" s="166"/>
      <c r="X87" s="2"/>
    </row>
    <row r="88" spans="1:25" ht="9" customHeight="1" x14ac:dyDescent="0.4">
      <c r="A88" s="3"/>
      <c r="B88" s="34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11"/>
      <c r="Q88" s="2"/>
      <c r="R88" s="166"/>
      <c r="S88" s="87"/>
      <c r="T88" s="2"/>
      <c r="U88" s="2"/>
      <c r="V88" s="2"/>
      <c r="W88" s="166"/>
      <c r="X88" s="2"/>
    </row>
    <row r="89" spans="1:25" s="10" customFormat="1" ht="20.25" customHeight="1" x14ac:dyDescent="0.4">
      <c r="A89" s="101"/>
      <c r="B89" s="87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"/>
      <c r="P89" s="163">
        <v>49</v>
      </c>
      <c r="Q89" s="23"/>
      <c r="R89" s="87"/>
      <c r="S89" s="156"/>
      <c r="T89" s="156"/>
      <c r="U89" s="156"/>
      <c r="V89" s="156"/>
      <c r="W89" s="87"/>
      <c r="X89" s="23"/>
    </row>
    <row r="90" spans="1:25" ht="16.5" customHeight="1" x14ac:dyDescent="0.25">
      <c r="A90" s="3"/>
      <c r="B90" s="179"/>
      <c r="C90" s="2"/>
      <c r="D90" s="2"/>
      <c r="E90" s="2"/>
      <c r="F90" s="2"/>
      <c r="G90" s="2"/>
      <c r="H90" s="2"/>
      <c r="I90" s="2"/>
      <c r="J90" s="23"/>
      <c r="K90" s="23"/>
      <c r="L90" s="23"/>
      <c r="M90" s="23"/>
      <c r="N90" s="23"/>
      <c r="O90" s="2"/>
      <c r="P90" s="3"/>
      <c r="Q90" s="2"/>
      <c r="R90" s="2"/>
      <c r="S90" s="23"/>
      <c r="T90" s="23"/>
      <c r="U90" s="23"/>
      <c r="V90" s="23"/>
      <c r="W90" s="2"/>
      <c r="X90" s="2"/>
    </row>
    <row r="91" spans="1:25" s="94" customFormat="1" ht="16.5" customHeight="1" x14ac:dyDescent="0.25">
      <c r="B91" s="98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2"/>
      <c r="P91" s="95"/>
      <c r="T91" s="177"/>
      <c r="U91" s="177"/>
      <c r="V91" s="177"/>
    </row>
    <row r="92" spans="1:25" s="91" customFormat="1" ht="16.5" customHeight="1" x14ac:dyDescent="0.25">
      <c r="B92" s="93"/>
      <c r="C92" s="130">
        <v>0</v>
      </c>
      <c r="D92" s="130">
        <v>0</v>
      </c>
      <c r="E92" s="130">
        <v>0</v>
      </c>
      <c r="F92" s="130">
        <v>0</v>
      </c>
      <c r="G92" s="130">
        <v>0</v>
      </c>
      <c r="H92" s="130">
        <v>0</v>
      </c>
      <c r="I92" s="130">
        <v>0</v>
      </c>
      <c r="J92" s="130">
        <v>0</v>
      </c>
      <c r="K92" s="130">
        <v>0</v>
      </c>
      <c r="L92" s="130">
        <v>0</v>
      </c>
      <c r="M92" s="130">
        <v>0</v>
      </c>
      <c r="N92" s="130">
        <v>0</v>
      </c>
      <c r="O92" s="2"/>
      <c r="P92" s="92"/>
      <c r="S92" s="201"/>
      <c r="T92" s="201"/>
      <c r="U92" s="201"/>
      <c r="V92" s="201"/>
      <c r="W92" s="201"/>
    </row>
    <row r="93" spans="1:25" s="2" customFormat="1" ht="16.5" customHeight="1" x14ac:dyDescent="0.25">
      <c r="B93" s="499" t="s">
        <v>46</v>
      </c>
      <c r="C93" s="499"/>
      <c r="D93" s="499"/>
      <c r="E93" s="499"/>
      <c r="F93" s="96"/>
      <c r="G93" s="96"/>
      <c r="H93" s="96"/>
      <c r="I93" s="96"/>
      <c r="J93" s="96"/>
      <c r="K93" s="96"/>
      <c r="L93" s="96"/>
      <c r="M93" s="96"/>
      <c r="N93" s="96"/>
      <c r="P93" s="89"/>
      <c r="S93" s="201"/>
      <c r="T93" s="201"/>
      <c r="U93" s="201"/>
      <c r="V93" s="201"/>
      <c r="W93" s="201"/>
    </row>
    <row r="94" spans="1:25" s="2" customFormat="1" ht="16.5" customHeight="1" x14ac:dyDescent="0.3">
      <c r="B94" s="499"/>
      <c r="C94" s="499"/>
      <c r="D94" s="499"/>
      <c r="E94" s="499"/>
      <c r="F94" s="93"/>
      <c r="G94" s="93"/>
      <c r="H94" s="93"/>
      <c r="I94" s="93"/>
      <c r="J94" s="93"/>
      <c r="K94" s="93"/>
      <c r="L94" s="93"/>
      <c r="M94" s="93"/>
      <c r="N94" s="93"/>
      <c r="P94" s="88"/>
      <c r="Q94" s="88"/>
      <c r="R94" s="88"/>
      <c r="S94" s="88"/>
      <c r="T94" s="88"/>
      <c r="U94" s="88"/>
      <c r="V94" s="88"/>
      <c r="W94" s="88"/>
      <c r="X94" s="88"/>
      <c r="Y94" s="88"/>
    </row>
    <row r="95" spans="1:25" s="2" customFormat="1" ht="16.5" customHeight="1" x14ac:dyDescent="0.3">
      <c r="B95" s="90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P95" s="88"/>
      <c r="Q95" s="484" t="s">
        <v>235</v>
      </c>
      <c r="R95" s="485"/>
      <c r="S95" s="485"/>
      <c r="T95" s="486"/>
      <c r="U95" s="471">
        <f ca="1">'Indicateur graph cde_glob'!J67</f>
        <v>10571</v>
      </c>
      <c r="V95" s="472"/>
      <c r="W95" s="493">
        <f ca="1">U95/U98-1</f>
        <v>5.3308090872857816E-2</v>
      </c>
      <c r="X95" s="494"/>
      <c r="Y95" s="88"/>
    </row>
    <row r="96" spans="1:25" s="2" customFormat="1" ht="16.5" customHeight="1" x14ac:dyDescent="0.25">
      <c r="A96" s="86" t="s">
        <v>47</v>
      </c>
      <c r="B96" s="374" t="s">
        <v>48</v>
      </c>
      <c r="C96" s="202">
        <v>43831</v>
      </c>
      <c r="D96" s="202">
        <v>43862</v>
      </c>
      <c r="E96" s="202">
        <v>43891</v>
      </c>
      <c r="F96" s="202">
        <v>43922</v>
      </c>
      <c r="G96" s="202">
        <v>43952</v>
      </c>
      <c r="H96" s="202">
        <v>43983</v>
      </c>
      <c r="I96" s="202">
        <v>44013</v>
      </c>
      <c r="J96" s="202">
        <v>44044</v>
      </c>
      <c r="K96" s="202">
        <v>44075</v>
      </c>
      <c r="L96" s="202">
        <v>44105</v>
      </c>
      <c r="M96" s="202">
        <v>44136</v>
      </c>
      <c r="N96" s="202">
        <v>44166</v>
      </c>
      <c r="P96"/>
      <c r="Q96" s="487"/>
      <c r="R96" s="488"/>
      <c r="S96" s="488"/>
      <c r="T96" s="489"/>
      <c r="U96" s="473"/>
      <c r="V96" s="474"/>
      <c r="W96" s="495"/>
      <c r="X96" s="496"/>
      <c r="Y96"/>
    </row>
    <row r="97" spans="1:25" s="88" customFormat="1" ht="11.25" customHeight="1" x14ac:dyDescent="0.3">
      <c r="B97" s="375"/>
      <c r="P97"/>
      <c r="Q97" s="490"/>
      <c r="R97" s="491"/>
      <c r="S97" s="491"/>
      <c r="T97" s="492"/>
      <c r="U97" s="475"/>
      <c r="V97" s="476"/>
      <c r="W97" s="497"/>
      <c r="X97" s="498"/>
      <c r="Y97"/>
    </row>
    <row r="98" spans="1:25" s="88" customFormat="1" ht="24.95" customHeight="1" x14ac:dyDescent="0.35">
      <c r="A98" s="88" t="s">
        <v>49</v>
      </c>
      <c r="B98" s="376">
        <v>144</v>
      </c>
      <c r="C98" s="180">
        <v>144</v>
      </c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Q98" s="465" t="s">
        <v>28</v>
      </c>
      <c r="R98" s="466"/>
      <c r="S98" s="466"/>
      <c r="T98" s="467"/>
      <c r="U98" s="477">
        <f ca="1">'Indicateur graph cde_glob'!K67</f>
        <v>10036</v>
      </c>
      <c r="V98" s="478"/>
      <c r="W98" s="172"/>
      <c r="X98" s="172"/>
    </row>
    <row r="99" spans="1:25" ht="24.95" customHeight="1" x14ac:dyDescent="0.35">
      <c r="A99" s="88" t="s">
        <v>50</v>
      </c>
      <c r="B99" s="376">
        <v>713</v>
      </c>
      <c r="C99" s="180">
        <v>200</v>
      </c>
      <c r="D99" s="180">
        <v>200</v>
      </c>
      <c r="E99" s="180">
        <v>200</v>
      </c>
      <c r="F99" s="180">
        <v>113</v>
      </c>
      <c r="G99" s="379" t="s">
        <v>234</v>
      </c>
      <c r="H99" s="180"/>
      <c r="I99" s="180"/>
      <c r="J99" s="180"/>
      <c r="K99" s="180"/>
      <c r="L99" s="180"/>
      <c r="M99" s="180"/>
      <c r="N99" s="180"/>
      <c r="P99" s="88"/>
      <c r="Q99" s="468"/>
      <c r="R99" s="469"/>
      <c r="S99" s="469"/>
      <c r="T99" s="470"/>
      <c r="U99" s="479"/>
      <c r="V99" s="480"/>
      <c r="W99" s="173"/>
      <c r="X99" s="173"/>
      <c r="Y99" s="73"/>
    </row>
    <row r="100" spans="1:25" ht="24.95" customHeight="1" x14ac:dyDescent="0.35">
      <c r="A100" s="88" t="s">
        <v>220</v>
      </c>
      <c r="B100" s="377"/>
      <c r="D100" s="379" t="s">
        <v>223</v>
      </c>
      <c r="E100" s="378"/>
      <c r="P100" s="88"/>
      <c r="Q100" s="203"/>
      <c r="R100" s="203"/>
      <c r="S100" s="203"/>
      <c r="T100" s="203"/>
      <c r="U100" s="204"/>
      <c r="V100" s="204"/>
      <c r="W100" s="173"/>
      <c r="X100" s="173"/>
      <c r="Y100" s="73"/>
    </row>
    <row r="101" spans="1:25" s="88" customFormat="1" ht="24.95" customHeight="1" x14ac:dyDescent="0.35">
      <c r="A101" s="88" t="s">
        <v>233</v>
      </c>
      <c r="B101" s="375"/>
      <c r="D101" s="379" t="s">
        <v>224</v>
      </c>
      <c r="P101" s="207"/>
      <c r="Q101" s="205"/>
      <c r="R101" s="205"/>
      <c r="S101" s="205"/>
      <c r="T101" s="205"/>
      <c r="U101" s="206"/>
      <c r="V101" s="206"/>
      <c r="W101" s="173"/>
      <c r="X101" s="173"/>
      <c r="Y101" s="73"/>
    </row>
    <row r="102" spans="1:25" s="73" customFormat="1" ht="15" customHeight="1" x14ac:dyDescent="0.3">
      <c r="P102" s="89"/>
      <c r="Q102" s="113"/>
      <c r="R102" s="113"/>
      <c r="S102" s="113"/>
      <c r="T102" s="194"/>
      <c r="U102" s="178"/>
      <c r="V102" s="178"/>
      <c r="W102" s="2"/>
      <c r="X102" s="2"/>
      <c r="Y102" s="2"/>
    </row>
    <row r="103" spans="1:25" s="73" customFormat="1" ht="15" customHeight="1" x14ac:dyDescent="0.3">
      <c r="B103" s="10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</row>
    <row r="104" spans="1:25" ht="16.5" customHeight="1" x14ac:dyDescent="0.25">
      <c r="A104" s="196"/>
      <c r="B104" s="19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62"/>
      <c r="N104" s="62"/>
      <c r="O104" s="48"/>
      <c r="P104" s="48"/>
      <c r="Q104" s="48"/>
      <c r="R104" s="48"/>
      <c r="S104" s="48"/>
      <c r="T104" s="48"/>
      <c r="U104" s="48"/>
      <c r="V104" s="48"/>
      <c r="W104" s="48"/>
      <c r="X104" s="174"/>
    </row>
    <row r="105" spans="1:25" ht="16.5" customHeight="1" x14ac:dyDescent="0.25">
      <c r="A105" s="198"/>
      <c r="B105" s="418" t="s">
        <v>42</v>
      </c>
      <c r="C105" s="418"/>
      <c r="D105" s="418"/>
      <c r="E105" s="464">
        <v>2020</v>
      </c>
      <c r="F105" s="464"/>
      <c r="G105" s="464"/>
      <c r="H105" s="464"/>
      <c r="I105" s="109"/>
      <c r="J105" s="109"/>
      <c r="K105" s="109"/>
      <c r="L105" s="109"/>
      <c r="M105" s="195"/>
      <c r="N105" s="195"/>
      <c r="O105" s="195"/>
      <c r="P105" s="195"/>
      <c r="Q105" s="195"/>
      <c r="R105" s="195"/>
      <c r="S105" s="195"/>
      <c r="T105" s="171"/>
      <c r="U105" s="162"/>
      <c r="V105" s="162"/>
      <c r="W105" s="162"/>
      <c r="X105" s="175"/>
    </row>
    <row r="106" spans="1:25" ht="16.5" customHeight="1" x14ac:dyDescent="0.25">
      <c r="A106" s="198"/>
      <c r="B106" s="418"/>
      <c r="C106" s="418"/>
      <c r="D106" s="418"/>
      <c r="E106" s="464"/>
      <c r="F106" s="464"/>
      <c r="G106" s="464"/>
      <c r="H106" s="464"/>
      <c r="I106" s="109"/>
      <c r="J106" s="109"/>
      <c r="K106" s="109"/>
      <c r="L106" s="109"/>
      <c r="M106" s="195"/>
      <c r="N106" s="195"/>
      <c r="O106" s="195"/>
      <c r="P106" s="195"/>
      <c r="Q106" s="195"/>
      <c r="R106" s="195"/>
      <c r="S106" s="195"/>
      <c r="T106" s="171"/>
      <c r="U106" s="162"/>
      <c r="V106" s="162"/>
      <c r="W106" s="162"/>
      <c r="X106" s="175"/>
    </row>
    <row r="107" spans="1:25" ht="16.5" customHeight="1" x14ac:dyDescent="0.25">
      <c r="A107" s="198"/>
      <c r="B107" s="418"/>
      <c r="C107" s="418"/>
      <c r="D107" s="418"/>
      <c r="E107" s="464"/>
      <c r="F107" s="464"/>
      <c r="G107" s="464"/>
      <c r="H107" s="464"/>
      <c r="I107" s="109"/>
      <c r="J107" s="109"/>
      <c r="K107" s="109"/>
      <c r="L107" s="109"/>
      <c r="M107" s="195"/>
      <c r="N107" s="195"/>
      <c r="O107" s="195"/>
      <c r="P107" s="195"/>
      <c r="Q107" s="195"/>
      <c r="R107" s="195"/>
      <c r="S107" s="195"/>
      <c r="T107" s="171"/>
      <c r="U107" s="162"/>
      <c r="V107" s="162"/>
      <c r="W107" s="162"/>
      <c r="X107" s="175"/>
    </row>
    <row r="108" spans="1:25" ht="16.5" customHeight="1" x14ac:dyDescent="0.25">
      <c r="A108" s="199"/>
      <c r="B108" s="20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61"/>
      <c r="N108" s="61"/>
      <c r="O108" s="50"/>
      <c r="P108" s="50"/>
      <c r="Q108" s="50"/>
      <c r="R108" s="50"/>
      <c r="S108" s="50"/>
      <c r="T108" s="50"/>
      <c r="U108" s="50"/>
      <c r="V108" s="50"/>
      <c r="W108" s="50"/>
      <c r="X108" s="176"/>
    </row>
    <row r="109" spans="1:25" ht="16.5" customHeight="1" x14ac:dyDescent="0.25">
      <c r="P109" s="4"/>
    </row>
    <row r="112" spans="1:25" x14ac:dyDescent="0.25">
      <c r="T112" s="18"/>
      <c r="W112" s="18"/>
      <c r="X112" s="18"/>
    </row>
    <row r="168" spans="13:14" x14ac:dyDescent="0.25">
      <c r="M168" s="10"/>
      <c r="N168" s="10"/>
    </row>
  </sheetData>
  <mergeCells count="11">
    <mergeCell ref="A1:X5"/>
    <mergeCell ref="C9:N9"/>
    <mergeCell ref="A7:X7"/>
    <mergeCell ref="Q95:T97"/>
    <mergeCell ref="W95:X97"/>
    <mergeCell ref="B93:E94"/>
    <mergeCell ref="B105:D107"/>
    <mergeCell ref="E105:H107"/>
    <mergeCell ref="Q98:T99"/>
    <mergeCell ref="U95:V97"/>
    <mergeCell ref="U98:V99"/>
  </mergeCells>
  <printOptions horizontalCentered="1" verticalCentered="1"/>
  <pageMargins left="0.19685039370078741" right="0.19685039370078741" top="0" bottom="0" header="0" footer="0"/>
  <pageSetup paperSize="8" scale="6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AW82"/>
  <sheetViews>
    <sheetView topLeftCell="A43" zoomScale="57" zoomScaleNormal="57" workbookViewId="0">
      <selection activeCell="AJ68" sqref="AJ68"/>
    </sheetView>
  </sheetViews>
  <sheetFormatPr baseColWidth="10" defaultRowHeight="21" x14ac:dyDescent="0.35"/>
  <cols>
    <col min="1" max="1" width="11.140625" style="147" bestFit="1" customWidth="1"/>
    <col min="2" max="6" width="6.7109375" customWidth="1"/>
    <col min="7" max="7" width="3.28515625" customWidth="1"/>
    <col min="8" max="8" width="11.140625" style="147" bestFit="1" customWidth="1"/>
    <col min="9" max="13" width="6.7109375" customWidth="1"/>
    <col min="14" max="14" width="3.28515625" customWidth="1"/>
    <col min="15" max="15" width="11.140625" style="147" bestFit="1" customWidth="1"/>
    <col min="16" max="20" width="6.7109375" customWidth="1"/>
    <col min="21" max="21" width="3.28515625" customWidth="1"/>
    <col min="22" max="22" width="11.140625" style="147" bestFit="1" customWidth="1"/>
    <col min="23" max="27" width="6.7109375" customWidth="1"/>
    <col min="28" max="28" width="3.28515625" customWidth="1"/>
    <col min="29" max="29" width="11.140625" style="147" bestFit="1" customWidth="1"/>
    <col min="30" max="33" width="8.7109375" bestFit="1" customWidth="1"/>
    <col min="34" max="34" width="7.28515625" customWidth="1"/>
    <col min="246" max="246" width="4.140625" customWidth="1"/>
    <col min="247" max="247" width="4" customWidth="1"/>
    <col min="248" max="248" width="4.140625" customWidth="1"/>
    <col min="249" max="249" width="3.85546875" customWidth="1"/>
    <col min="250" max="258" width="4.140625" customWidth="1"/>
    <col min="259" max="259" width="3.7109375" customWidth="1"/>
    <col min="260" max="290" width="4.42578125" customWidth="1"/>
    <col min="502" max="502" width="4.140625" customWidth="1"/>
    <col min="503" max="503" width="4" customWidth="1"/>
    <col min="504" max="504" width="4.140625" customWidth="1"/>
    <col min="505" max="505" width="3.85546875" customWidth="1"/>
    <col min="506" max="514" width="4.140625" customWidth="1"/>
    <col min="515" max="515" width="3.7109375" customWidth="1"/>
    <col min="516" max="546" width="4.42578125" customWidth="1"/>
    <col min="758" max="758" width="4.140625" customWidth="1"/>
    <col min="759" max="759" width="4" customWidth="1"/>
    <col min="760" max="760" width="4.140625" customWidth="1"/>
    <col min="761" max="761" width="3.85546875" customWidth="1"/>
    <col min="762" max="770" width="4.140625" customWidth="1"/>
    <col min="771" max="771" width="3.7109375" customWidth="1"/>
    <col min="772" max="802" width="4.42578125" customWidth="1"/>
    <col min="1014" max="1014" width="4.140625" customWidth="1"/>
    <col min="1015" max="1015" width="4" customWidth="1"/>
    <col min="1016" max="1016" width="4.140625" customWidth="1"/>
    <col min="1017" max="1017" width="3.85546875" customWidth="1"/>
    <col min="1018" max="1026" width="4.140625" customWidth="1"/>
    <col min="1027" max="1027" width="3.7109375" customWidth="1"/>
    <col min="1028" max="1058" width="4.42578125" customWidth="1"/>
    <col min="1270" max="1270" width="4.140625" customWidth="1"/>
    <col min="1271" max="1271" width="4" customWidth="1"/>
    <col min="1272" max="1272" width="4.140625" customWidth="1"/>
    <col min="1273" max="1273" width="3.85546875" customWidth="1"/>
    <col min="1274" max="1282" width="4.140625" customWidth="1"/>
    <col min="1283" max="1283" width="3.7109375" customWidth="1"/>
    <col min="1284" max="1314" width="4.42578125" customWidth="1"/>
    <col min="1526" max="1526" width="4.140625" customWidth="1"/>
    <col min="1527" max="1527" width="4" customWidth="1"/>
    <col min="1528" max="1528" width="4.140625" customWidth="1"/>
    <col min="1529" max="1529" width="3.85546875" customWidth="1"/>
    <col min="1530" max="1538" width="4.140625" customWidth="1"/>
    <col min="1539" max="1539" width="3.7109375" customWidth="1"/>
    <col min="1540" max="1570" width="4.42578125" customWidth="1"/>
    <col min="1782" max="1782" width="4.140625" customWidth="1"/>
    <col min="1783" max="1783" width="4" customWidth="1"/>
    <col min="1784" max="1784" width="4.140625" customWidth="1"/>
    <col min="1785" max="1785" width="3.85546875" customWidth="1"/>
    <col min="1786" max="1794" width="4.140625" customWidth="1"/>
    <col min="1795" max="1795" width="3.7109375" customWidth="1"/>
    <col min="1796" max="1826" width="4.42578125" customWidth="1"/>
    <col min="2038" max="2038" width="4.140625" customWidth="1"/>
    <col min="2039" max="2039" width="4" customWidth="1"/>
    <col min="2040" max="2040" width="4.140625" customWidth="1"/>
    <col min="2041" max="2041" width="3.85546875" customWidth="1"/>
    <col min="2042" max="2050" width="4.140625" customWidth="1"/>
    <col min="2051" max="2051" width="3.7109375" customWidth="1"/>
    <col min="2052" max="2082" width="4.42578125" customWidth="1"/>
    <col min="2294" max="2294" width="4.140625" customWidth="1"/>
    <col min="2295" max="2295" width="4" customWidth="1"/>
    <col min="2296" max="2296" width="4.140625" customWidth="1"/>
    <col min="2297" max="2297" width="3.85546875" customWidth="1"/>
    <col min="2298" max="2306" width="4.140625" customWidth="1"/>
    <col min="2307" max="2307" width="3.7109375" customWidth="1"/>
    <col min="2308" max="2338" width="4.42578125" customWidth="1"/>
    <col min="2550" max="2550" width="4.140625" customWidth="1"/>
    <col min="2551" max="2551" width="4" customWidth="1"/>
    <col min="2552" max="2552" width="4.140625" customWidth="1"/>
    <col min="2553" max="2553" width="3.85546875" customWidth="1"/>
    <col min="2554" max="2562" width="4.140625" customWidth="1"/>
    <col min="2563" max="2563" width="3.7109375" customWidth="1"/>
    <col min="2564" max="2594" width="4.42578125" customWidth="1"/>
    <col min="2806" max="2806" width="4.140625" customWidth="1"/>
    <col min="2807" max="2807" width="4" customWidth="1"/>
    <col min="2808" max="2808" width="4.140625" customWidth="1"/>
    <col min="2809" max="2809" width="3.85546875" customWidth="1"/>
    <col min="2810" max="2818" width="4.140625" customWidth="1"/>
    <col min="2819" max="2819" width="3.7109375" customWidth="1"/>
    <col min="2820" max="2850" width="4.42578125" customWidth="1"/>
    <col min="3062" max="3062" width="4.140625" customWidth="1"/>
    <col min="3063" max="3063" width="4" customWidth="1"/>
    <col min="3064" max="3064" width="4.140625" customWidth="1"/>
    <col min="3065" max="3065" width="3.85546875" customWidth="1"/>
    <col min="3066" max="3074" width="4.140625" customWidth="1"/>
    <col min="3075" max="3075" width="3.7109375" customWidth="1"/>
    <col min="3076" max="3106" width="4.42578125" customWidth="1"/>
    <col min="3318" max="3318" width="4.140625" customWidth="1"/>
    <col min="3319" max="3319" width="4" customWidth="1"/>
    <col min="3320" max="3320" width="4.140625" customWidth="1"/>
    <col min="3321" max="3321" width="3.85546875" customWidth="1"/>
    <col min="3322" max="3330" width="4.140625" customWidth="1"/>
    <col min="3331" max="3331" width="3.7109375" customWidth="1"/>
    <col min="3332" max="3362" width="4.42578125" customWidth="1"/>
    <col min="3574" max="3574" width="4.140625" customWidth="1"/>
    <col min="3575" max="3575" width="4" customWidth="1"/>
    <col min="3576" max="3576" width="4.140625" customWidth="1"/>
    <col min="3577" max="3577" width="3.85546875" customWidth="1"/>
    <col min="3578" max="3586" width="4.140625" customWidth="1"/>
    <col min="3587" max="3587" width="3.7109375" customWidth="1"/>
    <col min="3588" max="3618" width="4.42578125" customWidth="1"/>
    <col min="3830" max="3830" width="4.140625" customWidth="1"/>
    <col min="3831" max="3831" width="4" customWidth="1"/>
    <col min="3832" max="3832" width="4.140625" customWidth="1"/>
    <col min="3833" max="3833" width="3.85546875" customWidth="1"/>
    <col min="3834" max="3842" width="4.140625" customWidth="1"/>
    <col min="3843" max="3843" width="3.7109375" customWidth="1"/>
    <col min="3844" max="3874" width="4.42578125" customWidth="1"/>
    <col min="4086" max="4086" width="4.140625" customWidth="1"/>
    <col min="4087" max="4087" width="4" customWidth="1"/>
    <col min="4088" max="4088" width="4.140625" customWidth="1"/>
    <col min="4089" max="4089" width="3.85546875" customWidth="1"/>
    <col min="4090" max="4098" width="4.140625" customWidth="1"/>
    <col min="4099" max="4099" width="3.7109375" customWidth="1"/>
    <col min="4100" max="4130" width="4.42578125" customWidth="1"/>
    <col min="4342" max="4342" width="4.140625" customWidth="1"/>
    <col min="4343" max="4343" width="4" customWidth="1"/>
    <col min="4344" max="4344" width="4.140625" customWidth="1"/>
    <col min="4345" max="4345" width="3.85546875" customWidth="1"/>
    <col min="4346" max="4354" width="4.140625" customWidth="1"/>
    <col min="4355" max="4355" width="3.7109375" customWidth="1"/>
    <col min="4356" max="4386" width="4.42578125" customWidth="1"/>
    <col min="4598" max="4598" width="4.140625" customWidth="1"/>
    <col min="4599" max="4599" width="4" customWidth="1"/>
    <col min="4600" max="4600" width="4.140625" customWidth="1"/>
    <col min="4601" max="4601" width="3.85546875" customWidth="1"/>
    <col min="4602" max="4610" width="4.140625" customWidth="1"/>
    <col min="4611" max="4611" width="3.7109375" customWidth="1"/>
    <col min="4612" max="4642" width="4.42578125" customWidth="1"/>
    <col min="4854" max="4854" width="4.140625" customWidth="1"/>
    <col min="4855" max="4855" width="4" customWidth="1"/>
    <col min="4856" max="4856" width="4.140625" customWidth="1"/>
    <col min="4857" max="4857" width="3.85546875" customWidth="1"/>
    <col min="4858" max="4866" width="4.140625" customWidth="1"/>
    <col min="4867" max="4867" width="3.7109375" customWidth="1"/>
    <col min="4868" max="4898" width="4.42578125" customWidth="1"/>
    <col min="5110" max="5110" width="4.140625" customWidth="1"/>
    <col min="5111" max="5111" width="4" customWidth="1"/>
    <col min="5112" max="5112" width="4.140625" customWidth="1"/>
    <col min="5113" max="5113" width="3.85546875" customWidth="1"/>
    <col min="5114" max="5122" width="4.140625" customWidth="1"/>
    <col min="5123" max="5123" width="3.7109375" customWidth="1"/>
    <col min="5124" max="5154" width="4.42578125" customWidth="1"/>
    <col min="5366" max="5366" width="4.140625" customWidth="1"/>
    <col min="5367" max="5367" width="4" customWidth="1"/>
    <col min="5368" max="5368" width="4.140625" customWidth="1"/>
    <col min="5369" max="5369" width="3.85546875" customWidth="1"/>
    <col min="5370" max="5378" width="4.140625" customWidth="1"/>
    <col min="5379" max="5379" width="3.7109375" customWidth="1"/>
    <col min="5380" max="5410" width="4.42578125" customWidth="1"/>
    <col min="5622" max="5622" width="4.140625" customWidth="1"/>
    <col min="5623" max="5623" width="4" customWidth="1"/>
    <col min="5624" max="5624" width="4.140625" customWidth="1"/>
    <col min="5625" max="5625" width="3.85546875" customWidth="1"/>
    <col min="5626" max="5634" width="4.140625" customWidth="1"/>
    <col min="5635" max="5635" width="3.7109375" customWidth="1"/>
    <col min="5636" max="5666" width="4.42578125" customWidth="1"/>
    <col min="5878" max="5878" width="4.140625" customWidth="1"/>
    <col min="5879" max="5879" width="4" customWidth="1"/>
    <col min="5880" max="5880" width="4.140625" customWidth="1"/>
    <col min="5881" max="5881" width="3.85546875" customWidth="1"/>
    <col min="5882" max="5890" width="4.140625" customWidth="1"/>
    <col min="5891" max="5891" width="3.7109375" customWidth="1"/>
    <col min="5892" max="5922" width="4.42578125" customWidth="1"/>
    <col min="6134" max="6134" width="4.140625" customWidth="1"/>
    <col min="6135" max="6135" width="4" customWidth="1"/>
    <col min="6136" max="6136" width="4.140625" customWidth="1"/>
    <col min="6137" max="6137" width="3.85546875" customWidth="1"/>
    <col min="6138" max="6146" width="4.140625" customWidth="1"/>
    <col min="6147" max="6147" width="3.7109375" customWidth="1"/>
    <col min="6148" max="6178" width="4.42578125" customWidth="1"/>
    <col min="6390" max="6390" width="4.140625" customWidth="1"/>
    <col min="6391" max="6391" width="4" customWidth="1"/>
    <col min="6392" max="6392" width="4.140625" customWidth="1"/>
    <col min="6393" max="6393" width="3.85546875" customWidth="1"/>
    <col min="6394" max="6402" width="4.140625" customWidth="1"/>
    <col min="6403" max="6403" width="3.7109375" customWidth="1"/>
    <col min="6404" max="6434" width="4.42578125" customWidth="1"/>
    <col min="6646" max="6646" width="4.140625" customWidth="1"/>
    <col min="6647" max="6647" width="4" customWidth="1"/>
    <col min="6648" max="6648" width="4.140625" customWidth="1"/>
    <col min="6649" max="6649" width="3.85546875" customWidth="1"/>
    <col min="6650" max="6658" width="4.140625" customWidth="1"/>
    <col min="6659" max="6659" width="3.7109375" customWidth="1"/>
    <col min="6660" max="6690" width="4.42578125" customWidth="1"/>
    <col min="6902" max="6902" width="4.140625" customWidth="1"/>
    <col min="6903" max="6903" width="4" customWidth="1"/>
    <col min="6904" max="6904" width="4.140625" customWidth="1"/>
    <col min="6905" max="6905" width="3.85546875" customWidth="1"/>
    <col min="6906" max="6914" width="4.140625" customWidth="1"/>
    <col min="6915" max="6915" width="3.7109375" customWidth="1"/>
    <col min="6916" max="6946" width="4.42578125" customWidth="1"/>
    <col min="7158" max="7158" width="4.140625" customWidth="1"/>
    <col min="7159" max="7159" width="4" customWidth="1"/>
    <col min="7160" max="7160" width="4.140625" customWidth="1"/>
    <col min="7161" max="7161" width="3.85546875" customWidth="1"/>
    <col min="7162" max="7170" width="4.140625" customWidth="1"/>
    <col min="7171" max="7171" width="3.7109375" customWidth="1"/>
    <col min="7172" max="7202" width="4.42578125" customWidth="1"/>
    <col min="7414" max="7414" width="4.140625" customWidth="1"/>
    <col min="7415" max="7415" width="4" customWidth="1"/>
    <col min="7416" max="7416" width="4.140625" customWidth="1"/>
    <col min="7417" max="7417" width="3.85546875" customWidth="1"/>
    <col min="7418" max="7426" width="4.140625" customWidth="1"/>
    <col min="7427" max="7427" width="3.7109375" customWidth="1"/>
    <col min="7428" max="7458" width="4.42578125" customWidth="1"/>
    <col min="7670" max="7670" width="4.140625" customWidth="1"/>
    <col min="7671" max="7671" width="4" customWidth="1"/>
    <col min="7672" max="7672" width="4.140625" customWidth="1"/>
    <col min="7673" max="7673" width="3.85546875" customWidth="1"/>
    <col min="7674" max="7682" width="4.140625" customWidth="1"/>
    <col min="7683" max="7683" width="3.7109375" customWidth="1"/>
    <col min="7684" max="7714" width="4.42578125" customWidth="1"/>
    <col min="7926" max="7926" width="4.140625" customWidth="1"/>
    <col min="7927" max="7927" width="4" customWidth="1"/>
    <col min="7928" max="7928" width="4.140625" customWidth="1"/>
    <col min="7929" max="7929" width="3.85546875" customWidth="1"/>
    <col min="7930" max="7938" width="4.140625" customWidth="1"/>
    <col min="7939" max="7939" width="3.7109375" customWidth="1"/>
    <col min="7940" max="7970" width="4.42578125" customWidth="1"/>
    <col min="8182" max="8182" width="4.140625" customWidth="1"/>
    <col min="8183" max="8183" width="4" customWidth="1"/>
    <col min="8184" max="8184" width="4.140625" customWidth="1"/>
    <col min="8185" max="8185" width="3.85546875" customWidth="1"/>
    <col min="8186" max="8194" width="4.140625" customWidth="1"/>
    <col min="8195" max="8195" width="3.7109375" customWidth="1"/>
    <col min="8196" max="8226" width="4.42578125" customWidth="1"/>
    <col min="8438" max="8438" width="4.140625" customWidth="1"/>
    <col min="8439" max="8439" width="4" customWidth="1"/>
    <col min="8440" max="8440" width="4.140625" customWidth="1"/>
    <col min="8441" max="8441" width="3.85546875" customWidth="1"/>
    <col min="8442" max="8450" width="4.140625" customWidth="1"/>
    <col min="8451" max="8451" width="3.7109375" customWidth="1"/>
    <col min="8452" max="8482" width="4.42578125" customWidth="1"/>
    <col min="8694" max="8694" width="4.140625" customWidth="1"/>
    <col min="8695" max="8695" width="4" customWidth="1"/>
    <col min="8696" max="8696" width="4.140625" customWidth="1"/>
    <col min="8697" max="8697" width="3.85546875" customWidth="1"/>
    <col min="8698" max="8706" width="4.140625" customWidth="1"/>
    <col min="8707" max="8707" width="3.7109375" customWidth="1"/>
    <col min="8708" max="8738" width="4.42578125" customWidth="1"/>
    <col min="8950" max="8950" width="4.140625" customWidth="1"/>
    <col min="8951" max="8951" width="4" customWidth="1"/>
    <col min="8952" max="8952" width="4.140625" customWidth="1"/>
    <col min="8953" max="8953" width="3.85546875" customWidth="1"/>
    <col min="8954" max="8962" width="4.140625" customWidth="1"/>
    <col min="8963" max="8963" width="3.7109375" customWidth="1"/>
    <col min="8964" max="8994" width="4.42578125" customWidth="1"/>
    <col min="9206" max="9206" width="4.140625" customWidth="1"/>
    <col min="9207" max="9207" width="4" customWidth="1"/>
    <col min="9208" max="9208" width="4.140625" customWidth="1"/>
    <col min="9209" max="9209" width="3.85546875" customWidth="1"/>
    <col min="9210" max="9218" width="4.140625" customWidth="1"/>
    <col min="9219" max="9219" width="3.7109375" customWidth="1"/>
    <col min="9220" max="9250" width="4.42578125" customWidth="1"/>
    <col min="9462" max="9462" width="4.140625" customWidth="1"/>
    <col min="9463" max="9463" width="4" customWidth="1"/>
    <col min="9464" max="9464" width="4.140625" customWidth="1"/>
    <col min="9465" max="9465" width="3.85546875" customWidth="1"/>
    <col min="9466" max="9474" width="4.140625" customWidth="1"/>
    <col min="9475" max="9475" width="3.7109375" customWidth="1"/>
    <col min="9476" max="9506" width="4.42578125" customWidth="1"/>
    <col min="9718" max="9718" width="4.140625" customWidth="1"/>
    <col min="9719" max="9719" width="4" customWidth="1"/>
    <col min="9720" max="9720" width="4.140625" customWidth="1"/>
    <col min="9721" max="9721" width="3.85546875" customWidth="1"/>
    <col min="9722" max="9730" width="4.140625" customWidth="1"/>
    <col min="9731" max="9731" width="3.7109375" customWidth="1"/>
    <col min="9732" max="9762" width="4.42578125" customWidth="1"/>
    <col min="9974" max="9974" width="4.140625" customWidth="1"/>
    <col min="9975" max="9975" width="4" customWidth="1"/>
    <col min="9976" max="9976" width="4.140625" customWidth="1"/>
    <col min="9977" max="9977" width="3.85546875" customWidth="1"/>
    <col min="9978" max="9986" width="4.140625" customWidth="1"/>
    <col min="9987" max="9987" width="3.7109375" customWidth="1"/>
    <col min="9988" max="10018" width="4.42578125" customWidth="1"/>
    <col min="10230" max="10230" width="4.140625" customWidth="1"/>
    <col min="10231" max="10231" width="4" customWidth="1"/>
    <col min="10232" max="10232" width="4.140625" customWidth="1"/>
    <col min="10233" max="10233" width="3.85546875" customWidth="1"/>
    <col min="10234" max="10242" width="4.140625" customWidth="1"/>
    <col min="10243" max="10243" width="3.7109375" customWidth="1"/>
    <col min="10244" max="10274" width="4.42578125" customWidth="1"/>
    <col min="10486" max="10486" width="4.140625" customWidth="1"/>
    <col min="10487" max="10487" width="4" customWidth="1"/>
    <col min="10488" max="10488" width="4.140625" customWidth="1"/>
    <col min="10489" max="10489" width="3.85546875" customWidth="1"/>
    <col min="10490" max="10498" width="4.140625" customWidth="1"/>
    <col min="10499" max="10499" width="3.7109375" customWidth="1"/>
    <col min="10500" max="10530" width="4.42578125" customWidth="1"/>
    <col min="10742" max="10742" width="4.140625" customWidth="1"/>
    <col min="10743" max="10743" width="4" customWidth="1"/>
    <col min="10744" max="10744" width="4.140625" customWidth="1"/>
    <col min="10745" max="10745" width="3.85546875" customWidth="1"/>
    <col min="10746" max="10754" width="4.140625" customWidth="1"/>
    <col min="10755" max="10755" width="3.7109375" customWidth="1"/>
    <col min="10756" max="10786" width="4.42578125" customWidth="1"/>
    <col min="10998" max="10998" width="4.140625" customWidth="1"/>
    <col min="10999" max="10999" width="4" customWidth="1"/>
    <col min="11000" max="11000" width="4.140625" customWidth="1"/>
    <col min="11001" max="11001" width="3.85546875" customWidth="1"/>
    <col min="11002" max="11010" width="4.140625" customWidth="1"/>
    <col min="11011" max="11011" width="3.7109375" customWidth="1"/>
    <col min="11012" max="11042" width="4.42578125" customWidth="1"/>
    <col min="11254" max="11254" width="4.140625" customWidth="1"/>
    <col min="11255" max="11255" width="4" customWidth="1"/>
    <col min="11256" max="11256" width="4.140625" customWidth="1"/>
    <col min="11257" max="11257" width="3.85546875" customWidth="1"/>
    <col min="11258" max="11266" width="4.140625" customWidth="1"/>
    <col min="11267" max="11267" width="3.7109375" customWidth="1"/>
    <col min="11268" max="11298" width="4.42578125" customWidth="1"/>
    <col min="11510" max="11510" width="4.140625" customWidth="1"/>
    <col min="11511" max="11511" width="4" customWidth="1"/>
    <col min="11512" max="11512" width="4.140625" customWidth="1"/>
    <col min="11513" max="11513" width="3.85546875" customWidth="1"/>
    <col min="11514" max="11522" width="4.140625" customWidth="1"/>
    <col min="11523" max="11523" width="3.7109375" customWidth="1"/>
    <col min="11524" max="11554" width="4.42578125" customWidth="1"/>
    <col min="11766" max="11766" width="4.140625" customWidth="1"/>
    <col min="11767" max="11767" width="4" customWidth="1"/>
    <col min="11768" max="11768" width="4.140625" customWidth="1"/>
    <col min="11769" max="11769" width="3.85546875" customWidth="1"/>
    <col min="11770" max="11778" width="4.140625" customWidth="1"/>
    <col min="11779" max="11779" width="3.7109375" customWidth="1"/>
    <col min="11780" max="11810" width="4.42578125" customWidth="1"/>
    <col min="12022" max="12022" width="4.140625" customWidth="1"/>
    <col min="12023" max="12023" width="4" customWidth="1"/>
    <col min="12024" max="12024" width="4.140625" customWidth="1"/>
    <col min="12025" max="12025" width="3.85546875" customWidth="1"/>
    <col min="12026" max="12034" width="4.140625" customWidth="1"/>
    <col min="12035" max="12035" width="3.7109375" customWidth="1"/>
    <col min="12036" max="12066" width="4.42578125" customWidth="1"/>
    <col min="12278" max="12278" width="4.140625" customWidth="1"/>
    <col min="12279" max="12279" width="4" customWidth="1"/>
    <col min="12280" max="12280" width="4.140625" customWidth="1"/>
    <col min="12281" max="12281" width="3.85546875" customWidth="1"/>
    <col min="12282" max="12290" width="4.140625" customWidth="1"/>
    <col min="12291" max="12291" width="3.7109375" customWidth="1"/>
    <col min="12292" max="12322" width="4.42578125" customWidth="1"/>
    <col min="12534" max="12534" width="4.140625" customWidth="1"/>
    <col min="12535" max="12535" width="4" customWidth="1"/>
    <col min="12536" max="12536" width="4.140625" customWidth="1"/>
    <col min="12537" max="12537" width="3.85546875" customWidth="1"/>
    <col min="12538" max="12546" width="4.140625" customWidth="1"/>
    <col min="12547" max="12547" width="3.7109375" customWidth="1"/>
    <col min="12548" max="12578" width="4.42578125" customWidth="1"/>
    <col min="12790" max="12790" width="4.140625" customWidth="1"/>
    <col min="12791" max="12791" width="4" customWidth="1"/>
    <col min="12792" max="12792" width="4.140625" customWidth="1"/>
    <col min="12793" max="12793" width="3.85546875" customWidth="1"/>
    <col min="12794" max="12802" width="4.140625" customWidth="1"/>
    <col min="12803" max="12803" width="3.7109375" customWidth="1"/>
    <col min="12804" max="12834" width="4.42578125" customWidth="1"/>
    <col min="13046" max="13046" width="4.140625" customWidth="1"/>
    <col min="13047" max="13047" width="4" customWidth="1"/>
    <col min="13048" max="13048" width="4.140625" customWidth="1"/>
    <col min="13049" max="13049" width="3.85546875" customWidth="1"/>
    <col min="13050" max="13058" width="4.140625" customWidth="1"/>
    <col min="13059" max="13059" width="3.7109375" customWidth="1"/>
    <col min="13060" max="13090" width="4.42578125" customWidth="1"/>
    <col min="13302" max="13302" width="4.140625" customWidth="1"/>
    <col min="13303" max="13303" width="4" customWidth="1"/>
    <col min="13304" max="13304" width="4.140625" customWidth="1"/>
    <col min="13305" max="13305" width="3.85546875" customWidth="1"/>
    <col min="13306" max="13314" width="4.140625" customWidth="1"/>
    <col min="13315" max="13315" width="3.7109375" customWidth="1"/>
    <col min="13316" max="13346" width="4.42578125" customWidth="1"/>
    <col min="13558" max="13558" width="4.140625" customWidth="1"/>
    <col min="13559" max="13559" width="4" customWidth="1"/>
    <col min="13560" max="13560" width="4.140625" customWidth="1"/>
    <col min="13561" max="13561" width="3.85546875" customWidth="1"/>
    <col min="13562" max="13570" width="4.140625" customWidth="1"/>
    <col min="13571" max="13571" width="3.7109375" customWidth="1"/>
    <col min="13572" max="13602" width="4.42578125" customWidth="1"/>
    <col min="13814" max="13814" width="4.140625" customWidth="1"/>
    <col min="13815" max="13815" width="4" customWidth="1"/>
    <col min="13816" max="13816" width="4.140625" customWidth="1"/>
    <col min="13817" max="13817" width="3.85546875" customWidth="1"/>
    <col min="13818" max="13826" width="4.140625" customWidth="1"/>
    <col min="13827" max="13827" width="3.7109375" customWidth="1"/>
    <col min="13828" max="13858" width="4.42578125" customWidth="1"/>
    <col min="14070" max="14070" width="4.140625" customWidth="1"/>
    <col min="14071" max="14071" width="4" customWidth="1"/>
    <col min="14072" max="14072" width="4.140625" customWidth="1"/>
    <col min="14073" max="14073" width="3.85546875" customWidth="1"/>
    <col min="14074" max="14082" width="4.140625" customWidth="1"/>
    <col min="14083" max="14083" width="3.7109375" customWidth="1"/>
    <col min="14084" max="14114" width="4.42578125" customWidth="1"/>
    <col min="14326" max="14326" width="4.140625" customWidth="1"/>
    <col min="14327" max="14327" width="4" customWidth="1"/>
    <col min="14328" max="14328" width="4.140625" customWidth="1"/>
    <col min="14329" max="14329" width="3.85546875" customWidth="1"/>
    <col min="14330" max="14338" width="4.140625" customWidth="1"/>
    <col min="14339" max="14339" width="3.7109375" customWidth="1"/>
    <col min="14340" max="14370" width="4.42578125" customWidth="1"/>
    <col min="14582" max="14582" width="4.140625" customWidth="1"/>
    <col min="14583" max="14583" width="4" customWidth="1"/>
    <col min="14584" max="14584" width="4.140625" customWidth="1"/>
    <col min="14585" max="14585" width="3.85546875" customWidth="1"/>
    <col min="14586" max="14594" width="4.140625" customWidth="1"/>
    <col min="14595" max="14595" width="3.7109375" customWidth="1"/>
    <col min="14596" max="14626" width="4.42578125" customWidth="1"/>
    <col min="14838" max="14838" width="4.140625" customWidth="1"/>
    <col min="14839" max="14839" width="4" customWidth="1"/>
    <col min="14840" max="14840" width="4.140625" customWidth="1"/>
    <col min="14841" max="14841" width="3.85546875" customWidth="1"/>
    <col min="14842" max="14850" width="4.140625" customWidth="1"/>
    <col min="14851" max="14851" width="3.7109375" customWidth="1"/>
    <col min="14852" max="14882" width="4.42578125" customWidth="1"/>
    <col min="15094" max="15094" width="4.140625" customWidth="1"/>
    <col min="15095" max="15095" width="4" customWidth="1"/>
    <col min="15096" max="15096" width="4.140625" customWidth="1"/>
    <col min="15097" max="15097" width="3.85546875" customWidth="1"/>
    <col min="15098" max="15106" width="4.140625" customWidth="1"/>
    <col min="15107" max="15107" width="3.7109375" customWidth="1"/>
    <col min="15108" max="15138" width="4.42578125" customWidth="1"/>
    <col min="15350" max="15350" width="4.140625" customWidth="1"/>
    <col min="15351" max="15351" width="4" customWidth="1"/>
    <col min="15352" max="15352" width="4.140625" customWidth="1"/>
    <col min="15353" max="15353" width="3.85546875" customWidth="1"/>
    <col min="15354" max="15362" width="4.140625" customWidth="1"/>
    <col min="15363" max="15363" width="3.7109375" customWidth="1"/>
    <col min="15364" max="15394" width="4.42578125" customWidth="1"/>
    <col min="15606" max="15606" width="4.140625" customWidth="1"/>
    <col min="15607" max="15607" width="4" customWidth="1"/>
    <col min="15608" max="15608" width="4.140625" customWidth="1"/>
    <col min="15609" max="15609" width="3.85546875" customWidth="1"/>
    <col min="15610" max="15618" width="4.140625" customWidth="1"/>
    <col min="15619" max="15619" width="3.7109375" customWidth="1"/>
    <col min="15620" max="15650" width="4.42578125" customWidth="1"/>
    <col min="15862" max="15862" width="4.140625" customWidth="1"/>
    <col min="15863" max="15863" width="4" customWidth="1"/>
    <col min="15864" max="15864" width="4.140625" customWidth="1"/>
    <col min="15865" max="15865" width="3.85546875" customWidth="1"/>
    <col min="15866" max="15874" width="4.140625" customWidth="1"/>
    <col min="15875" max="15875" width="3.7109375" customWidth="1"/>
    <col min="15876" max="15906" width="4.42578125" customWidth="1"/>
    <col min="16118" max="16118" width="4.140625" customWidth="1"/>
    <col min="16119" max="16119" width="4" customWidth="1"/>
    <col min="16120" max="16120" width="4.140625" customWidth="1"/>
    <col min="16121" max="16121" width="3.85546875" customWidth="1"/>
    <col min="16122" max="16130" width="4.140625" customWidth="1"/>
    <col min="16131" max="16131" width="3.7109375" customWidth="1"/>
    <col min="16132" max="16162" width="4.42578125" customWidth="1"/>
  </cols>
  <sheetData>
    <row r="1" spans="1:34" ht="15.9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154"/>
      <c r="AF1" s="154"/>
      <c r="AG1" s="154"/>
      <c r="AH1" s="142"/>
    </row>
    <row r="2" spans="1:34" ht="15.9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153"/>
      <c r="AF2" s="153"/>
      <c r="AG2" s="153"/>
      <c r="AH2" s="143"/>
    </row>
    <row r="3" spans="1:34" ht="15.9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8"/>
      <c r="AD3" s="418"/>
      <c r="AE3" s="153"/>
      <c r="AF3" s="153"/>
      <c r="AG3" s="153"/>
      <c r="AH3" s="143"/>
    </row>
    <row r="4" spans="1:34" ht="15.9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8"/>
      <c r="AD4" s="418"/>
      <c r="AE4" s="153"/>
      <c r="AF4" s="153"/>
      <c r="AG4" s="153"/>
      <c r="AH4" s="143"/>
    </row>
    <row r="5" spans="1:34" ht="15.9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155"/>
      <c r="AF5" s="155"/>
      <c r="AG5" s="155"/>
      <c r="AH5" s="144"/>
    </row>
    <row r="6" spans="1:34" s="1" customFormat="1" ht="15" customHeight="1" x14ac:dyDescent="0.25">
      <c r="A6" s="145"/>
      <c r="B6" s="8"/>
      <c r="C6" s="8"/>
      <c r="D6" s="8"/>
      <c r="E6" s="8"/>
      <c r="F6" s="8"/>
      <c r="G6" s="8"/>
      <c r="H6" s="145"/>
      <c r="I6" s="8"/>
      <c r="J6" s="8"/>
      <c r="K6" s="8"/>
      <c r="L6" s="8"/>
      <c r="M6" s="8"/>
      <c r="N6" s="8"/>
      <c r="O6" s="145"/>
      <c r="P6" s="8"/>
      <c r="Q6" s="8"/>
      <c r="R6" s="8"/>
      <c r="S6" s="8"/>
      <c r="T6" s="8"/>
      <c r="U6" s="8"/>
      <c r="V6" s="145"/>
      <c r="W6" s="8"/>
      <c r="X6" s="8"/>
      <c r="Y6" s="8"/>
      <c r="Z6" s="8"/>
      <c r="AA6" s="8"/>
      <c r="AB6" s="8"/>
      <c r="AC6" s="145"/>
      <c r="AD6" s="8"/>
      <c r="AE6" s="8"/>
      <c r="AF6" s="8"/>
      <c r="AG6" s="8"/>
      <c r="AH6" s="8"/>
    </row>
    <row r="7" spans="1:34" s="1" customFormat="1" ht="38.450000000000003" customHeight="1" x14ac:dyDescent="0.25">
      <c r="A7" s="514" t="s">
        <v>41</v>
      </c>
      <c r="B7" s="514"/>
      <c r="C7" s="514"/>
      <c r="D7" s="514"/>
      <c r="E7" s="514"/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  <c r="AF7" s="514"/>
      <c r="AG7" s="514"/>
      <c r="AH7" s="514"/>
    </row>
    <row r="8" spans="1:34" s="1" customFormat="1" ht="15" customHeight="1" x14ac:dyDescent="0.25">
      <c r="A8" s="145"/>
      <c r="B8" s="8"/>
      <c r="C8" s="5"/>
      <c r="D8" s="5"/>
      <c r="E8" s="5"/>
      <c r="F8" s="5"/>
      <c r="G8" s="5"/>
      <c r="H8" s="56"/>
      <c r="I8" s="5"/>
      <c r="J8" s="5"/>
      <c r="K8" s="5"/>
      <c r="L8" s="5"/>
      <c r="M8" s="5"/>
      <c r="N8" s="5"/>
      <c r="O8" s="56"/>
      <c r="P8" s="5"/>
      <c r="Q8" s="5"/>
      <c r="R8" s="5"/>
      <c r="S8" s="5"/>
      <c r="T8" s="5"/>
      <c r="U8" s="5"/>
      <c r="V8" s="56"/>
      <c r="W8" s="5"/>
      <c r="X8" s="5"/>
      <c r="Y8" s="5"/>
      <c r="Z8" s="5"/>
      <c r="AA8" s="5"/>
      <c r="AB8" s="5"/>
      <c r="AC8" s="56"/>
      <c r="AD8" s="5"/>
      <c r="AE8" s="5"/>
      <c r="AF8" s="5"/>
      <c r="AG8" s="5"/>
      <c r="AH8" s="5"/>
    </row>
    <row r="9" spans="1:34" ht="21.75" customHeight="1" x14ac:dyDescent="0.35">
      <c r="A9" s="424" t="s">
        <v>52</v>
      </c>
      <c r="B9" s="424"/>
      <c r="C9" s="424"/>
      <c r="D9" s="424"/>
      <c r="E9" s="424"/>
      <c r="F9" s="424"/>
      <c r="G9" s="110"/>
      <c r="H9" s="424" t="s">
        <v>35</v>
      </c>
      <c r="I9" s="424"/>
      <c r="J9" s="424"/>
      <c r="K9" s="424"/>
      <c r="L9" s="424"/>
      <c r="M9" s="424"/>
      <c r="N9" s="56"/>
      <c r="O9" s="424" t="s">
        <v>36</v>
      </c>
      <c r="P9" s="424"/>
      <c r="Q9" s="424"/>
      <c r="R9" s="424"/>
      <c r="S9" s="424"/>
      <c r="T9" s="424"/>
      <c r="U9" s="110"/>
      <c r="V9" s="424" t="s">
        <v>51</v>
      </c>
      <c r="W9" s="424"/>
      <c r="X9" s="424"/>
      <c r="Y9" s="424"/>
      <c r="Z9" s="424"/>
      <c r="AA9" s="424"/>
      <c r="AB9" s="56"/>
      <c r="AC9" s="19"/>
      <c r="AD9" s="424" t="s">
        <v>54</v>
      </c>
      <c r="AE9" s="424"/>
      <c r="AF9" s="424"/>
      <c r="AG9" s="424"/>
      <c r="AH9" s="424"/>
    </row>
    <row r="10" spans="1:34" ht="9" customHeight="1" x14ac:dyDescent="0.4">
      <c r="A10" s="501"/>
      <c r="B10" s="87"/>
      <c r="C10" s="2"/>
      <c r="D10" s="2"/>
      <c r="E10" s="2"/>
      <c r="F10" s="2"/>
      <c r="G10" s="2"/>
      <c r="H10" s="501"/>
      <c r="I10" s="87"/>
      <c r="J10" s="2"/>
      <c r="K10" s="2"/>
      <c r="L10" s="2"/>
      <c r="M10" s="2"/>
      <c r="N10" s="56"/>
      <c r="O10" s="500"/>
      <c r="P10" s="87"/>
      <c r="Q10" s="2"/>
      <c r="R10" s="2"/>
      <c r="S10" s="2"/>
      <c r="T10" s="2"/>
      <c r="U10" s="165"/>
      <c r="V10" s="500"/>
      <c r="W10" s="87"/>
      <c r="X10" s="2"/>
      <c r="Y10" s="2"/>
      <c r="Z10" s="2"/>
      <c r="AA10" s="2"/>
      <c r="AB10" s="56"/>
      <c r="AC10" s="500"/>
      <c r="AD10" s="87"/>
      <c r="AE10" s="2"/>
      <c r="AF10" s="2"/>
      <c r="AG10" s="2"/>
      <c r="AH10" s="2"/>
    </row>
    <row r="11" spans="1:34" ht="9" customHeight="1" x14ac:dyDescent="0.4">
      <c r="A11" s="501"/>
      <c r="B11" s="87"/>
      <c r="C11" s="2"/>
      <c r="D11" s="2"/>
      <c r="E11" s="2"/>
      <c r="F11" s="2"/>
      <c r="G11" s="2"/>
      <c r="H11" s="501"/>
      <c r="I11" s="87"/>
      <c r="J11" s="2"/>
      <c r="K11" s="2"/>
      <c r="L11" s="2"/>
      <c r="M11" s="2"/>
      <c r="N11" s="166"/>
      <c r="O11" s="500"/>
      <c r="P11" s="87"/>
      <c r="Q11" s="2"/>
      <c r="R11" s="2"/>
      <c r="S11" s="2"/>
      <c r="T11" s="2"/>
      <c r="U11" s="166"/>
      <c r="V11" s="500"/>
      <c r="W11" s="87"/>
      <c r="X11" s="2"/>
      <c r="Y11" s="2"/>
      <c r="Z11" s="2"/>
      <c r="AA11" s="2"/>
      <c r="AB11" s="166"/>
      <c r="AC11" s="500"/>
      <c r="AD11" s="87"/>
      <c r="AE11" s="2"/>
      <c r="AF11" s="2"/>
      <c r="AG11" s="2"/>
      <c r="AH11" s="2"/>
    </row>
    <row r="12" spans="1:34" ht="9" customHeight="1" x14ac:dyDescent="0.4">
      <c r="A12" s="501"/>
      <c r="B12" s="87"/>
      <c r="C12" s="2"/>
      <c r="D12" s="2"/>
      <c r="E12" s="2"/>
      <c r="F12" s="2"/>
      <c r="G12" s="2"/>
      <c r="H12" s="501"/>
      <c r="I12" s="87"/>
      <c r="J12" s="2"/>
      <c r="K12" s="2"/>
      <c r="L12" s="2"/>
      <c r="M12" s="2"/>
      <c r="N12" s="502"/>
      <c r="O12" s="500"/>
      <c r="P12" s="87"/>
      <c r="Q12" s="2"/>
      <c r="R12" s="2"/>
      <c r="S12" s="2"/>
      <c r="T12" s="2"/>
      <c r="U12" s="502"/>
      <c r="V12" s="500"/>
      <c r="W12" s="87"/>
      <c r="X12" s="2"/>
      <c r="Y12" s="2"/>
      <c r="Z12" s="2"/>
      <c r="AA12" s="2"/>
      <c r="AB12" s="502"/>
      <c r="AC12" s="500"/>
      <c r="AD12" s="87"/>
      <c r="AE12" s="2"/>
      <c r="AF12" s="2"/>
      <c r="AG12" s="2"/>
      <c r="AH12" s="2"/>
    </row>
    <row r="13" spans="1:34" ht="9" customHeight="1" x14ac:dyDescent="0.4">
      <c r="A13" s="501"/>
      <c r="B13" s="87"/>
      <c r="C13" s="2"/>
      <c r="D13" s="2"/>
      <c r="E13" s="97"/>
      <c r="F13" s="2"/>
      <c r="G13" s="2"/>
      <c r="H13" s="501"/>
      <c r="I13" s="87"/>
      <c r="J13" s="2"/>
      <c r="K13" s="2"/>
      <c r="L13" s="97"/>
      <c r="M13" s="2"/>
      <c r="N13" s="502"/>
      <c r="O13" s="500"/>
      <c r="P13" s="87"/>
      <c r="Q13" s="2"/>
      <c r="R13" s="2"/>
      <c r="S13" s="97"/>
      <c r="T13" s="2"/>
      <c r="U13" s="502"/>
      <c r="V13" s="500"/>
      <c r="W13" s="87"/>
      <c r="X13" s="2"/>
      <c r="Y13" s="2"/>
      <c r="Z13" s="97"/>
      <c r="AA13" s="2"/>
      <c r="AB13" s="502"/>
      <c r="AC13" s="500"/>
      <c r="AD13" s="87"/>
      <c r="AE13" s="2"/>
      <c r="AF13" s="2"/>
      <c r="AG13" s="97"/>
      <c r="AH13" s="2"/>
    </row>
    <row r="14" spans="1:34" ht="9" customHeight="1" x14ac:dyDescent="0.4">
      <c r="A14" s="501"/>
      <c r="B14" s="87"/>
      <c r="C14" s="2"/>
      <c r="D14" s="2"/>
      <c r="E14" s="97"/>
      <c r="F14" s="2"/>
      <c r="G14" s="2"/>
      <c r="H14" s="501"/>
      <c r="I14" s="87"/>
      <c r="J14" s="2"/>
      <c r="K14" s="2"/>
      <c r="L14" s="97"/>
      <c r="M14" s="2"/>
      <c r="N14" s="502"/>
      <c r="O14" s="500"/>
      <c r="P14" s="87"/>
      <c r="Q14" s="2"/>
      <c r="R14" s="2"/>
      <c r="S14" s="97"/>
      <c r="T14" s="2"/>
      <c r="U14" s="502"/>
      <c r="V14" s="500"/>
      <c r="W14" s="87"/>
      <c r="X14" s="2"/>
      <c r="Y14" s="2"/>
      <c r="Z14" s="97"/>
      <c r="AA14" s="2"/>
      <c r="AB14" s="502"/>
      <c r="AC14" s="500"/>
      <c r="AD14" s="87"/>
      <c r="AE14" s="2"/>
      <c r="AF14" s="2"/>
      <c r="AG14" s="97"/>
      <c r="AH14" s="2"/>
    </row>
    <row r="15" spans="1:34" ht="9" customHeight="1" x14ac:dyDescent="0.4">
      <c r="A15" s="501"/>
      <c r="B15" s="87"/>
      <c r="C15" s="2"/>
      <c r="D15" s="2"/>
      <c r="E15" s="97"/>
      <c r="F15" s="2"/>
      <c r="G15" s="2"/>
      <c r="H15" s="501"/>
      <c r="I15" s="87"/>
      <c r="J15" s="2"/>
      <c r="K15" s="2"/>
      <c r="L15" s="97"/>
      <c r="M15" s="2"/>
      <c r="N15" s="502"/>
      <c r="O15" s="500"/>
      <c r="P15" s="87"/>
      <c r="Q15" s="2"/>
      <c r="R15" s="2"/>
      <c r="S15" s="97"/>
      <c r="T15" s="2"/>
      <c r="U15" s="502"/>
      <c r="V15" s="500"/>
      <c r="W15" s="87"/>
      <c r="X15" s="2"/>
      <c r="Y15" s="2"/>
      <c r="Z15" s="97"/>
      <c r="AA15" s="2"/>
      <c r="AB15" s="502"/>
      <c r="AC15" s="500"/>
      <c r="AD15" s="87"/>
      <c r="AE15" s="2"/>
      <c r="AF15" s="2"/>
      <c r="AG15" s="97"/>
      <c r="AH15" s="2"/>
    </row>
    <row r="16" spans="1:34" ht="9" customHeight="1" x14ac:dyDescent="0.4">
      <c r="A16" s="504"/>
      <c r="B16" s="87"/>
      <c r="C16" s="2"/>
      <c r="D16" s="2"/>
      <c r="E16" s="2"/>
      <c r="F16" s="2"/>
      <c r="G16" s="2"/>
      <c r="H16" s="504"/>
      <c r="I16" s="87"/>
      <c r="J16" s="2"/>
      <c r="K16" s="2"/>
      <c r="L16" s="2"/>
      <c r="M16" s="2"/>
      <c r="N16" s="56"/>
      <c r="O16" s="503"/>
      <c r="P16" s="87"/>
      <c r="Q16" s="2"/>
      <c r="R16" s="2"/>
      <c r="S16" s="2"/>
      <c r="T16" s="2"/>
      <c r="U16" s="165"/>
      <c r="V16" s="503"/>
      <c r="W16" s="87"/>
      <c r="X16" s="2"/>
      <c r="Y16" s="2"/>
      <c r="Z16" s="2"/>
      <c r="AA16" s="2"/>
      <c r="AB16" s="56"/>
      <c r="AC16" s="503"/>
      <c r="AD16" s="87"/>
      <c r="AE16" s="2"/>
      <c r="AF16" s="2"/>
      <c r="AG16" s="2"/>
      <c r="AH16" s="2"/>
    </row>
    <row r="17" spans="1:34" ht="9" customHeight="1" x14ac:dyDescent="0.4">
      <c r="A17" s="504"/>
      <c r="B17" s="87"/>
      <c r="C17" s="2"/>
      <c r="D17" s="2"/>
      <c r="E17" s="2"/>
      <c r="F17" s="2"/>
      <c r="G17" s="2"/>
      <c r="H17" s="504"/>
      <c r="I17" s="87"/>
      <c r="J17" s="2"/>
      <c r="K17" s="2"/>
      <c r="L17" s="2"/>
      <c r="M17" s="2"/>
      <c r="N17" s="166"/>
      <c r="O17" s="503"/>
      <c r="P17" s="87"/>
      <c r="Q17" s="2"/>
      <c r="R17" s="2"/>
      <c r="S17" s="2"/>
      <c r="T17" s="2"/>
      <c r="U17" s="166"/>
      <c r="V17" s="503"/>
      <c r="W17" s="87"/>
      <c r="X17" s="2"/>
      <c r="Y17" s="2"/>
      <c r="Z17" s="2"/>
      <c r="AA17" s="2"/>
      <c r="AB17" s="166"/>
      <c r="AC17" s="503"/>
      <c r="AD17" s="87"/>
      <c r="AE17" s="2"/>
      <c r="AF17" s="2"/>
      <c r="AG17" s="2"/>
      <c r="AH17" s="2"/>
    </row>
    <row r="18" spans="1:34" ht="9" customHeight="1" x14ac:dyDescent="0.4">
      <c r="A18" s="501"/>
      <c r="B18" s="87"/>
      <c r="C18" s="2"/>
      <c r="D18" s="2"/>
      <c r="E18" s="2"/>
      <c r="F18" s="2"/>
      <c r="G18" s="2"/>
      <c r="H18" s="501"/>
      <c r="I18" s="87"/>
      <c r="J18" s="2"/>
      <c r="K18" s="2"/>
      <c r="L18" s="2"/>
      <c r="M18" s="2"/>
      <c r="N18" s="502"/>
      <c r="O18" s="500"/>
      <c r="P18" s="87"/>
      <c r="Q18" s="2"/>
      <c r="R18" s="2"/>
      <c r="S18" s="2"/>
      <c r="T18" s="2"/>
      <c r="U18" s="502"/>
      <c r="V18" s="500"/>
      <c r="W18" s="87"/>
      <c r="X18" s="2"/>
      <c r="Y18" s="2"/>
      <c r="Z18" s="2"/>
      <c r="AA18" s="2"/>
      <c r="AB18" s="502"/>
      <c r="AC18" s="500"/>
      <c r="AD18" s="87"/>
      <c r="AE18" s="2"/>
      <c r="AF18" s="2"/>
      <c r="AG18" s="2"/>
      <c r="AH18" s="2"/>
    </row>
    <row r="19" spans="1:34" ht="9" customHeight="1" x14ac:dyDescent="0.4">
      <c r="A19" s="501"/>
      <c r="B19" s="87"/>
      <c r="C19" s="2"/>
      <c r="D19" s="2"/>
      <c r="E19" s="97"/>
      <c r="F19" s="2"/>
      <c r="G19" s="2"/>
      <c r="H19" s="501"/>
      <c r="I19" s="87"/>
      <c r="J19" s="2"/>
      <c r="K19" s="2"/>
      <c r="L19" s="97"/>
      <c r="M19" s="2"/>
      <c r="N19" s="502"/>
      <c r="O19" s="500"/>
      <c r="P19" s="87"/>
      <c r="Q19" s="2"/>
      <c r="R19" s="2"/>
      <c r="S19" s="97"/>
      <c r="T19" s="2"/>
      <c r="U19" s="502"/>
      <c r="V19" s="500"/>
      <c r="W19" s="87"/>
      <c r="X19" s="2"/>
      <c r="Y19" s="2"/>
      <c r="Z19" s="97"/>
      <c r="AA19" s="2"/>
      <c r="AB19" s="502"/>
      <c r="AC19" s="500"/>
      <c r="AD19" s="87"/>
      <c r="AE19" s="2"/>
      <c r="AF19" s="2"/>
      <c r="AG19" s="97"/>
      <c r="AH19" s="2"/>
    </row>
    <row r="20" spans="1:34" ht="9" customHeight="1" x14ac:dyDescent="0.4">
      <c r="A20" s="501"/>
      <c r="B20" s="87"/>
      <c r="C20" s="2"/>
      <c r="D20" s="2"/>
      <c r="E20" s="97"/>
      <c r="F20" s="2"/>
      <c r="G20" s="2"/>
      <c r="H20" s="501"/>
      <c r="I20" s="87"/>
      <c r="J20" s="2"/>
      <c r="K20" s="2"/>
      <c r="L20" s="97"/>
      <c r="M20" s="2"/>
      <c r="N20" s="502"/>
      <c r="O20" s="500"/>
      <c r="P20" s="87"/>
      <c r="Q20" s="2"/>
      <c r="R20" s="2"/>
      <c r="S20" s="97"/>
      <c r="T20" s="2"/>
      <c r="U20" s="502"/>
      <c r="V20" s="500"/>
      <c r="W20" s="87"/>
      <c r="X20" s="2"/>
      <c r="Y20" s="2"/>
      <c r="Z20" s="97"/>
      <c r="AA20" s="2"/>
      <c r="AB20" s="502"/>
      <c r="AC20" s="500"/>
      <c r="AD20" s="87"/>
      <c r="AE20" s="2"/>
      <c r="AF20" s="2"/>
      <c r="AG20" s="97"/>
      <c r="AH20" s="2"/>
    </row>
    <row r="21" spans="1:34" ht="9" customHeight="1" x14ac:dyDescent="0.4">
      <c r="A21" s="501"/>
      <c r="B21" s="87"/>
      <c r="C21" s="2"/>
      <c r="D21" s="2"/>
      <c r="E21" s="97"/>
      <c r="F21" s="2"/>
      <c r="G21" s="2"/>
      <c r="H21" s="501"/>
      <c r="I21" s="87"/>
      <c r="J21" s="2"/>
      <c r="K21" s="2"/>
      <c r="L21" s="97"/>
      <c r="M21" s="2"/>
      <c r="N21" s="502"/>
      <c r="O21" s="500"/>
      <c r="P21" s="87"/>
      <c r="Q21" s="2"/>
      <c r="R21" s="2"/>
      <c r="S21" s="97"/>
      <c r="T21" s="2"/>
      <c r="U21" s="502"/>
      <c r="V21" s="500"/>
      <c r="W21" s="87"/>
      <c r="X21" s="2"/>
      <c r="Y21" s="2"/>
      <c r="Z21" s="97"/>
      <c r="AA21" s="2"/>
      <c r="AB21" s="502"/>
      <c r="AC21" s="500"/>
      <c r="AD21" s="87"/>
      <c r="AE21" s="2"/>
      <c r="AF21" s="2"/>
      <c r="AG21" s="97"/>
      <c r="AH21" s="2"/>
    </row>
    <row r="22" spans="1:34" ht="9" customHeight="1" x14ac:dyDescent="0.4">
      <c r="A22" s="501"/>
      <c r="B22" s="87"/>
      <c r="C22" s="2"/>
      <c r="D22" s="2"/>
      <c r="E22" s="97"/>
      <c r="F22" s="2"/>
      <c r="G22" s="2"/>
      <c r="H22" s="501"/>
      <c r="I22" s="87"/>
      <c r="J22" s="2"/>
      <c r="K22" s="2"/>
      <c r="L22" s="97"/>
      <c r="M22" s="2"/>
      <c r="N22" s="502"/>
      <c r="O22" s="500"/>
      <c r="P22" s="87"/>
      <c r="Q22" s="2"/>
      <c r="R22" s="2"/>
      <c r="S22" s="97"/>
      <c r="T22" s="2"/>
      <c r="U22" s="502"/>
      <c r="V22" s="500"/>
      <c r="W22" s="87"/>
      <c r="X22" s="2"/>
      <c r="Y22" s="2"/>
      <c r="Z22" s="97"/>
      <c r="AA22" s="2"/>
      <c r="AB22" s="502"/>
      <c r="AC22" s="500"/>
      <c r="AD22" s="87"/>
      <c r="AE22" s="2"/>
      <c r="AF22" s="2"/>
      <c r="AG22" s="97"/>
      <c r="AH22" s="2"/>
    </row>
    <row r="23" spans="1:34" ht="9" customHeight="1" x14ac:dyDescent="0.4">
      <c r="A23" s="501"/>
      <c r="B23" s="87"/>
      <c r="C23" s="2"/>
      <c r="D23" s="2"/>
      <c r="E23" s="97"/>
      <c r="F23" s="2"/>
      <c r="G23" s="2"/>
      <c r="H23" s="501"/>
      <c r="I23" s="87"/>
      <c r="J23" s="2"/>
      <c r="K23" s="2"/>
      <c r="L23" s="97"/>
      <c r="M23" s="2"/>
      <c r="N23" s="502"/>
      <c r="O23" s="500"/>
      <c r="P23" s="87"/>
      <c r="Q23" s="2"/>
      <c r="R23" s="2"/>
      <c r="S23" s="97"/>
      <c r="T23" s="2"/>
      <c r="U23" s="502"/>
      <c r="V23" s="500"/>
      <c r="W23" s="87"/>
      <c r="X23" s="2"/>
      <c r="Y23" s="2"/>
      <c r="Z23" s="97"/>
      <c r="AA23" s="2"/>
      <c r="AB23" s="502"/>
      <c r="AC23" s="500"/>
      <c r="AD23" s="87"/>
      <c r="AE23" s="2"/>
      <c r="AF23" s="2"/>
      <c r="AG23" s="97"/>
      <c r="AH23" s="2"/>
    </row>
    <row r="24" spans="1:34" ht="9" customHeight="1" x14ac:dyDescent="0.4">
      <c r="A24" s="501"/>
      <c r="B24" s="87"/>
      <c r="C24" s="2"/>
      <c r="D24" s="2"/>
      <c r="E24" s="97"/>
      <c r="F24" s="2"/>
      <c r="G24" s="2"/>
      <c r="H24" s="501"/>
      <c r="I24" s="87"/>
      <c r="J24" s="2"/>
      <c r="K24" s="2"/>
      <c r="L24" s="97"/>
      <c r="M24" s="2"/>
      <c r="N24" s="505"/>
      <c r="O24" s="500"/>
      <c r="P24" s="87"/>
      <c r="Q24" s="2"/>
      <c r="R24" s="2"/>
      <c r="S24" s="97"/>
      <c r="T24" s="2"/>
      <c r="U24" s="505"/>
      <c r="V24" s="500"/>
      <c r="W24" s="87"/>
      <c r="X24" s="2"/>
      <c r="Y24" s="2"/>
      <c r="Z24" s="97"/>
      <c r="AA24" s="2"/>
      <c r="AB24" s="505"/>
      <c r="AC24" s="500"/>
      <c r="AD24" s="87"/>
      <c r="AE24" s="2"/>
      <c r="AF24" s="2"/>
      <c r="AG24" s="97"/>
      <c r="AH24" s="2"/>
    </row>
    <row r="25" spans="1:34" ht="9" customHeight="1" x14ac:dyDescent="0.4">
      <c r="A25" s="501"/>
      <c r="B25" s="87"/>
      <c r="C25" s="97"/>
      <c r="D25" s="97"/>
      <c r="E25" s="97"/>
      <c r="F25" s="2"/>
      <c r="G25" s="2"/>
      <c r="H25" s="501"/>
      <c r="I25" s="87"/>
      <c r="J25" s="97"/>
      <c r="K25" s="97"/>
      <c r="L25" s="97"/>
      <c r="M25" s="2"/>
      <c r="N25" s="505"/>
      <c r="O25" s="500"/>
      <c r="P25" s="87"/>
      <c r="Q25" s="97"/>
      <c r="R25" s="97"/>
      <c r="S25" s="97"/>
      <c r="T25" s="2"/>
      <c r="U25" s="505"/>
      <c r="V25" s="500"/>
      <c r="W25" s="87"/>
      <c r="X25" s="97"/>
      <c r="Y25" s="97"/>
      <c r="Z25" s="97"/>
      <c r="AA25" s="2"/>
      <c r="AB25" s="505"/>
      <c r="AC25" s="500"/>
      <c r="AD25" s="87"/>
      <c r="AE25" s="97"/>
      <c r="AF25" s="97"/>
      <c r="AG25" s="97"/>
      <c r="AH25" s="2"/>
    </row>
    <row r="26" spans="1:34" ht="9" customHeight="1" x14ac:dyDescent="0.4">
      <c r="A26" s="504"/>
      <c r="B26" s="87"/>
      <c r="C26" s="2"/>
      <c r="D26" s="2"/>
      <c r="E26" s="2"/>
      <c r="F26" s="2"/>
      <c r="G26" s="2"/>
      <c r="H26" s="504"/>
      <c r="I26" s="87"/>
      <c r="J26" s="2"/>
      <c r="K26" s="2"/>
      <c r="L26" s="2"/>
      <c r="M26" s="2"/>
      <c r="N26" s="502"/>
      <c r="O26" s="503"/>
      <c r="P26" s="87"/>
      <c r="Q26" s="2"/>
      <c r="R26" s="2"/>
      <c r="S26" s="2"/>
      <c r="T26" s="2"/>
      <c r="U26" s="502"/>
      <c r="V26" s="503"/>
      <c r="W26" s="87"/>
      <c r="X26" s="2"/>
      <c r="Y26" s="2"/>
      <c r="Z26" s="2"/>
      <c r="AA26" s="2"/>
      <c r="AB26" s="502"/>
      <c r="AC26" s="503"/>
      <c r="AD26" s="87"/>
      <c r="AE26" s="2"/>
      <c r="AF26" s="2"/>
      <c r="AG26" s="2"/>
      <c r="AH26" s="2"/>
    </row>
    <row r="27" spans="1:34" ht="9" customHeight="1" x14ac:dyDescent="0.4">
      <c r="A27" s="504"/>
      <c r="B27" s="87"/>
      <c r="C27" s="2"/>
      <c r="D27" s="2"/>
      <c r="E27" s="2"/>
      <c r="F27" s="2"/>
      <c r="G27" s="2"/>
      <c r="H27" s="504"/>
      <c r="I27" s="87"/>
      <c r="J27" s="2"/>
      <c r="K27" s="2"/>
      <c r="L27" s="2"/>
      <c r="M27" s="2"/>
      <c r="N27" s="502"/>
      <c r="O27" s="503"/>
      <c r="P27" s="87"/>
      <c r="Q27" s="2"/>
      <c r="R27" s="2"/>
      <c r="S27" s="2"/>
      <c r="T27" s="2"/>
      <c r="U27" s="502"/>
      <c r="V27" s="503"/>
      <c r="W27" s="87"/>
      <c r="X27" s="2"/>
      <c r="Y27" s="2"/>
      <c r="Z27" s="2"/>
      <c r="AA27" s="2"/>
      <c r="AB27" s="502"/>
      <c r="AC27" s="503"/>
      <c r="AD27" s="87"/>
      <c r="AE27" s="2"/>
      <c r="AF27" s="2"/>
      <c r="AG27" s="2"/>
      <c r="AH27" s="2"/>
    </row>
    <row r="28" spans="1:34" ht="9" customHeight="1" x14ac:dyDescent="0.4">
      <c r="A28" s="501"/>
      <c r="B28" s="87"/>
      <c r="C28" s="2"/>
      <c r="D28" s="2"/>
      <c r="E28" s="2"/>
      <c r="F28" s="2"/>
      <c r="G28" s="2"/>
      <c r="H28" s="501"/>
      <c r="I28" s="87"/>
      <c r="J28" s="2"/>
      <c r="K28" s="2"/>
      <c r="L28" s="2"/>
      <c r="M28" s="2"/>
      <c r="N28" s="502"/>
      <c r="O28" s="500"/>
      <c r="P28" s="87"/>
      <c r="Q28" s="2"/>
      <c r="R28" s="2"/>
      <c r="S28" s="2"/>
      <c r="T28" s="2"/>
      <c r="U28" s="502"/>
      <c r="V28" s="500"/>
      <c r="W28" s="87"/>
      <c r="X28" s="2"/>
      <c r="Y28" s="2"/>
      <c r="Z28" s="2"/>
      <c r="AA28" s="2"/>
      <c r="AB28" s="502"/>
      <c r="AC28" s="500"/>
      <c r="AD28" s="87"/>
      <c r="AE28" s="2"/>
      <c r="AF28" s="2"/>
      <c r="AG28" s="2"/>
      <c r="AH28" s="2"/>
    </row>
    <row r="29" spans="1:34" ht="9" customHeight="1" x14ac:dyDescent="0.4">
      <c r="A29" s="501"/>
      <c r="B29" s="87"/>
      <c r="C29" s="2"/>
      <c r="D29" s="2"/>
      <c r="E29" s="2"/>
      <c r="F29" s="2"/>
      <c r="G29" s="2"/>
      <c r="H29" s="501"/>
      <c r="I29" s="87"/>
      <c r="J29" s="2"/>
      <c r="K29" s="2"/>
      <c r="L29" s="2"/>
      <c r="M29" s="2"/>
      <c r="N29" s="502"/>
      <c r="O29" s="500"/>
      <c r="P29" s="87"/>
      <c r="Q29" s="2"/>
      <c r="R29" s="2"/>
      <c r="S29" s="2"/>
      <c r="T29" s="2"/>
      <c r="U29" s="502"/>
      <c r="V29" s="500"/>
      <c r="W29" s="87"/>
      <c r="X29" s="2"/>
      <c r="Y29" s="2"/>
      <c r="Z29" s="2"/>
      <c r="AA29" s="2"/>
      <c r="AB29" s="502"/>
      <c r="AC29" s="500"/>
      <c r="AD29" s="87"/>
      <c r="AE29" s="2"/>
      <c r="AF29" s="2"/>
      <c r="AG29" s="2"/>
      <c r="AH29" s="2"/>
    </row>
    <row r="30" spans="1:34" ht="9" customHeight="1" x14ac:dyDescent="0.4">
      <c r="A30" s="501"/>
      <c r="B30" s="87"/>
      <c r="C30" s="2"/>
      <c r="D30" s="2"/>
      <c r="E30" s="2"/>
      <c r="F30" s="2"/>
      <c r="G30" s="2"/>
      <c r="H30" s="501"/>
      <c r="I30" s="87"/>
      <c r="J30" s="2"/>
      <c r="K30" s="2"/>
      <c r="L30" s="2"/>
      <c r="M30" s="2"/>
      <c r="N30" s="502"/>
      <c r="O30" s="500"/>
      <c r="P30" s="87"/>
      <c r="Q30" s="2"/>
      <c r="R30" s="2"/>
      <c r="S30" s="2"/>
      <c r="T30" s="2"/>
      <c r="U30" s="502"/>
      <c r="V30" s="500"/>
      <c r="W30" s="87"/>
      <c r="X30" s="2"/>
      <c r="Y30" s="2"/>
      <c r="Z30" s="2"/>
      <c r="AA30" s="2"/>
      <c r="AB30" s="502"/>
      <c r="AC30" s="500"/>
      <c r="AD30" s="87"/>
      <c r="AE30" s="2"/>
      <c r="AF30" s="2"/>
      <c r="AG30" s="2"/>
      <c r="AH30" s="2"/>
    </row>
    <row r="31" spans="1:34" ht="9" customHeight="1" x14ac:dyDescent="0.4">
      <c r="A31" s="501"/>
      <c r="B31" s="87"/>
      <c r="C31" s="2"/>
      <c r="D31" s="2"/>
      <c r="E31" s="2"/>
      <c r="F31" s="2"/>
      <c r="G31" s="2"/>
      <c r="H31" s="501"/>
      <c r="I31" s="87"/>
      <c r="J31" s="2"/>
      <c r="K31" s="2"/>
      <c r="L31" s="2"/>
      <c r="M31" s="2"/>
      <c r="N31" s="502"/>
      <c r="O31" s="500"/>
      <c r="P31" s="87"/>
      <c r="Q31" s="2"/>
      <c r="R31" s="2"/>
      <c r="S31" s="2"/>
      <c r="T31" s="2"/>
      <c r="U31" s="502"/>
      <c r="V31" s="500"/>
      <c r="W31" s="87"/>
      <c r="X31" s="2"/>
      <c r="Y31" s="2"/>
      <c r="Z31" s="2"/>
      <c r="AA31" s="2"/>
      <c r="AB31" s="502"/>
      <c r="AC31" s="500"/>
      <c r="AD31" s="87"/>
      <c r="AE31" s="2"/>
      <c r="AF31" s="2"/>
      <c r="AG31" s="2"/>
      <c r="AH31" s="2"/>
    </row>
    <row r="32" spans="1:34" ht="9" customHeight="1" x14ac:dyDescent="0.4">
      <c r="A32" s="501"/>
      <c r="B32" s="87"/>
      <c r="C32" s="2"/>
      <c r="D32" s="2"/>
      <c r="E32" s="2"/>
      <c r="F32" s="2"/>
      <c r="G32" s="2"/>
      <c r="H32" s="501"/>
      <c r="I32" s="87"/>
      <c r="J32" s="2"/>
      <c r="K32" s="2"/>
      <c r="L32" s="2"/>
      <c r="M32" s="2"/>
      <c r="N32" s="502"/>
      <c r="O32" s="500"/>
      <c r="P32" s="87"/>
      <c r="Q32" s="2"/>
      <c r="R32" s="2"/>
      <c r="S32" s="2"/>
      <c r="T32" s="2"/>
      <c r="U32" s="502"/>
      <c r="V32" s="500"/>
      <c r="W32" s="87"/>
      <c r="X32" s="2"/>
      <c r="Y32" s="2"/>
      <c r="Z32" s="2"/>
      <c r="AA32" s="2"/>
      <c r="AB32" s="502"/>
      <c r="AC32" s="500"/>
      <c r="AD32" s="87"/>
      <c r="AE32" s="2"/>
      <c r="AF32" s="2"/>
      <c r="AG32" s="2"/>
      <c r="AH32" s="2"/>
    </row>
    <row r="33" spans="1:34" ht="9" customHeight="1" x14ac:dyDescent="0.4">
      <c r="A33" s="501"/>
      <c r="B33" s="87"/>
      <c r="C33" s="2"/>
      <c r="D33" s="2"/>
      <c r="E33" s="2"/>
      <c r="F33" s="2"/>
      <c r="G33" s="2"/>
      <c r="H33" s="501"/>
      <c r="I33" s="87"/>
      <c r="J33" s="2"/>
      <c r="K33" s="2"/>
      <c r="L33" s="2"/>
      <c r="M33" s="2"/>
      <c r="N33" s="502"/>
      <c r="O33" s="500"/>
      <c r="P33" s="87"/>
      <c r="Q33" s="2"/>
      <c r="R33" s="2"/>
      <c r="S33" s="2"/>
      <c r="T33" s="2"/>
      <c r="U33" s="502"/>
      <c r="V33" s="500"/>
      <c r="W33" s="87"/>
      <c r="X33" s="2"/>
      <c r="Y33" s="2"/>
      <c r="Z33" s="2"/>
      <c r="AA33" s="2"/>
      <c r="AB33" s="502"/>
      <c r="AC33" s="500"/>
      <c r="AD33" s="87"/>
      <c r="AE33" s="2"/>
      <c r="AF33" s="2"/>
      <c r="AG33" s="2"/>
      <c r="AH33" s="2"/>
    </row>
    <row r="34" spans="1:34" ht="9" customHeight="1" x14ac:dyDescent="0.4">
      <c r="A34" s="501"/>
      <c r="B34" s="87"/>
      <c r="C34" s="2"/>
      <c r="D34" s="2"/>
      <c r="E34" s="2"/>
      <c r="F34" s="2"/>
      <c r="G34" s="2"/>
      <c r="H34" s="501"/>
      <c r="I34" s="87"/>
      <c r="J34" s="2"/>
      <c r="K34" s="2"/>
      <c r="L34" s="2"/>
      <c r="M34" s="2"/>
      <c r="N34" s="502"/>
      <c r="O34" s="500"/>
      <c r="P34" s="87"/>
      <c r="Q34" s="2"/>
      <c r="R34" s="2"/>
      <c r="S34" s="2"/>
      <c r="T34" s="2"/>
      <c r="U34" s="502"/>
      <c r="V34" s="500"/>
      <c r="W34" s="87"/>
      <c r="X34" s="2"/>
      <c r="Y34" s="2"/>
      <c r="Z34" s="2"/>
      <c r="AA34" s="2"/>
      <c r="AB34" s="502"/>
      <c r="AC34" s="500"/>
      <c r="AD34" s="87"/>
      <c r="AE34" s="2"/>
      <c r="AF34" s="2"/>
      <c r="AG34" s="2"/>
      <c r="AH34" s="2"/>
    </row>
    <row r="35" spans="1:34" ht="9" customHeight="1" x14ac:dyDescent="0.4">
      <c r="A35" s="501"/>
      <c r="B35" s="87"/>
      <c r="C35" s="2"/>
      <c r="D35" s="2"/>
      <c r="E35" s="2"/>
      <c r="F35" s="2"/>
      <c r="G35" s="2"/>
      <c r="H35" s="501"/>
      <c r="I35" s="87"/>
      <c r="J35" s="2"/>
      <c r="K35" s="2"/>
      <c r="L35" s="2"/>
      <c r="M35" s="2"/>
      <c r="N35" s="502"/>
      <c r="O35" s="500"/>
      <c r="P35" s="87"/>
      <c r="Q35" s="2"/>
      <c r="R35" s="2"/>
      <c r="S35" s="2"/>
      <c r="T35" s="2"/>
      <c r="U35" s="502"/>
      <c r="V35" s="500"/>
      <c r="W35" s="87"/>
      <c r="X35" s="2"/>
      <c r="Y35" s="2"/>
      <c r="Z35" s="2"/>
      <c r="AA35" s="2"/>
      <c r="AB35" s="502"/>
      <c r="AC35" s="500"/>
      <c r="AD35" s="87"/>
      <c r="AE35" s="2"/>
      <c r="AF35" s="2"/>
      <c r="AG35" s="2"/>
      <c r="AH35" s="2"/>
    </row>
    <row r="36" spans="1:34" ht="9" customHeight="1" x14ac:dyDescent="0.4">
      <c r="A36" s="504"/>
      <c r="B36" s="87"/>
      <c r="C36" s="2"/>
      <c r="D36" s="2"/>
      <c r="E36" s="2"/>
      <c r="F36" s="2"/>
      <c r="G36" s="2"/>
      <c r="H36" s="504"/>
      <c r="I36" s="87"/>
      <c r="J36" s="2"/>
      <c r="K36" s="2"/>
      <c r="L36" s="2"/>
      <c r="M36" s="2"/>
      <c r="N36" s="502"/>
      <c r="O36" s="503"/>
      <c r="P36" s="87"/>
      <c r="Q36" s="2"/>
      <c r="R36" s="2"/>
      <c r="S36" s="2"/>
      <c r="T36" s="2"/>
      <c r="U36" s="502"/>
      <c r="V36" s="503"/>
      <c r="W36" s="87"/>
      <c r="X36" s="2"/>
      <c r="Y36" s="2"/>
      <c r="Z36" s="2"/>
      <c r="AA36" s="2"/>
      <c r="AB36" s="502"/>
      <c r="AC36" s="503"/>
      <c r="AD36" s="87"/>
      <c r="AE36" s="2"/>
      <c r="AF36" s="2"/>
      <c r="AG36" s="2"/>
      <c r="AH36" s="2"/>
    </row>
    <row r="37" spans="1:34" ht="9" customHeight="1" x14ac:dyDescent="0.4">
      <c r="A37" s="504"/>
      <c r="B37" s="87"/>
      <c r="C37" s="2"/>
      <c r="D37" s="2"/>
      <c r="E37" s="2"/>
      <c r="F37" s="2"/>
      <c r="G37" s="2"/>
      <c r="H37" s="504"/>
      <c r="I37" s="87"/>
      <c r="J37" s="2"/>
      <c r="K37" s="2"/>
      <c r="L37" s="2"/>
      <c r="M37" s="2"/>
      <c r="N37" s="502"/>
      <c r="O37" s="503"/>
      <c r="P37" s="87"/>
      <c r="Q37" s="2"/>
      <c r="R37" s="2"/>
      <c r="S37" s="2"/>
      <c r="T37" s="2"/>
      <c r="U37" s="502"/>
      <c r="V37" s="503"/>
      <c r="W37" s="87"/>
      <c r="X37" s="2"/>
      <c r="Y37" s="2"/>
      <c r="Z37" s="2"/>
      <c r="AA37" s="2"/>
      <c r="AB37" s="502"/>
      <c r="AC37" s="503"/>
      <c r="AD37" s="87"/>
      <c r="AE37" s="2"/>
      <c r="AF37" s="2"/>
      <c r="AG37" s="2"/>
      <c r="AH37" s="2"/>
    </row>
    <row r="38" spans="1:34" ht="9" customHeight="1" x14ac:dyDescent="0.4">
      <c r="A38" s="501"/>
      <c r="B38" s="87"/>
      <c r="C38" s="2"/>
      <c r="D38" s="2"/>
      <c r="E38" s="2"/>
      <c r="F38" s="2"/>
      <c r="G38" s="2"/>
      <c r="H38" s="501"/>
      <c r="I38" s="87"/>
      <c r="J38" s="2"/>
      <c r="K38" s="2"/>
      <c r="L38" s="2"/>
      <c r="M38" s="2"/>
      <c r="N38" s="502"/>
      <c r="O38" s="500"/>
      <c r="P38" s="87"/>
      <c r="Q38" s="2"/>
      <c r="R38" s="2"/>
      <c r="S38" s="2"/>
      <c r="T38" s="2"/>
      <c r="U38" s="502"/>
      <c r="V38" s="500"/>
      <c r="W38" s="87"/>
      <c r="X38" s="2"/>
      <c r="Y38" s="2"/>
      <c r="Z38" s="2"/>
      <c r="AA38" s="2"/>
      <c r="AB38" s="502"/>
      <c r="AC38" s="500"/>
      <c r="AD38" s="87"/>
      <c r="AE38" s="2"/>
      <c r="AF38" s="2"/>
      <c r="AG38" s="2"/>
      <c r="AH38" s="2"/>
    </row>
    <row r="39" spans="1:34" ht="9" customHeight="1" x14ac:dyDescent="0.4">
      <c r="A39" s="501"/>
      <c r="B39" s="87"/>
      <c r="C39" s="2"/>
      <c r="D39" s="2"/>
      <c r="E39" s="2"/>
      <c r="F39" s="2"/>
      <c r="G39" s="2"/>
      <c r="H39" s="501"/>
      <c r="I39" s="87"/>
      <c r="J39" s="2"/>
      <c r="K39" s="2"/>
      <c r="L39" s="2"/>
      <c r="M39" s="2"/>
      <c r="N39" s="502"/>
      <c r="O39" s="500"/>
      <c r="P39" s="87"/>
      <c r="Q39" s="2"/>
      <c r="R39" s="2"/>
      <c r="S39" s="2"/>
      <c r="T39" s="2"/>
      <c r="U39" s="502"/>
      <c r="V39" s="500"/>
      <c r="W39" s="87"/>
      <c r="X39" s="2"/>
      <c r="Y39" s="2"/>
      <c r="Z39" s="2"/>
      <c r="AA39" s="2"/>
      <c r="AB39" s="502"/>
      <c r="AC39" s="500"/>
      <c r="AD39" s="87"/>
      <c r="AE39" s="2"/>
      <c r="AF39" s="2"/>
      <c r="AG39" s="2"/>
      <c r="AH39" s="2"/>
    </row>
    <row r="40" spans="1:34" ht="9" customHeight="1" x14ac:dyDescent="0.4">
      <c r="A40" s="501"/>
      <c r="B40" s="87"/>
      <c r="C40" s="2"/>
      <c r="D40" s="2"/>
      <c r="E40" s="2"/>
      <c r="F40" s="2"/>
      <c r="G40" s="2"/>
      <c r="H40" s="501"/>
      <c r="I40" s="87"/>
      <c r="J40" s="2"/>
      <c r="K40" s="2"/>
      <c r="L40" s="2"/>
      <c r="M40" s="2"/>
      <c r="N40" s="505"/>
      <c r="O40" s="500"/>
      <c r="P40" s="87"/>
      <c r="Q40" s="2"/>
      <c r="R40" s="2"/>
      <c r="S40" s="2"/>
      <c r="T40" s="2"/>
      <c r="U40" s="505"/>
      <c r="V40" s="500"/>
      <c r="W40" s="87"/>
      <c r="X40" s="2"/>
      <c r="Y40" s="2"/>
      <c r="Z40" s="2"/>
      <c r="AA40" s="2"/>
      <c r="AB40" s="505"/>
      <c r="AC40" s="500"/>
      <c r="AD40" s="87"/>
      <c r="AE40" s="2"/>
      <c r="AF40" s="2"/>
      <c r="AG40" s="2"/>
      <c r="AH40" s="2"/>
    </row>
    <row r="41" spans="1:34" ht="9" customHeight="1" x14ac:dyDescent="0.4">
      <c r="A41" s="501"/>
      <c r="B41" s="87"/>
      <c r="C41" s="2"/>
      <c r="D41" s="2"/>
      <c r="E41" s="2"/>
      <c r="F41" s="2"/>
      <c r="G41" s="2"/>
      <c r="H41" s="501"/>
      <c r="I41" s="87"/>
      <c r="J41" s="2"/>
      <c r="K41" s="2"/>
      <c r="L41" s="2"/>
      <c r="M41" s="2"/>
      <c r="N41" s="505"/>
      <c r="O41" s="500"/>
      <c r="P41" s="87"/>
      <c r="Q41" s="2"/>
      <c r="R41" s="2"/>
      <c r="S41" s="2"/>
      <c r="T41" s="2"/>
      <c r="U41" s="505"/>
      <c r="V41" s="500"/>
      <c r="W41" s="87"/>
      <c r="X41" s="2"/>
      <c r="Y41" s="2"/>
      <c r="Z41" s="2"/>
      <c r="AA41" s="2"/>
      <c r="AB41" s="505"/>
      <c r="AC41" s="500"/>
      <c r="AD41" s="87"/>
      <c r="AE41" s="2"/>
      <c r="AF41" s="2"/>
      <c r="AG41" s="2"/>
      <c r="AH41" s="2"/>
    </row>
    <row r="42" spans="1:34" ht="9" customHeight="1" x14ac:dyDescent="0.4">
      <c r="A42" s="501"/>
      <c r="B42" s="87"/>
      <c r="C42" s="2"/>
      <c r="D42" s="2"/>
      <c r="E42" s="2"/>
      <c r="F42" s="2"/>
      <c r="G42" s="2"/>
      <c r="H42" s="501"/>
      <c r="I42" s="87"/>
      <c r="J42" s="2"/>
      <c r="K42" s="2"/>
      <c r="L42" s="2"/>
      <c r="M42" s="2"/>
      <c r="N42" s="502"/>
      <c r="O42" s="500"/>
      <c r="P42" s="87"/>
      <c r="Q42" s="2"/>
      <c r="R42" s="2"/>
      <c r="S42" s="2"/>
      <c r="T42" s="2"/>
      <c r="U42" s="502"/>
      <c r="V42" s="500"/>
      <c r="W42" s="87"/>
      <c r="X42" s="2"/>
      <c r="Y42" s="2"/>
      <c r="Z42" s="2"/>
      <c r="AA42" s="2"/>
      <c r="AB42" s="502"/>
      <c r="AC42" s="500"/>
      <c r="AD42" s="87"/>
      <c r="AE42" s="2"/>
      <c r="AF42" s="2"/>
      <c r="AG42" s="2"/>
      <c r="AH42" s="2"/>
    </row>
    <row r="43" spans="1:34" ht="9" customHeight="1" x14ac:dyDescent="0.4">
      <c r="A43" s="501"/>
      <c r="B43" s="87"/>
      <c r="C43" s="2"/>
      <c r="D43" s="2"/>
      <c r="E43" s="2"/>
      <c r="F43" s="2"/>
      <c r="G43" s="2"/>
      <c r="H43" s="501"/>
      <c r="I43" s="87"/>
      <c r="J43" s="2"/>
      <c r="K43" s="2"/>
      <c r="L43" s="2"/>
      <c r="M43" s="2"/>
      <c r="N43" s="502"/>
      <c r="O43" s="500"/>
      <c r="P43" s="87"/>
      <c r="Q43" s="2"/>
      <c r="R43" s="2"/>
      <c r="S43" s="2"/>
      <c r="T43" s="2"/>
      <c r="U43" s="502"/>
      <c r="V43" s="500"/>
      <c r="W43" s="87"/>
      <c r="X43" s="2"/>
      <c r="Y43" s="2"/>
      <c r="Z43" s="2"/>
      <c r="AA43" s="2"/>
      <c r="AB43" s="502"/>
      <c r="AC43" s="500"/>
      <c r="AD43" s="87"/>
      <c r="AE43" s="2"/>
      <c r="AF43" s="2"/>
      <c r="AG43" s="2"/>
      <c r="AH43" s="2"/>
    </row>
    <row r="44" spans="1:34" ht="9" customHeight="1" x14ac:dyDescent="0.4">
      <c r="A44" s="501"/>
      <c r="B44" s="87"/>
      <c r="C44" s="2"/>
      <c r="D44" s="2"/>
      <c r="E44" s="2"/>
      <c r="F44" s="2"/>
      <c r="G44" s="2"/>
      <c r="H44" s="501"/>
      <c r="I44" s="87"/>
      <c r="J44" s="2"/>
      <c r="K44" s="2"/>
      <c r="L44" s="2"/>
      <c r="M44" s="2"/>
      <c r="N44" s="502"/>
      <c r="O44" s="500"/>
      <c r="P44" s="87"/>
      <c r="Q44" s="2"/>
      <c r="R44" s="2"/>
      <c r="S44" s="2"/>
      <c r="T44" s="2"/>
      <c r="U44" s="502"/>
      <c r="V44" s="500"/>
      <c r="W44" s="87"/>
      <c r="X44" s="2"/>
      <c r="Y44" s="2"/>
      <c r="Z44" s="2"/>
      <c r="AA44" s="2"/>
      <c r="AB44" s="502"/>
      <c r="AC44" s="500"/>
      <c r="AD44" s="87"/>
      <c r="AE44" s="2"/>
      <c r="AF44" s="2"/>
      <c r="AG44" s="2"/>
      <c r="AH44" s="2"/>
    </row>
    <row r="45" spans="1:34" ht="9" customHeight="1" x14ac:dyDescent="0.4">
      <c r="A45" s="501"/>
      <c r="B45" s="87"/>
      <c r="C45" s="2"/>
      <c r="D45" s="2"/>
      <c r="E45" s="2"/>
      <c r="F45" s="2"/>
      <c r="G45" s="2"/>
      <c r="H45" s="501"/>
      <c r="I45" s="87"/>
      <c r="J45" s="2"/>
      <c r="K45" s="2"/>
      <c r="L45" s="2"/>
      <c r="M45" s="2"/>
      <c r="N45" s="502"/>
      <c r="O45" s="500"/>
      <c r="P45" s="87"/>
      <c r="Q45" s="2"/>
      <c r="R45" s="2"/>
      <c r="S45" s="2"/>
      <c r="T45" s="2"/>
      <c r="U45" s="502"/>
      <c r="V45" s="500"/>
      <c r="W45" s="87"/>
      <c r="X45" s="2"/>
      <c r="Y45" s="2"/>
      <c r="Z45" s="2"/>
      <c r="AA45" s="2"/>
      <c r="AB45" s="502"/>
      <c r="AC45" s="500"/>
      <c r="AD45" s="87"/>
      <c r="AE45" s="2"/>
      <c r="AF45" s="2"/>
      <c r="AG45" s="2"/>
      <c r="AH45" s="2"/>
    </row>
    <row r="46" spans="1:34" ht="9" customHeight="1" x14ac:dyDescent="0.4">
      <c r="A46" s="504"/>
      <c r="B46" s="87"/>
      <c r="C46" s="2"/>
      <c r="D46" s="2"/>
      <c r="E46" s="2"/>
      <c r="F46" s="2"/>
      <c r="G46" s="2"/>
      <c r="H46" s="504"/>
      <c r="I46" s="87"/>
      <c r="J46" s="2"/>
      <c r="K46" s="2"/>
      <c r="L46" s="2"/>
      <c r="M46" s="2"/>
      <c r="N46" s="502"/>
      <c r="O46" s="503"/>
      <c r="P46" s="87"/>
      <c r="Q46" s="2"/>
      <c r="R46" s="2"/>
      <c r="S46" s="2"/>
      <c r="T46" s="2"/>
      <c r="U46" s="502"/>
      <c r="V46" s="503"/>
      <c r="W46" s="87"/>
      <c r="X46" s="2"/>
      <c r="Y46" s="2"/>
      <c r="Z46" s="2"/>
      <c r="AA46" s="2"/>
      <c r="AB46" s="502"/>
      <c r="AC46" s="503"/>
      <c r="AD46" s="87"/>
      <c r="AE46" s="2"/>
      <c r="AF46" s="2"/>
      <c r="AG46" s="2"/>
      <c r="AH46" s="2"/>
    </row>
    <row r="47" spans="1:34" ht="9" customHeight="1" x14ac:dyDescent="0.4">
      <c r="A47" s="504"/>
      <c r="B47" s="87"/>
      <c r="C47" s="2"/>
      <c r="D47" s="2"/>
      <c r="E47" s="2"/>
      <c r="F47" s="2"/>
      <c r="G47" s="2"/>
      <c r="H47" s="504"/>
      <c r="I47" s="87"/>
      <c r="J47" s="2"/>
      <c r="K47" s="2"/>
      <c r="L47" s="2"/>
      <c r="M47" s="2"/>
      <c r="N47" s="502"/>
      <c r="O47" s="503"/>
      <c r="P47" s="87"/>
      <c r="Q47" s="2"/>
      <c r="R47" s="2"/>
      <c r="S47" s="2"/>
      <c r="T47" s="2"/>
      <c r="U47" s="502"/>
      <c r="V47" s="503"/>
      <c r="W47" s="87"/>
      <c r="X47" s="2"/>
      <c r="Y47" s="2"/>
      <c r="Z47" s="2"/>
      <c r="AA47" s="2"/>
      <c r="AB47" s="502"/>
      <c r="AC47" s="503"/>
      <c r="AD47" s="87"/>
      <c r="AE47" s="2"/>
      <c r="AF47" s="2"/>
      <c r="AG47" s="2"/>
      <c r="AH47" s="2"/>
    </row>
    <row r="48" spans="1:34" ht="9" customHeight="1" x14ac:dyDescent="0.4">
      <c r="A48" s="501"/>
      <c r="B48" s="87"/>
      <c r="C48" s="2"/>
      <c r="D48" s="2"/>
      <c r="E48" s="2"/>
      <c r="F48" s="2"/>
      <c r="G48" s="2"/>
      <c r="H48" s="501"/>
      <c r="I48" s="87"/>
      <c r="J48" s="2"/>
      <c r="K48" s="2"/>
      <c r="L48" s="2"/>
      <c r="M48" s="2"/>
      <c r="N48" s="502"/>
      <c r="O48" s="500"/>
      <c r="P48" s="87"/>
      <c r="Q48" s="2"/>
      <c r="R48" s="2"/>
      <c r="S48" s="2"/>
      <c r="T48" s="2"/>
      <c r="U48" s="502"/>
      <c r="V48" s="500"/>
      <c r="W48" s="87"/>
      <c r="X48" s="2"/>
      <c r="Y48" s="2"/>
      <c r="Z48" s="2"/>
      <c r="AA48" s="2"/>
      <c r="AB48" s="502"/>
      <c r="AC48" s="500"/>
      <c r="AD48" s="87"/>
      <c r="AE48" s="2"/>
      <c r="AF48" s="2"/>
      <c r="AG48" s="2"/>
      <c r="AH48" s="2"/>
    </row>
    <row r="49" spans="1:49" ht="9" customHeight="1" x14ac:dyDescent="0.4">
      <c r="A49" s="501"/>
      <c r="B49" s="87"/>
      <c r="C49" s="2"/>
      <c r="D49" s="2"/>
      <c r="E49" s="2"/>
      <c r="F49" s="2"/>
      <c r="G49" s="2"/>
      <c r="H49" s="501"/>
      <c r="I49" s="87"/>
      <c r="J49" s="2"/>
      <c r="K49" s="2"/>
      <c r="L49" s="2"/>
      <c r="M49" s="2"/>
      <c r="N49" s="502"/>
      <c r="O49" s="500"/>
      <c r="P49" s="87"/>
      <c r="Q49" s="2"/>
      <c r="R49" s="2"/>
      <c r="S49" s="2"/>
      <c r="T49" s="2"/>
      <c r="U49" s="502"/>
      <c r="V49" s="500"/>
      <c r="W49" s="87"/>
      <c r="X49" s="2"/>
      <c r="Y49" s="2"/>
      <c r="Z49" s="2"/>
      <c r="AA49" s="2"/>
      <c r="AB49" s="502"/>
      <c r="AC49" s="500"/>
      <c r="AD49" s="87"/>
      <c r="AE49" s="2"/>
      <c r="AF49" s="2"/>
      <c r="AG49" s="2"/>
      <c r="AH49" s="2"/>
    </row>
    <row r="50" spans="1:49" ht="9" customHeight="1" x14ac:dyDescent="0.4">
      <c r="A50" s="501"/>
      <c r="B50" s="87"/>
      <c r="C50" s="2"/>
      <c r="D50" s="2"/>
      <c r="E50" s="2"/>
      <c r="F50" s="2"/>
      <c r="G50" s="2"/>
      <c r="H50" s="501"/>
      <c r="I50" s="87"/>
      <c r="J50" s="2"/>
      <c r="K50" s="2"/>
      <c r="L50" s="2"/>
      <c r="M50" s="2"/>
      <c r="N50" s="502"/>
      <c r="O50" s="500"/>
      <c r="P50" s="87"/>
      <c r="Q50" s="2"/>
      <c r="R50" s="2"/>
      <c r="S50" s="2"/>
      <c r="T50" s="2"/>
      <c r="U50" s="502"/>
      <c r="V50" s="500"/>
      <c r="W50" s="87"/>
      <c r="X50" s="2"/>
      <c r="Y50" s="2"/>
      <c r="Z50" s="2"/>
      <c r="AA50" s="2"/>
      <c r="AB50" s="502"/>
      <c r="AC50" s="500"/>
      <c r="AD50" s="87"/>
      <c r="AE50" s="2"/>
      <c r="AF50" s="2"/>
      <c r="AG50" s="2"/>
      <c r="AH50" s="2"/>
    </row>
    <row r="51" spans="1:49" ht="9" customHeight="1" x14ac:dyDescent="0.4">
      <c r="A51" s="501"/>
      <c r="B51" s="87"/>
      <c r="C51" s="2"/>
      <c r="D51" s="2"/>
      <c r="E51" s="2"/>
      <c r="F51" s="2"/>
      <c r="G51" s="2"/>
      <c r="H51" s="501"/>
      <c r="I51" s="87"/>
      <c r="J51" s="2"/>
      <c r="K51" s="2"/>
      <c r="L51" s="2"/>
      <c r="M51" s="2"/>
      <c r="N51" s="502"/>
      <c r="O51" s="500"/>
      <c r="P51" s="87"/>
      <c r="Q51" s="2"/>
      <c r="R51" s="2"/>
      <c r="S51" s="2"/>
      <c r="T51" s="2"/>
      <c r="U51" s="502"/>
      <c r="V51" s="500"/>
      <c r="W51" s="87"/>
      <c r="X51" s="2"/>
      <c r="Y51" s="2"/>
      <c r="Z51" s="2"/>
      <c r="AA51" s="2"/>
      <c r="AB51" s="502"/>
      <c r="AC51" s="500"/>
      <c r="AD51" s="87"/>
      <c r="AE51" s="2"/>
      <c r="AF51" s="2"/>
      <c r="AG51" s="2"/>
      <c r="AH51" s="2"/>
    </row>
    <row r="52" spans="1:49" ht="9" customHeight="1" x14ac:dyDescent="0.4">
      <c r="A52" s="501"/>
      <c r="B52" s="87"/>
      <c r="C52" s="2"/>
      <c r="D52" s="2"/>
      <c r="E52" s="2"/>
      <c r="F52" s="2"/>
      <c r="G52" s="2"/>
      <c r="H52" s="501"/>
      <c r="I52" s="87"/>
      <c r="J52" s="2"/>
      <c r="K52" s="2"/>
      <c r="L52" s="2"/>
      <c r="M52" s="2"/>
      <c r="N52" s="502"/>
      <c r="O52" s="500"/>
      <c r="P52" s="87"/>
      <c r="Q52" s="2"/>
      <c r="R52" s="2"/>
      <c r="S52" s="2"/>
      <c r="T52" s="2"/>
      <c r="U52" s="502"/>
      <c r="V52" s="500"/>
      <c r="W52" s="87"/>
      <c r="X52" s="2"/>
      <c r="Y52" s="2"/>
      <c r="Z52" s="2"/>
      <c r="AA52" s="2"/>
      <c r="AB52" s="502"/>
      <c r="AC52" s="500"/>
      <c r="AD52" s="87"/>
      <c r="AE52" s="2"/>
      <c r="AF52" s="2"/>
      <c r="AG52" s="2"/>
      <c r="AH52" s="2"/>
    </row>
    <row r="53" spans="1:49" ht="9" customHeight="1" x14ac:dyDescent="0.4">
      <c r="A53" s="501"/>
      <c r="B53" s="87"/>
      <c r="C53" s="2"/>
      <c r="D53" s="2"/>
      <c r="E53" s="2"/>
      <c r="F53" s="2"/>
      <c r="G53" s="2"/>
      <c r="H53" s="501"/>
      <c r="I53" s="87"/>
      <c r="J53" s="2"/>
      <c r="K53" s="2"/>
      <c r="L53" s="2"/>
      <c r="M53" s="2"/>
      <c r="N53" s="502"/>
      <c r="O53" s="500"/>
      <c r="P53" s="87"/>
      <c r="Q53" s="2"/>
      <c r="R53" s="2"/>
      <c r="S53" s="2"/>
      <c r="T53" s="2"/>
      <c r="U53" s="502"/>
      <c r="V53" s="500"/>
      <c r="W53" s="87"/>
      <c r="X53" s="2"/>
      <c r="Y53" s="2"/>
      <c r="Z53" s="2"/>
      <c r="AA53" s="2"/>
      <c r="AB53" s="502"/>
      <c r="AC53" s="500"/>
      <c r="AD53" s="87"/>
      <c r="AE53" s="2"/>
      <c r="AF53" s="2"/>
      <c r="AG53" s="2"/>
      <c r="AH53" s="2"/>
    </row>
    <row r="54" spans="1:49" s="250" customFormat="1" ht="16.5" customHeight="1" x14ac:dyDescent="0.25">
      <c r="A54" s="347">
        <f>SUM(B54:F54)</f>
        <v>1854</v>
      </c>
      <c r="B54" s="347">
        <f>+VLOOKUP(B56,Recap_cde_P!$C$5:$T$57,15,FALSE)</f>
        <v>484</v>
      </c>
      <c r="C54" s="347">
        <f>+VLOOKUP(C56,Recap_cde_P!$C$5:$T$57,15,FALSE)</f>
        <v>443</v>
      </c>
      <c r="D54" s="347">
        <f>+VLOOKUP(D56,Recap_cde_P!$C$5:$T$57,15,FALSE)</f>
        <v>438</v>
      </c>
      <c r="E54" s="347">
        <f>+VLOOKUP(E56,Recap_cde_P!$C$5:$T$57,15,FALSE)</f>
        <v>489</v>
      </c>
      <c r="F54" s="347"/>
      <c r="G54" s="348"/>
      <c r="H54" s="347">
        <f>SUM(I54:M54)</f>
        <v>1848</v>
      </c>
      <c r="I54" s="347">
        <f>+VLOOKUP(I56,Recap_cde_P!$C$5:$T$57,16,FALSE)</f>
        <v>503</v>
      </c>
      <c r="J54" s="347">
        <f>+VLOOKUP(J56,Recap_cde_P!$C$5:$T$57,16,FALSE)</f>
        <v>569</v>
      </c>
      <c r="K54" s="347">
        <f>+VLOOKUP(K56,Recap_cde_P!$C$5:$T$57,16,FALSE)</f>
        <v>362</v>
      </c>
      <c r="L54" s="347">
        <f>+VLOOKUP(L56,Recap_cde_P!$C$5:$T$57,16,FALSE)</f>
        <v>414</v>
      </c>
      <c r="M54" s="347"/>
      <c r="N54" s="348"/>
      <c r="O54" s="347">
        <f>SUM(P54:T54)</f>
        <v>288</v>
      </c>
      <c r="P54" s="347">
        <f>+VLOOKUP(P56,Recap_cde_P!$C$5:$T$57,17,FALSE)</f>
        <v>97</v>
      </c>
      <c r="Q54" s="347">
        <f>+VLOOKUP(Q56,Recap_cde_P!$C$5:$T$57,17,FALSE)</f>
        <v>77</v>
      </c>
      <c r="R54" s="347">
        <f>+VLOOKUP(R56,Recap_cde_P!$C$5:$T$57,17,FALSE)</f>
        <v>62</v>
      </c>
      <c r="S54" s="347">
        <f>+VLOOKUP(S56,Recap_cde_P!$C$5:$T$57,17,FALSE)</f>
        <v>52</v>
      </c>
      <c r="T54" s="347"/>
      <c r="U54" s="348"/>
      <c r="V54" s="347">
        <f>SUM(W54:AA54)</f>
        <v>835</v>
      </c>
      <c r="W54" s="347">
        <f>+VLOOKUP(W56,Recap_cde_P!$C$5:$T$57,18,FALSE)</f>
        <v>180</v>
      </c>
      <c r="X54" s="347">
        <f>+VLOOKUP(X56,Recap_cde_P!$C$5:$T$57,18,FALSE)</f>
        <v>216</v>
      </c>
      <c r="Y54" s="347">
        <f>+VLOOKUP(Y56,Recap_cde_P!$C$5:$T$57,18,FALSE)</f>
        <v>219</v>
      </c>
      <c r="Z54" s="347">
        <f>+VLOOKUP(Z56,Recap_cde_P!$C$5:$T$57,18,FALSE)</f>
        <v>220</v>
      </c>
      <c r="AA54" s="347"/>
      <c r="AB54" s="348"/>
      <c r="AC54" s="347">
        <f>SUM(AD54:AH54)</f>
        <v>4825</v>
      </c>
      <c r="AD54" s="347">
        <f>SUM(B54,I54,P54,W54)</f>
        <v>1264</v>
      </c>
      <c r="AE54" s="347">
        <f t="shared" ref="AE54:AH54" si="0">SUM(C54,J54,Q54,X54)</f>
        <v>1305</v>
      </c>
      <c r="AF54" s="347">
        <f t="shared" si="0"/>
        <v>1081</v>
      </c>
      <c r="AG54" s="347">
        <f t="shared" si="0"/>
        <v>1175</v>
      </c>
      <c r="AH54" s="347">
        <f t="shared" si="0"/>
        <v>0</v>
      </c>
    </row>
    <row r="55" spans="1:49" ht="9" customHeight="1" x14ac:dyDescent="0.4">
      <c r="A55" s="346"/>
      <c r="B55" s="87"/>
      <c r="C55" s="2"/>
      <c r="D55" s="2"/>
      <c r="E55" s="2"/>
      <c r="F55" s="2"/>
      <c r="G55" s="2"/>
      <c r="H55" s="341"/>
      <c r="I55" s="87"/>
      <c r="J55" s="2"/>
      <c r="K55" s="2"/>
      <c r="L55" s="2"/>
      <c r="M55" s="2"/>
      <c r="N55" s="343"/>
      <c r="O55" s="342"/>
      <c r="P55" s="87"/>
      <c r="Q55" s="2"/>
      <c r="R55" s="2"/>
      <c r="S55" s="2"/>
      <c r="T55" s="2"/>
      <c r="U55" s="343"/>
      <c r="V55" s="342"/>
      <c r="W55" s="87"/>
      <c r="X55" s="2"/>
      <c r="Y55" s="2"/>
      <c r="Z55" s="2"/>
      <c r="AA55" s="2"/>
      <c r="AB55" s="343"/>
      <c r="AC55" s="342"/>
      <c r="AD55" s="87"/>
      <c r="AE55" s="2"/>
      <c r="AF55" s="2"/>
      <c r="AG55" s="2"/>
      <c r="AH55" s="2"/>
    </row>
    <row r="56" spans="1:49" s="10" customFormat="1" ht="20.25" customHeight="1" x14ac:dyDescent="0.4">
      <c r="A56" s="160"/>
      <c r="B56" s="192" t="s">
        <v>236</v>
      </c>
      <c r="C56" s="138" t="s">
        <v>237</v>
      </c>
      <c r="D56" s="138" t="s">
        <v>238</v>
      </c>
      <c r="E56" s="138" t="s">
        <v>239</v>
      </c>
      <c r="F56" s="138"/>
      <c r="G56" s="112"/>
      <c r="H56" s="160"/>
      <c r="I56" s="138" t="str">
        <f>B56</f>
        <v>s06</v>
      </c>
      <c r="J56" s="138" t="str">
        <f t="shared" ref="J56:M56" si="1">C56</f>
        <v>s07</v>
      </c>
      <c r="K56" s="138" t="str">
        <f t="shared" si="1"/>
        <v>s08</v>
      </c>
      <c r="L56" s="138" t="str">
        <f t="shared" si="1"/>
        <v>s09</v>
      </c>
      <c r="M56" s="138">
        <f t="shared" si="1"/>
        <v>0</v>
      </c>
      <c r="N56" s="87"/>
      <c r="O56" s="19"/>
      <c r="P56" s="138" t="str">
        <f>I56</f>
        <v>s06</v>
      </c>
      <c r="Q56" s="138" t="str">
        <f t="shared" ref="Q56:T56" si="2">J56</f>
        <v>s07</v>
      </c>
      <c r="R56" s="138" t="str">
        <f t="shared" si="2"/>
        <v>s08</v>
      </c>
      <c r="S56" s="138" t="str">
        <f t="shared" si="2"/>
        <v>s09</v>
      </c>
      <c r="T56" s="138">
        <f t="shared" si="2"/>
        <v>0</v>
      </c>
      <c r="U56" s="87"/>
      <c r="V56" s="19"/>
      <c r="W56" s="138" t="str">
        <f>P56</f>
        <v>s06</v>
      </c>
      <c r="X56" s="138" t="str">
        <f t="shared" ref="X56:AA56" si="3">Q56</f>
        <v>s07</v>
      </c>
      <c r="Y56" s="138" t="str">
        <f t="shared" si="3"/>
        <v>s08</v>
      </c>
      <c r="Z56" s="138" t="str">
        <f t="shared" si="3"/>
        <v>s09</v>
      </c>
      <c r="AA56" s="138">
        <f t="shared" si="3"/>
        <v>0</v>
      </c>
      <c r="AB56" s="87"/>
      <c r="AC56" s="19"/>
      <c r="AD56" s="138" t="str">
        <f>W56</f>
        <v>s06</v>
      </c>
      <c r="AE56" s="138" t="str">
        <f t="shared" ref="AE56" si="4">X56</f>
        <v>s07</v>
      </c>
      <c r="AF56" s="138" t="str">
        <f t="shared" ref="AF56" si="5">Y56</f>
        <v>s08</v>
      </c>
      <c r="AG56" s="138" t="str">
        <f t="shared" ref="AG56" si="6">Z56</f>
        <v>s09</v>
      </c>
      <c r="AH56" s="138">
        <f t="shared" ref="AH56" si="7">AA56</f>
        <v>0</v>
      </c>
      <c r="AL56" s="193" t="s">
        <v>53</v>
      </c>
    </row>
    <row r="57" spans="1:49" s="94" customFormat="1" ht="16.5" customHeight="1" x14ac:dyDescent="0.25">
      <c r="A57" s="506" t="s">
        <v>32</v>
      </c>
      <c r="B57" s="507">
        <f ca="1">+VLOOKUP(B56,Recap_cde_P!$C$5:$G$56,5,FALSE)</f>
        <v>621</v>
      </c>
      <c r="C57" s="507">
        <f ca="1">+VLOOKUP(C56,Recap_cde_P!$C$5:$G$56,5,FALSE)</f>
        <v>535</v>
      </c>
      <c r="D57" s="507">
        <f ca="1">+VLOOKUP(D56,Recap_cde_P!$C$5:$G$56,5,FALSE)</f>
        <v>639</v>
      </c>
      <c r="E57" s="507">
        <f ca="1">+VLOOKUP(E56,Recap_cde_P!$C$5:$G$56,5,FALSE)</f>
        <v>719</v>
      </c>
      <c r="F57" s="507"/>
      <c r="G57" s="139"/>
      <c r="H57" s="506" t="s">
        <v>38</v>
      </c>
      <c r="I57" s="507">
        <f ca="1">+VLOOKUP(I56,Recap_cde_P!$C$5:$H$56,6,FALSE)</f>
        <v>273</v>
      </c>
      <c r="J57" s="507">
        <f ca="1">+VLOOKUP(J56,Recap_cde_P!$C$5:$H$56,6,FALSE)</f>
        <v>228</v>
      </c>
      <c r="K57" s="507">
        <f ca="1">+VLOOKUP(K56,Recap_cde_P!$C$5:$H$56,6,FALSE)</f>
        <v>367</v>
      </c>
      <c r="L57" s="507">
        <f ca="1">+VLOOKUP(L56,Recap_cde_P!$C$5:$H$56,6,FALSE)</f>
        <v>515</v>
      </c>
      <c r="M57" s="507"/>
      <c r="N57" s="140"/>
      <c r="O57" s="506" t="s">
        <v>33</v>
      </c>
      <c r="P57" s="507">
        <f ca="1">+VLOOKUP(P56,Recap_cde_P!$C$5:$I$56,7,FALSE)</f>
        <v>85</v>
      </c>
      <c r="Q57" s="507">
        <f ca="1">+VLOOKUP(Q56,Recap_cde_P!$C$5:$I$56,7,FALSE)</f>
        <v>141</v>
      </c>
      <c r="R57" s="507">
        <f ca="1">+VLOOKUP(R56,Recap_cde_P!$C$5:$I$56,7,FALSE)</f>
        <v>40</v>
      </c>
      <c r="S57" s="507">
        <f ca="1">+VLOOKUP(S56,Recap_cde_P!$C$5:$I$56,7,FALSE)</f>
        <v>131</v>
      </c>
      <c r="T57" s="507"/>
      <c r="U57" s="140"/>
      <c r="V57" s="508" t="s">
        <v>39</v>
      </c>
      <c r="W57" s="507">
        <f ca="1">+VLOOKUP(W56,Recap_cde_P!$C$5:$J$56,8,FALSE)</f>
        <v>172</v>
      </c>
      <c r="X57" s="507">
        <f ca="1">+VLOOKUP(X56,Recap_cde_P!$C$5:$J$56,8,FALSE)</f>
        <v>394</v>
      </c>
      <c r="Y57" s="507">
        <f ca="1">+VLOOKUP(Y56,Recap_cde_P!$C$5:$J$56,8,FALSE)</f>
        <v>216</v>
      </c>
      <c r="Z57" s="507">
        <f ca="1">+VLOOKUP(Z56,Recap_cde_P!$C$5:$J$56,8,FALSE)</f>
        <v>241</v>
      </c>
      <c r="AA57" s="507"/>
      <c r="AB57" s="140"/>
      <c r="AC57" s="512" t="s">
        <v>37</v>
      </c>
      <c r="AD57" s="511">
        <f ca="1">SUM(B57,I57,P57,W57)</f>
        <v>1151</v>
      </c>
      <c r="AE57" s="511">
        <f t="shared" ref="AE57:AH57" ca="1" si="8">SUM(C57,J57,Q57,X57)</f>
        <v>1298</v>
      </c>
      <c r="AF57" s="511">
        <f t="shared" ca="1" si="8"/>
        <v>1262</v>
      </c>
      <c r="AG57" s="511">
        <f t="shared" ca="1" si="8"/>
        <v>1606</v>
      </c>
      <c r="AH57" s="511">
        <f t="shared" si="8"/>
        <v>0</v>
      </c>
      <c r="AK57" s="131" t="s">
        <v>32</v>
      </c>
      <c r="AL57" s="134">
        <f>[1]pvc!$D$250+[1]pvc!$H$250+[1]pvc!$J$250</f>
        <v>2241</v>
      </c>
      <c r="AM57" s="134">
        <f>[1]pvc!$P$250+[1]pvc!$T$250+[1]pvc!$V$250</f>
        <v>1903</v>
      </c>
      <c r="AN57" s="134">
        <f>[1]pvc!$AB$250+[1]pvc!$AF$250+[1]pvc!$AH$250</f>
        <v>2222</v>
      </c>
      <c r="AO57" s="134">
        <f>[1]pvc!$AN$250+[1]pvc!$AR$250+[1]pvc!$AT$250</f>
        <v>2304</v>
      </c>
      <c r="AP57" s="134">
        <f>[1]pvc!$AZ$250+[1]pvc!$BD$250+[1]pvc!$BF$250</f>
        <v>2110</v>
      </c>
      <c r="AQ57" s="134">
        <f>[1]pvc!$BL$250+[1]pvc!$BP$250+[1]pvc!$BR$250</f>
        <v>2422</v>
      </c>
      <c r="AR57" s="134">
        <f>[1]pvc!$BX$250+[1]pvc!$CB$250+[1]pvc!$CD$250</f>
        <v>2176</v>
      </c>
      <c r="AS57" s="134">
        <f>[1]pvc!$CJ$250+[1]pvc!$CN$250+[1]pvc!$CP$250</f>
        <v>620</v>
      </c>
      <c r="AT57" s="134">
        <f>[1]pvc!$CV$250+[1]pvc!$CZ$250+[1]pvc!$DB$250</f>
        <v>2943</v>
      </c>
      <c r="AU57" s="134">
        <f>[1]pvc!$DH$250+[1]pvc!$DL$250+[1]pvc!$DN$250</f>
        <v>2779</v>
      </c>
      <c r="AV57" s="134">
        <f>[1]pvc!$DT$250+[1]pvc!$DX$250+[1]pvc!$DZ$250</f>
        <v>2457</v>
      </c>
      <c r="AW57" s="134">
        <f>[1]pvc!$EF$250+[1]pvc!$EJ$250+[1]pvc!$EL$250</f>
        <v>1674</v>
      </c>
    </row>
    <row r="58" spans="1:49" s="91" customFormat="1" ht="16.5" customHeight="1" x14ac:dyDescent="0.25">
      <c r="A58" s="506"/>
      <c r="B58" s="507"/>
      <c r="C58" s="507"/>
      <c r="D58" s="507"/>
      <c r="E58" s="507"/>
      <c r="F58" s="507"/>
      <c r="G58" s="139"/>
      <c r="H58" s="506"/>
      <c r="I58" s="507"/>
      <c r="J58" s="507"/>
      <c r="K58" s="507"/>
      <c r="L58" s="507"/>
      <c r="M58" s="507"/>
      <c r="N58" s="141"/>
      <c r="O58" s="506"/>
      <c r="P58" s="507"/>
      <c r="Q58" s="507"/>
      <c r="R58" s="507"/>
      <c r="S58" s="507"/>
      <c r="T58" s="507"/>
      <c r="U58" s="141"/>
      <c r="V58" s="509"/>
      <c r="W58" s="507"/>
      <c r="X58" s="507"/>
      <c r="Y58" s="507"/>
      <c r="Z58" s="507"/>
      <c r="AA58" s="507"/>
      <c r="AB58" s="141"/>
      <c r="AC58" s="512"/>
      <c r="AD58" s="511"/>
      <c r="AE58" s="511"/>
      <c r="AF58" s="511"/>
      <c r="AG58" s="511"/>
      <c r="AH58" s="511"/>
      <c r="AK58" s="132" t="s">
        <v>33</v>
      </c>
      <c r="AL58" s="135">
        <f>[1]pvc!$G$250</f>
        <v>344</v>
      </c>
      <c r="AM58" s="135">
        <f>[1]pvc!$S$250</f>
        <v>294</v>
      </c>
      <c r="AN58" s="135">
        <f>[1]pvc!$AE$250</f>
        <v>665</v>
      </c>
      <c r="AO58" s="135">
        <f>[1]pvc!$AQ$250</f>
        <v>788</v>
      </c>
      <c r="AP58" s="135">
        <f>[1]pvc!$BC$250</f>
        <v>492</v>
      </c>
      <c r="AQ58" s="135">
        <f>[1]pvc!$BO$250</f>
        <v>381</v>
      </c>
      <c r="AR58" s="135">
        <f>[1]pvc!$CA$250</f>
        <v>595</v>
      </c>
      <c r="AS58" s="135">
        <f>[1]pvc!$CM$250</f>
        <v>114</v>
      </c>
      <c r="AT58" s="135">
        <f>[1]pvc!$CY$250</f>
        <v>537</v>
      </c>
      <c r="AU58" s="135">
        <f>[1]pvc!$DK$250</f>
        <v>962</v>
      </c>
      <c r="AV58" s="135">
        <f>[1]pvc!$DW$250</f>
        <v>501</v>
      </c>
      <c r="AW58" s="135">
        <f>[1]pvc!$EI$250</f>
        <v>400</v>
      </c>
    </row>
    <row r="59" spans="1:49" s="2" customFormat="1" ht="16.5" customHeight="1" x14ac:dyDescent="0.25">
      <c r="A59" s="510" t="s">
        <v>31</v>
      </c>
      <c r="B59" s="507">
        <f ca="1">+B57</f>
        <v>621</v>
      </c>
      <c r="C59" s="507">
        <f ca="1">+B59+C57</f>
        <v>1156</v>
      </c>
      <c r="D59" s="507">
        <f t="shared" ref="D59:E59" ca="1" si="9">+C59+D57</f>
        <v>1795</v>
      </c>
      <c r="E59" s="507">
        <f t="shared" ca="1" si="9"/>
        <v>2514</v>
      </c>
      <c r="F59" s="507"/>
      <c r="G59" s="139"/>
      <c r="H59" s="506" t="s">
        <v>31</v>
      </c>
      <c r="I59" s="507">
        <f ca="1">+I57</f>
        <v>273</v>
      </c>
      <c r="J59" s="507">
        <f ca="1">+I59+J57</f>
        <v>501</v>
      </c>
      <c r="K59" s="507">
        <f t="shared" ref="K59:L59" ca="1" si="10">+J59+K57</f>
        <v>868</v>
      </c>
      <c r="L59" s="507">
        <f t="shared" ca="1" si="10"/>
        <v>1383</v>
      </c>
      <c r="M59" s="507"/>
      <c r="N59" s="141"/>
      <c r="O59" s="506" t="s">
        <v>31</v>
      </c>
      <c r="P59" s="507">
        <f ca="1">+P57</f>
        <v>85</v>
      </c>
      <c r="Q59" s="507">
        <f ca="1">+P59+Q57</f>
        <v>226</v>
      </c>
      <c r="R59" s="507">
        <f t="shared" ref="R59:S59" ca="1" si="11">+Q59+R57</f>
        <v>266</v>
      </c>
      <c r="S59" s="507">
        <f t="shared" ca="1" si="11"/>
        <v>397</v>
      </c>
      <c r="T59" s="507"/>
      <c r="U59" s="141"/>
      <c r="V59" s="508" t="s">
        <v>31</v>
      </c>
      <c r="W59" s="507">
        <f ca="1">+W57</f>
        <v>172</v>
      </c>
      <c r="X59" s="507">
        <f ca="1">+W59+X57</f>
        <v>566</v>
      </c>
      <c r="Y59" s="507">
        <f t="shared" ref="Y59:Z59" ca="1" si="12">+X59+Y57</f>
        <v>782</v>
      </c>
      <c r="Z59" s="507">
        <f t="shared" ca="1" si="12"/>
        <v>1023</v>
      </c>
      <c r="AA59" s="507"/>
      <c r="AB59" s="141"/>
      <c r="AC59" s="512"/>
      <c r="AD59" s="513">
        <f ca="1">+AD57</f>
        <v>1151</v>
      </c>
      <c r="AE59" s="513">
        <f ca="1">+AD59+AE57</f>
        <v>2449</v>
      </c>
      <c r="AF59" s="513">
        <f t="shared" ref="AF59:AG59" ca="1" si="13">+AE59+AF57</f>
        <v>3711</v>
      </c>
      <c r="AG59" s="513">
        <f t="shared" ca="1" si="13"/>
        <v>5317</v>
      </c>
      <c r="AH59" s="513">
        <f>SUM(F57,M57,T57,AA57,AH57)</f>
        <v>0</v>
      </c>
      <c r="AK59" s="133" t="s">
        <v>34</v>
      </c>
      <c r="AL59" s="136">
        <f>[1]pvc!$I$250+[1]pvc!$K$250+[1]pvc!$L$250</f>
        <v>826</v>
      </c>
      <c r="AM59" s="136">
        <f>[1]pvc!$U$250+[1]pvc!$W$250+[1]pvc!$X$250</f>
        <v>835</v>
      </c>
      <c r="AN59" s="136">
        <f>[1]pvc!$AG$250+[1]pvc!$AI$250+[1]pvc!$AJ$250</f>
        <v>895</v>
      </c>
      <c r="AO59" s="136">
        <f>[1]pvc!$AS$250+[1]pvc!$AU$250+[1]pvc!$AV$250</f>
        <v>948</v>
      </c>
      <c r="AP59" s="136">
        <f>[1]pvc!$BE$250+[1]pvc!$BG$250+[1]pvc!$BH$250</f>
        <v>999</v>
      </c>
      <c r="AQ59" s="136">
        <f>[1]pvc!$BQ$250+[1]pvc!$BS$250+[1]pvc!$BT$250</f>
        <v>801</v>
      </c>
      <c r="AR59" s="136">
        <f>[1]pvc!$CC$250+[1]pvc!$CE$250+[1]pvc!$CF$250</f>
        <v>857</v>
      </c>
      <c r="AS59" s="136">
        <f>[1]pvc!$CO$250+[1]pvc!$CQ$250+[1]pvc!$CR$250</f>
        <v>62</v>
      </c>
      <c r="AT59" s="136">
        <f>[1]pvc!$DA$250+[1]pvc!$DC$250+[1]pvc!$DD$250</f>
        <v>1362</v>
      </c>
      <c r="AU59" s="136">
        <f>[1]pvc!$DM$250+[1]pvc!$DO$250+[1]pvc!$DP$250</f>
        <v>1165</v>
      </c>
      <c r="AV59" s="136">
        <f>[1]pvc!$DY$250+[1]pvc!$EA$250+[1]pvc!$EB$250</f>
        <v>896</v>
      </c>
      <c r="AW59" s="136">
        <f>[1]pvc!$EK$250+[1]pvc!$EM$250+[1]pvc!$EN$250</f>
        <v>666</v>
      </c>
    </row>
    <row r="60" spans="1:49" s="2" customFormat="1" ht="16.5" customHeight="1" x14ac:dyDescent="0.25">
      <c r="A60" s="510"/>
      <c r="B60" s="507"/>
      <c r="C60" s="507"/>
      <c r="D60" s="507"/>
      <c r="E60" s="507"/>
      <c r="F60" s="507"/>
      <c r="G60" s="139"/>
      <c r="H60" s="506"/>
      <c r="I60" s="507"/>
      <c r="J60" s="507"/>
      <c r="K60" s="507"/>
      <c r="L60" s="507"/>
      <c r="M60" s="507"/>
      <c r="N60" s="141"/>
      <c r="O60" s="506"/>
      <c r="P60" s="507"/>
      <c r="Q60" s="507"/>
      <c r="R60" s="507"/>
      <c r="S60" s="507"/>
      <c r="T60" s="507"/>
      <c r="U60" s="141"/>
      <c r="V60" s="509"/>
      <c r="W60" s="507"/>
      <c r="X60" s="507"/>
      <c r="Y60" s="507"/>
      <c r="Z60" s="507"/>
      <c r="AA60" s="507"/>
      <c r="AB60" s="141"/>
      <c r="AC60" s="512"/>
      <c r="AD60" s="513"/>
      <c r="AE60" s="513"/>
      <c r="AF60" s="513"/>
      <c r="AG60" s="513"/>
      <c r="AH60" s="513"/>
      <c r="AK60" s="132" t="s">
        <v>35</v>
      </c>
      <c r="AL60" s="135">
        <f>[1]pvc!$E$250+[1]pvc!$F$250</f>
        <v>1499</v>
      </c>
      <c r="AM60" s="135">
        <f>[1]pvc!$Q$250+[1]pvc!$R$250</f>
        <v>1905</v>
      </c>
      <c r="AN60" s="135">
        <f>[1]pvc!$AC$250+[1]pvc!$AD$250</f>
        <v>1753</v>
      </c>
      <c r="AO60" s="135">
        <f>[1]pvc!$AO$250+[1]pvc!$AP$250</f>
        <v>1833</v>
      </c>
      <c r="AP60" s="135">
        <f>[1]pvc!$BA$250+[1]pvc!$BB$250</f>
        <v>1439</v>
      </c>
      <c r="AQ60" s="135">
        <f>[1]pvc!$BM$250+[1]pvc!$BN$250</f>
        <v>1543</v>
      </c>
      <c r="AR60" s="135">
        <f>[1]pvc!$BY$250+[1]pvc!$BZ$250</f>
        <v>1498</v>
      </c>
      <c r="AS60" s="135">
        <f>[1]pvc!$CK$250+[1]pvc!$CL$250</f>
        <v>409</v>
      </c>
      <c r="AT60" s="135">
        <f>[1]pvc!$CW$250+[1]pvc!$CX$250</f>
        <v>1366</v>
      </c>
      <c r="AU60" s="135">
        <f>[1]pvc!$DI$250+[1]pvc!$DJ$250</f>
        <v>1587</v>
      </c>
      <c r="AV60" s="135">
        <f>[1]pvc!$DU$250+[1]pvc!$DV$250</f>
        <v>1351</v>
      </c>
      <c r="AW60" s="135">
        <f>[1]pvc!$EG$250+[1]pvc!$EH$250</f>
        <v>1004</v>
      </c>
    </row>
    <row r="61" spans="1:49" s="2" customFormat="1" ht="16.5" customHeight="1" x14ac:dyDescent="0.25">
      <c r="A61" s="146"/>
      <c r="B61" s="113"/>
      <c r="C61" s="113"/>
      <c r="D61" s="113"/>
      <c r="E61" s="113"/>
      <c r="F61" s="113"/>
      <c r="G61" s="112"/>
      <c r="H61" s="146"/>
      <c r="I61" s="113"/>
      <c r="J61" s="113"/>
      <c r="K61" s="113"/>
      <c r="L61" s="113"/>
      <c r="M61" s="113"/>
      <c r="O61" s="146"/>
      <c r="P61" s="113"/>
      <c r="Q61" s="113"/>
      <c r="R61" s="113"/>
      <c r="S61" s="113"/>
      <c r="T61" s="113"/>
      <c r="V61" s="146"/>
      <c r="W61" s="113"/>
      <c r="X61" s="113"/>
      <c r="Y61" s="113"/>
      <c r="Z61" s="113"/>
      <c r="AA61" s="113"/>
      <c r="AC61" s="146"/>
      <c r="AD61" s="113"/>
      <c r="AE61" s="113"/>
      <c r="AF61" s="113"/>
      <c r="AG61" s="113"/>
      <c r="AH61" s="113"/>
      <c r="AK61" s="132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</row>
    <row r="62" spans="1:49" s="2" customFormat="1" ht="20.100000000000001" customHeight="1" x14ac:dyDescent="0.25">
      <c r="A62" s="146"/>
      <c r="B62" s="102"/>
      <c r="C62" s="102"/>
      <c r="D62" s="102"/>
      <c r="E62" s="102"/>
      <c r="F62" s="102"/>
      <c r="G62" s="139"/>
      <c r="H62" s="151"/>
      <c r="I62" s="102"/>
      <c r="J62" s="102"/>
      <c r="K62" s="102"/>
      <c r="L62" s="102"/>
      <c r="M62" s="102"/>
      <c r="N62" s="140"/>
      <c r="V62" s="146"/>
      <c r="W62" s="113"/>
      <c r="X62" s="113"/>
      <c r="Y62" s="113"/>
      <c r="Z62" s="113"/>
      <c r="AA62" s="113"/>
      <c r="AK62" s="137">
        <f>SUM(AL62:AW62)</f>
        <v>59423</v>
      </c>
      <c r="AL62" s="135">
        <f>SUM(AL57:AL61)</f>
        <v>4910</v>
      </c>
      <c r="AM62" s="135">
        <f t="shared" ref="AM62:AW62" si="14">SUM(AM57:AM61)</f>
        <v>4937</v>
      </c>
      <c r="AN62" s="135">
        <f t="shared" si="14"/>
        <v>5535</v>
      </c>
      <c r="AO62" s="135">
        <f t="shared" si="14"/>
        <v>5873</v>
      </c>
      <c r="AP62" s="135">
        <f t="shared" si="14"/>
        <v>5040</v>
      </c>
      <c r="AQ62" s="135">
        <f t="shared" si="14"/>
        <v>5147</v>
      </c>
      <c r="AR62" s="135">
        <f t="shared" si="14"/>
        <v>5126</v>
      </c>
      <c r="AS62" s="135">
        <f t="shared" si="14"/>
        <v>1205</v>
      </c>
      <c r="AT62" s="135">
        <f t="shared" si="14"/>
        <v>6208</v>
      </c>
      <c r="AU62" s="135">
        <f t="shared" si="14"/>
        <v>6493</v>
      </c>
      <c r="AV62" s="135">
        <f t="shared" si="14"/>
        <v>5205</v>
      </c>
      <c r="AW62" s="135">
        <f t="shared" si="14"/>
        <v>3744</v>
      </c>
    </row>
    <row r="63" spans="1:49" s="2" customFormat="1" ht="20.100000000000001" customHeight="1" x14ac:dyDescent="0.25">
      <c r="A63" s="146"/>
      <c r="B63" s="102"/>
      <c r="C63" s="102"/>
      <c r="D63" s="102"/>
      <c r="E63" s="102"/>
      <c r="F63" s="102"/>
      <c r="G63" s="139"/>
      <c r="H63" s="151"/>
      <c r="I63" s="102"/>
      <c r="J63" s="102"/>
      <c r="K63" s="102"/>
      <c r="L63" s="102"/>
      <c r="M63" s="102"/>
      <c r="N63" s="141"/>
      <c r="V63" s="146"/>
      <c r="W63" s="113"/>
      <c r="X63" s="113"/>
      <c r="Y63" s="113"/>
      <c r="Z63" s="113"/>
      <c r="AA63" s="113"/>
      <c r="AK63" s="90"/>
      <c r="AL63" s="96" t="s">
        <v>0</v>
      </c>
      <c r="AM63" s="96" t="s">
        <v>1</v>
      </c>
      <c r="AN63" s="96" t="s">
        <v>2</v>
      </c>
      <c r="AO63" s="96" t="s">
        <v>3</v>
      </c>
      <c r="AP63" s="96" t="s">
        <v>2</v>
      </c>
      <c r="AQ63" s="96" t="s">
        <v>0</v>
      </c>
      <c r="AR63" s="96" t="s">
        <v>0</v>
      </c>
      <c r="AS63" s="96" t="s">
        <v>3</v>
      </c>
      <c r="AT63" s="96" t="s">
        <v>4</v>
      </c>
      <c r="AU63" s="96" t="s">
        <v>5</v>
      </c>
      <c r="AV63" s="96" t="s">
        <v>6</v>
      </c>
      <c r="AW63" s="96" t="s">
        <v>7</v>
      </c>
    </row>
    <row r="66" spans="1:34" x14ac:dyDescent="0.35">
      <c r="I66" s="18"/>
      <c r="J66" s="18"/>
      <c r="K66" s="18"/>
      <c r="L66" s="18"/>
      <c r="M66" s="18"/>
      <c r="P66" s="18"/>
      <c r="Q66" s="18"/>
      <c r="R66" s="18"/>
      <c r="S66" s="18"/>
      <c r="T66" s="18"/>
      <c r="W66" s="18"/>
      <c r="X66" s="18"/>
      <c r="Y66" s="18"/>
      <c r="Z66" s="18"/>
      <c r="AA66" s="18"/>
      <c r="AD66" s="18"/>
      <c r="AE66" s="18"/>
      <c r="AF66" s="18"/>
      <c r="AG66" s="18"/>
      <c r="AH66" s="18"/>
    </row>
    <row r="77" spans="1:34" ht="15.95" customHeight="1" x14ac:dyDescent="0.25">
      <c r="A77" s="48"/>
      <c r="B77" s="48"/>
      <c r="C77" s="48"/>
      <c r="D77" s="48"/>
      <c r="E77" s="48"/>
      <c r="F77" s="48"/>
      <c r="G77" s="62"/>
      <c r="H77" s="148"/>
      <c r="I77" s="48"/>
      <c r="J77" s="48"/>
      <c r="K77" s="48"/>
      <c r="L77" s="48"/>
      <c r="M77" s="48"/>
      <c r="N77" s="48"/>
      <c r="O77" s="148"/>
      <c r="P77" s="48"/>
      <c r="Q77" s="48"/>
      <c r="R77" s="48"/>
      <c r="S77" s="48"/>
      <c r="T77" s="48"/>
      <c r="U77" s="48"/>
      <c r="V77" s="148"/>
      <c r="W77" s="48"/>
      <c r="X77" s="48"/>
      <c r="Y77" s="48"/>
      <c r="Z77" s="48"/>
      <c r="AA77" s="48"/>
      <c r="AB77" s="48"/>
      <c r="AC77" s="148"/>
      <c r="AD77" s="48"/>
      <c r="AE77" s="48"/>
      <c r="AF77" s="48"/>
      <c r="AG77" s="48"/>
      <c r="AH77" s="48"/>
    </row>
    <row r="78" spans="1:34" ht="15.95" customHeight="1" x14ac:dyDescent="0.25">
      <c r="A78" s="418" t="s">
        <v>19</v>
      </c>
      <c r="B78" s="418"/>
      <c r="C78" s="418"/>
      <c r="D78" s="418"/>
      <c r="E78" s="418"/>
      <c r="F78" s="418"/>
      <c r="G78" s="464" t="s">
        <v>240</v>
      </c>
      <c r="H78" s="464"/>
      <c r="I78" s="464"/>
      <c r="J78" s="464"/>
      <c r="K78" s="464"/>
      <c r="L78" s="464"/>
      <c r="M78" s="464"/>
      <c r="N78" s="464"/>
      <c r="O78" s="464"/>
      <c r="P78" s="57"/>
      <c r="Q78" s="57"/>
      <c r="R78" s="57"/>
      <c r="S78" s="57"/>
      <c r="T78" s="57"/>
      <c r="U78" s="57"/>
      <c r="V78" s="150"/>
      <c r="W78" s="57"/>
      <c r="X78" s="57"/>
      <c r="Y78" s="57"/>
      <c r="Z78" s="57"/>
      <c r="AA78" s="57"/>
      <c r="AB78" s="57"/>
      <c r="AC78" s="150"/>
      <c r="AD78" s="57"/>
      <c r="AE78" s="57"/>
      <c r="AF78" s="57"/>
      <c r="AG78" s="57"/>
      <c r="AH78" s="57"/>
    </row>
    <row r="79" spans="1:34" ht="15.95" customHeight="1" x14ac:dyDescent="0.25">
      <c r="A79" s="418"/>
      <c r="B79" s="418"/>
      <c r="C79" s="418"/>
      <c r="D79" s="418"/>
      <c r="E79" s="418"/>
      <c r="F79" s="418"/>
      <c r="G79" s="464"/>
      <c r="H79" s="464"/>
      <c r="I79" s="464"/>
      <c r="J79" s="464"/>
      <c r="K79" s="464"/>
      <c r="L79" s="464"/>
      <c r="M79" s="464"/>
      <c r="N79" s="464"/>
      <c r="O79" s="464"/>
      <c r="P79" s="57"/>
      <c r="Q79" s="57"/>
      <c r="R79" s="57"/>
      <c r="S79" s="57"/>
      <c r="T79" s="57"/>
      <c r="U79" s="57"/>
      <c r="V79" s="150"/>
      <c r="W79" s="57"/>
      <c r="X79" s="57"/>
      <c r="Y79" s="57"/>
      <c r="Z79" s="57"/>
      <c r="AA79" s="57"/>
      <c r="AB79" s="57"/>
      <c r="AC79" s="150"/>
      <c r="AD79" s="57"/>
      <c r="AE79" s="57"/>
      <c r="AF79" s="57"/>
      <c r="AG79" s="57"/>
      <c r="AH79" s="57"/>
    </row>
    <row r="80" spans="1:34" ht="15.95" customHeight="1" x14ac:dyDescent="0.25">
      <c r="A80" s="418"/>
      <c r="B80" s="418"/>
      <c r="C80" s="418"/>
      <c r="D80" s="418"/>
      <c r="E80" s="418"/>
      <c r="F80" s="418"/>
      <c r="G80" s="464"/>
      <c r="H80" s="464"/>
      <c r="I80" s="464"/>
      <c r="J80" s="464"/>
      <c r="K80" s="464"/>
      <c r="L80" s="464"/>
      <c r="M80" s="464"/>
      <c r="N80" s="464"/>
      <c r="O80" s="464"/>
      <c r="P80" s="57"/>
      <c r="Q80" s="57"/>
      <c r="R80" s="57"/>
      <c r="S80" s="57"/>
      <c r="T80" s="57"/>
      <c r="U80" s="57"/>
      <c r="V80" s="150"/>
      <c r="W80" s="57"/>
      <c r="X80" s="57"/>
      <c r="Y80" s="57"/>
      <c r="Z80" s="57"/>
      <c r="AA80" s="57"/>
      <c r="AB80" s="57"/>
      <c r="AC80" s="150"/>
      <c r="AD80" s="57"/>
      <c r="AE80" s="57"/>
      <c r="AF80" s="57"/>
      <c r="AG80" s="57"/>
      <c r="AH80" s="57"/>
    </row>
    <row r="81" spans="1:34" ht="15.95" customHeight="1" x14ac:dyDescent="0.25">
      <c r="A81" s="50"/>
      <c r="B81" s="50"/>
      <c r="C81" s="50"/>
      <c r="D81" s="50"/>
      <c r="E81" s="50"/>
      <c r="F81" s="50"/>
      <c r="G81" s="61"/>
      <c r="H81" s="149"/>
      <c r="I81" s="50"/>
      <c r="J81" s="50"/>
      <c r="K81" s="50"/>
      <c r="L81" s="50"/>
      <c r="M81" s="50"/>
      <c r="N81" s="50"/>
      <c r="O81" s="149"/>
      <c r="P81" s="50"/>
      <c r="Q81" s="50"/>
      <c r="R81" s="50"/>
      <c r="S81" s="50"/>
      <c r="T81" s="50"/>
      <c r="U81" s="50"/>
      <c r="V81" s="149"/>
      <c r="W81" s="50"/>
      <c r="X81" s="50"/>
      <c r="Y81" s="50"/>
      <c r="Z81" s="50"/>
      <c r="AA81" s="50"/>
      <c r="AB81" s="50"/>
      <c r="AC81" s="149"/>
      <c r="AD81" s="50"/>
      <c r="AE81" s="50"/>
      <c r="AF81" s="50"/>
      <c r="AG81" s="50"/>
      <c r="AH81" s="50"/>
    </row>
    <row r="82" spans="1:34" ht="16.5" customHeight="1" x14ac:dyDescent="0.35">
      <c r="B82" s="4"/>
    </row>
  </sheetData>
  <mergeCells count="238">
    <mergeCell ref="H10:H11"/>
    <mergeCell ref="H16:H17"/>
    <mergeCell ref="O10:O11"/>
    <mergeCell ref="O16:O17"/>
    <mergeCell ref="AH59:AH60"/>
    <mergeCell ref="AH57:AH58"/>
    <mergeCell ref="AD59:AD60"/>
    <mergeCell ref="AF57:AF58"/>
    <mergeCell ref="A1:AD5"/>
    <mergeCell ref="A7:AH7"/>
    <mergeCell ref="A16:A17"/>
    <mergeCell ref="A10:A11"/>
    <mergeCell ref="A12:A13"/>
    <mergeCell ref="H12:H13"/>
    <mergeCell ref="N12:N13"/>
    <mergeCell ref="O12:O13"/>
    <mergeCell ref="U12:U13"/>
    <mergeCell ref="V12:V13"/>
    <mergeCell ref="AB12:AB13"/>
    <mergeCell ref="AC12:AC13"/>
    <mergeCell ref="A14:A15"/>
    <mergeCell ref="H14:H15"/>
    <mergeCell ref="N14:N15"/>
    <mergeCell ref="O14:O15"/>
    <mergeCell ref="U14:U15"/>
    <mergeCell ref="V14:V15"/>
    <mergeCell ref="AB14:AB15"/>
    <mergeCell ref="AC14:AC15"/>
    <mergeCell ref="AE57:AE58"/>
    <mergeCell ref="AG57:AG58"/>
    <mergeCell ref="AB48:AB49"/>
    <mergeCell ref="AC48:AC49"/>
    <mergeCell ref="AB50:AB51"/>
    <mergeCell ref="AC50:AC51"/>
    <mergeCell ref="AB52:AB53"/>
    <mergeCell ref="AC52:AC53"/>
    <mergeCell ref="AC57:AC60"/>
    <mergeCell ref="AD57:AD58"/>
    <mergeCell ref="AE59:AE60"/>
    <mergeCell ref="AF59:AF60"/>
    <mergeCell ref="AG59:AG60"/>
    <mergeCell ref="AB42:AB43"/>
    <mergeCell ref="AC42:AC43"/>
    <mergeCell ref="AB44:AB45"/>
    <mergeCell ref="AC44:AC45"/>
    <mergeCell ref="AB46:AB47"/>
    <mergeCell ref="AC46:AC47"/>
    <mergeCell ref="AB36:AB37"/>
    <mergeCell ref="AC36:AC37"/>
    <mergeCell ref="AB38:AB39"/>
    <mergeCell ref="AC38:AC39"/>
    <mergeCell ref="AB40:AB41"/>
    <mergeCell ref="AC40:AC41"/>
    <mergeCell ref="AB30:AB31"/>
    <mergeCell ref="AC30:AC31"/>
    <mergeCell ref="AB32:AB33"/>
    <mergeCell ref="AC32:AC33"/>
    <mergeCell ref="AB34:AB35"/>
    <mergeCell ref="AC34:AC35"/>
    <mergeCell ref="AB24:AB25"/>
    <mergeCell ref="AC24:AC25"/>
    <mergeCell ref="AB26:AB27"/>
    <mergeCell ref="AC26:AC27"/>
    <mergeCell ref="AB28:AB29"/>
    <mergeCell ref="AC28:AC29"/>
    <mergeCell ref="AB18:AB19"/>
    <mergeCell ref="AC18:AC19"/>
    <mergeCell ref="AB20:AB21"/>
    <mergeCell ref="AC20:AC21"/>
    <mergeCell ref="AB22:AB23"/>
    <mergeCell ref="AC22:AC23"/>
    <mergeCell ref="AD9:AH9"/>
    <mergeCell ref="AC10:AC11"/>
    <mergeCell ref="AC16:AC17"/>
    <mergeCell ref="A78:F80"/>
    <mergeCell ref="V59:V60"/>
    <mergeCell ref="W59:W60"/>
    <mergeCell ref="X59:X60"/>
    <mergeCell ref="Z59:Z60"/>
    <mergeCell ref="AA59:AA60"/>
    <mergeCell ref="Y59:Y60"/>
    <mergeCell ref="O59:O60"/>
    <mergeCell ref="P59:P60"/>
    <mergeCell ref="Q59:Q60"/>
    <mergeCell ref="S59:S60"/>
    <mergeCell ref="T59:T60"/>
    <mergeCell ref="R59:R60"/>
    <mergeCell ref="H59:H60"/>
    <mergeCell ref="I59:I60"/>
    <mergeCell ref="J59:J60"/>
    <mergeCell ref="L59:L60"/>
    <mergeCell ref="M59:M60"/>
    <mergeCell ref="K59:K60"/>
    <mergeCell ref="A59:A60"/>
    <mergeCell ref="B59:B60"/>
    <mergeCell ref="C59:C60"/>
    <mergeCell ref="E59:E60"/>
    <mergeCell ref="F59:F60"/>
    <mergeCell ref="D59:D60"/>
    <mergeCell ref="V57:V58"/>
    <mergeCell ref="W57:W58"/>
    <mergeCell ref="X57:X58"/>
    <mergeCell ref="Z57:Z58"/>
    <mergeCell ref="AA57:AA58"/>
    <mergeCell ref="Y57:Y58"/>
    <mergeCell ref="O57:O58"/>
    <mergeCell ref="P57:P58"/>
    <mergeCell ref="Q57:Q58"/>
    <mergeCell ref="S57:S58"/>
    <mergeCell ref="T57:T58"/>
    <mergeCell ref="R57:R58"/>
    <mergeCell ref="H57:H58"/>
    <mergeCell ref="I57:I58"/>
    <mergeCell ref="J57:J58"/>
    <mergeCell ref="L57:L58"/>
    <mergeCell ref="M57:M58"/>
    <mergeCell ref="K57:K58"/>
    <mergeCell ref="A57:A58"/>
    <mergeCell ref="B57:B58"/>
    <mergeCell ref="C57:C58"/>
    <mergeCell ref="E57:E58"/>
    <mergeCell ref="F57:F58"/>
    <mergeCell ref="D57:D58"/>
    <mergeCell ref="A52:A53"/>
    <mergeCell ref="H52:H53"/>
    <mergeCell ref="N52:N53"/>
    <mergeCell ref="O52:O53"/>
    <mergeCell ref="U52:U53"/>
    <mergeCell ref="V52:V53"/>
    <mergeCell ref="A50:A51"/>
    <mergeCell ref="H50:H51"/>
    <mergeCell ref="N50:N51"/>
    <mergeCell ref="O50:O51"/>
    <mergeCell ref="U50:U51"/>
    <mergeCell ref="V50:V51"/>
    <mergeCell ref="A48:A49"/>
    <mergeCell ref="H48:H49"/>
    <mergeCell ref="N48:N49"/>
    <mergeCell ref="O48:O49"/>
    <mergeCell ref="U48:U49"/>
    <mergeCell ref="V48:V49"/>
    <mergeCell ref="A46:A47"/>
    <mergeCell ref="H46:H47"/>
    <mergeCell ref="N46:N47"/>
    <mergeCell ref="O46:O47"/>
    <mergeCell ref="U46:U47"/>
    <mergeCell ref="V46:V47"/>
    <mergeCell ref="A44:A45"/>
    <mergeCell ref="H44:H45"/>
    <mergeCell ref="N44:N45"/>
    <mergeCell ref="O44:O45"/>
    <mergeCell ref="U44:U45"/>
    <mergeCell ref="V44:V45"/>
    <mergeCell ref="A42:A43"/>
    <mergeCell ref="H42:H43"/>
    <mergeCell ref="N42:N43"/>
    <mergeCell ref="O42:O43"/>
    <mergeCell ref="U42:U43"/>
    <mergeCell ref="V42:V43"/>
    <mergeCell ref="A40:A41"/>
    <mergeCell ref="H40:H41"/>
    <mergeCell ref="N40:N41"/>
    <mergeCell ref="O40:O41"/>
    <mergeCell ref="U40:U41"/>
    <mergeCell ref="V40:V41"/>
    <mergeCell ref="A38:A39"/>
    <mergeCell ref="H38:H39"/>
    <mergeCell ref="N38:N39"/>
    <mergeCell ref="O38:O39"/>
    <mergeCell ref="U38:U39"/>
    <mergeCell ref="V38:V39"/>
    <mergeCell ref="A36:A37"/>
    <mergeCell ref="H36:H37"/>
    <mergeCell ref="N36:N37"/>
    <mergeCell ref="O36:O37"/>
    <mergeCell ref="U36:U37"/>
    <mergeCell ref="V36:V37"/>
    <mergeCell ref="A34:A35"/>
    <mergeCell ref="H34:H35"/>
    <mergeCell ref="N34:N35"/>
    <mergeCell ref="O34:O35"/>
    <mergeCell ref="U34:U35"/>
    <mergeCell ref="V34:V35"/>
    <mergeCell ref="A32:A33"/>
    <mergeCell ref="H32:H33"/>
    <mergeCell ref="N32:N33"/>
    <mergeCell ref="O32:O33"/>
    <mergeCell ref="U32:U33"/>
    <mergeCell ref="V32:V33"/>
    <mergeCell ref="A30:A31"/>
    <mergeCell ref="H30:H31"/>
    <mergeCell ref="N30:N31"/>
    <mergeCell ref="O30:O31"/>
    <mergeCell ref="U30:U31"/>
    <mergeCell ref="V30:V31"/>
    <mergeCell ref="A28:A29"/>
    <mergeCell ref="H28:H29"/>
    <mergeCell ref="N28:N29"/>
    <mergeCell ref="O28:O29"/>
    <mergeCell ref="U28:U29"/>
    <mergeCell ref="V28:V29"/>
    <mergeCell ref="V20:V21"/>
    <mergeCell ref="A26:A27"/>
    <mergeCell ref="H26:H27"/>
    <mergeCell ref="N26:N27"/>
    <mergeCell ref="O26:O27"/>
    <mergeCell ref="U26:U27"/>
    <mergeCell ref="V26:V27"/>
    <mergeCell ref="A24:A25"/>
    <mergeCell ref="H24:H25"/>
    <mergeCell ref="N24:N25"/>
    <mergeCell ref="O24:O25"/>
    <mergeCell ref="U24:U25"/>
    <mergeCell ref="V24:V25"/>
    <mergeCell ref="G78:O80"/>
    <mergeCell ref="V9:AA9"/>
    <mergeCell ref="O9:T9"/>
    <mergeCell ref="H9:M9"/>
    <mergeCell ref="A9:F9"/>
    <mergeCell ref="V10:V11"/>
    <mergeCell ref="A18:A19"/>
    <mergeCell ref="H18:H19"/>
    <mergeCell ref="N18:N19"/>
    <mergeCell ref="O18:O19"/>
    <mergeCell ref="U18:U19"/>
    <mergeCell ref="V18:V19"/>
    <mergeCell ref="V16:V17"/>
    <mergeCell ref="A22:A23"/>
    <mergeCell ref="H22:H23"/>
    <mergeCell ref="N22:N23"/>
    <mergeCell ref="O22:O23"/>
    <mergeCell ref="U22:U23"/>
    <mergeCell ref="V22:V23"/>
    <mergeCell ref="A20:A21"/>
    <mergeCell ref="H20:H21"/>
    <mergeCell ref="N20:N21"/>
    <mergeCell ref="O20:O21"/>
    <mergeCell ref="U20:U21"/>
  </mergeCells>
  <printOptions horizontalCentered="1" verticalCentered="1"/>
  <pageMargins left="0.19685039370078741" right="0.19685039370078741" top="0" bottom="0" header="0" footer="0"/>
  <pageSetup paperSize="8" scale="7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2248C2"/>
    <pageSetUpPr fitToPage="1"/>
  </sheetPr>
  <dimension ref="A1:AA168"/>
  <sheetViews>
    <sheetView topLeftCell="A34" zoomScale="57" zoomScaleNormal="57" workbookViewId="0">
      <selection activeCell="D99" sqref="D99"/>
    </sheetView>
  </sheetViews>
  <sheetFormatPr baseColWidth="10" defaultRowHeight="15" x14ac:dyDescent="0.25"/>
  <cols>
    <col min="1" max="1" width="15.28515625" customWidth="1"/>
    <col min="2" max="2" width="14.5703125" customWidth="1"/>
    <col min="3" max="14" width="15.7109375" customWidth="1"/>
    <col min="15" max="24" width="10.7109375" customWidth="1"/>
    <col min="236" max="236" width="4.140625" customWidth="1"/>
    <col min="237" max="237" width="4" customWidth="1"/>
    <col min="238" max="238" width="4.140625" customWidth="1"/>
    <col min="239" max="239" width="3.85546875" customWidth="1"/>
    <col min="240" max="248" width="4.140625" customWidth="1"/>
    <col min="249" max="249" width="3.7109375" customWidth="1"/>
    <col min="250" max="280" width="4.42578125" customWidth="1"/>
    <col min="492" max="492" width="4.140625" customWidth="1"/>
    <col min="493" max="493" width="4" customWidth="1"/>
    <col min="494" max="494" width="4.140625" customWidth="1"/>
    <col min="495" max="495" width="3.85546875" customWidth="1"/>
    <col min="496" max="504" width="4.140625" customWidth="1"/>
    <col min="505" max="505" width="3.7109375" customWidth="1"/>
    <col min="506" max="536" width="4.42578125" customWidth="1"/>
    <col min="748" max="748" width="4.140625" customWidth="1"/>
    <col min="749" max="749" width="4" customWidth="1"/>
    <col min="750" max="750" width="4.140625" customWidth="1"/>
    <col min="751" max="751" width="3.85546875" customWidth="1"/>
    <col min="752" max="760" width="4.140625" customWidth="1"/>
    <col min="761" max="761" width="3.7109375" customWidth="1"/>
    <col min="762" max="792" width="4.42578125" customWidth="1"/>
    <col min="1004" max="1004" width="4.140625" customWidth="1"/>
    <col min="1005" max="1005" width="4" customWidth="1"/>
    <col min="1006" max="1006" width="4.140625" customWidth="1"/>
    <col min="1007" max="1007" width="3.85546875" customWidth="1"/>
    <col min="1008" max="1016" width="4.140625" customWidth="1"/>
    <col min="1017" max="1017" width="3.7109375" customWidth="1"/>
    <col min="1018" max="1048" width="4.42578125" customWidth="1"/>
    <col min="1260" max="1260" width="4.140625" customWidth="1"/>
    <col min="1261" max="1261" width="4" customWidth="1"/>
    <col min="1262" max="1262" width="4.140625" customWidth="1"/>
    <col min="1263" max="1263" width="3.85546875" customWidth="1"/>
    <col min="1264" max="1272" width="4.140625" customWidth="1"/>
    <col min="1273" max="1273" width="3.7109375" customWidth="1"/>
    <col min="1274" max="1304" width="4.42578125" customWidth="1"/>
    <col min="1516" max="1516" width="4.140625" customWidth="1"/>
    <col min="1517" max="1517" width="4" customWidth="1"/>
    <col min="1518" max="1518" width="4.140625" customWidth="1"/>
    <col min="1519" max="1519" width="3.85546875" customWidth="1"/>
    <col min="1520" max="1528" width="4.140625" customWidth="1"/>
    <col min="1529" max="1529" width="3.7109375" customWidth="1"/>
    <col min="1530" max="1560" width="4.42578125" customWidth="1"/>
    <col min="1772" max="1772" width="4.140625" customWidth="1"/>
    <col min="1773" max="1773" width="4" customWidth="1"/>
    <col min="1774" max="1774" width="4.140625" customWidth="1"/>
    <col min="1775" max="1775" width="3.85546875" customWidth="1"/>
    <col min="1776" max="1784" width="4.140625" customWidth="1"/>
    <col min="1785" max="1785" width="3.7109375" customWidth="1"/>
    <col min="1786" max="1816" width="4.42578125" customWidth="1"/>
    <col min="2028" max="2028" width="4.140625" customWidth="1"/>
    <col min="2029" max="2029" width="4" customWidth="1"/>
    <col min="2030" max="2030" width="4.140625" customWidth="1"/>
    <col min="2031" max="2031" width="3.85546875" customWidth="1"/>
    <col min="2032" max="2040" width="4.140625" customWidth="1"/>
    <col min="2041" max="2041" width="3.7109375" customWidth="1"/>
    <col min="2042" max="2072" width="4.42578125" customWidth="1"/>
    <col min="2284" max="2284" width="4.140625" customWidth="1"/>
    <col min="2285" max="2285" width="4" customWidth="1"/>
    <col min="2286" max="2286" width="4.140625" customWidth="1"/>
    <col min="2287" max="2287" width="3.85546875" customWidth="1"/>
    <col min="2288" max="2296" width="4.140625" customWidth="1"/>
    <col min="2297" max="2297" width="3.7109375" customWidth="1"/>
    <col min="2298" max="2328" width="4.42578125" customWidth="1"/>
    <col min="2540" max="2540" width="4.140625" customWidth="1"/>
    <col min="2541" max="2541" width="4" customWidth="1"/>
    <col min="2542" max="2542" width="4.140625" customWidth="1"/>
    <col min="2543" max="2543" width="3.85546875" customWidth="1"/>
    <col min="2544" max="2552" width="4.140625" customWidth="1"/>
    <col min="2553" max="2553" width="3.7109375" customWidth="1"/>
    <col min="2554" max="2584" width="4.42578125" customWidth="1"/>
    <col min="2796" max="2796" width="4.140625" customWidth="1"/>
    <col min="2797" max="2797" width="4" customWidth="1"/>
    <col min="2798" max="2798" width="4.140625" customWidth="1"/>
    <col min="2799" max="2799" width="3.85546875" customWidth="1"/>
    <col min="2800" max="2808" width="4.140625" customWidth="1"/>
    <col min="2809" max="2809" width="3.7109375" customWidth="1"/>
    <col min="2810" max="2840" width="4.42578125" customWidth="1"/>
    <col min="3052" max="3052" width="4.140625" customWidth="1"/>
    <col min="3053" max="3053" width="4" customWidth="1"/>
    <col min="3054" max="3054" width="4.140625" customWidth="1"/>
    <col min="3055" max="3055" width="3.85546875" customWidth="1"/>
    <col min="3056" max="3064" width="4.140625" customWidth="1"/>
    <col min="3065" max="3065" width="3.7109375" customWidth="1"/>
    <col min="3066" max="3096" width="4.42578125" customWidth="1"/>
    <col min="3308" max="3308" width="4.140625" customWidth="1"/>
    <col min="3309" max="3309" width="4" customWidth="1"/>
    <col min="3310" max="3310" width="4.140625" customWidth="1"/>
    <col min="3311" max="3311" width="3.85546875" customWidth="1"/>
    <col min="3312" max="3320" width="4.140625" customWidth="1"/>
    <col min="3321" max="3321" width="3.7109375" customWidth="1"/>
    <col min="3322" max="3352" width="4.42578125" customWidth="1"/>
    <col min="3564" max="3564" width="4.140625" customWidth="1"/>
    <col min="3565" max="3565" width="4" customWidth="1"/>
    <col min="3566" max="3566" width="4.140625" customWidth="1"/>
    <col min="3567" max="3567" width="3.85546875" customWidth="1"/>
    <col min="3568" max="3576" width="4.140625" customWidth="1"/>
    <col min="3577" max="3577" width="3.7109375" customWidth="1"/>
    <col min="3578" max="3608" width="4.42578125" customWidth="1"/>
    <col min="3820" max="3820" width="4.140625" customWidth="1"/>
    <col min="3821" max="3821" width="4" customWidth="1"/>
    <col min="3822" max="3822" width="4.140625" customWidth="1"/>
    <col min="3823" max="3823" width="3.85546875" customWidth="1"/>
    <col min="3824" max="3832" width="4.140625" customWidth="1"/>
    <col min="3833" max="3833" width="3.7109375" customWidth="1"/>
    <col min="3834" max="3864" width="4.42578125" customWidth="1"/>
    <col min="4076" max="4076" width="4.140625" customWidth="1"/>
    <col min="4077" max="4077" width="4" customWidth="1"/>
    <col min="4078" max="4078" width="4.140625" customWidth="1"/>
    <col min="4079" max="4079" width="3.85546875" customWidth="1"/>
    <col min="4080" max="4088" width="4.140625" customWidth="1"/>
    <col min="4089" max="4089" width="3.7109375" customWidth="1"/>
    <col min="4090" max="4120" width="4.42578125" customWidth="1"/>
    <col min="4332" max="4332" width="4.140625" customWidth="1"/>
    <col min="4333" max="4333" width="4" customWidth="1"/>
    <col min="4334" max="4334" width="4.140625" customWidth="1"/>
    <col min="4335" max="4335" width="3.85546875" customWidth="1"/>
    <col min="4336" max="4344" width="4.140625" customWidth="1"/>
    <col min="4345" max="4345" width="3.7109375" customWidth="1"/>
    <col min="4346" max="4376" width="4.42578125" customWidth="1"/>
    <col min="4588" max="4588" width="4.140625" customWidth="1"/>
    <col min="4589" max="4589" width="4" customWidth="1"/>
    <col min="4590" max="4590" width="4.140625" customWidth="1"/>
    <col min="4591" max="4591" width="3.85546875" customWidth="1"/>
    <col min="4592" max="4600" width="4.140625" customWidth="1"/>
    <col min="4601" max="4601" width="3.7109375" customWidth="1"/>
    <col min="4602" max="4632" width="4.42578125" customWidth="1"/>
    <col min="4844" max="4844" width="4.140625" customWidth="1"/>
    <col min="4845" max="4845" width="4" customWidth="1"/>
    <col min="4846" max="4846" width="4.140625" customWidth="1"/>
    <col min="4847" max="4847" width="3.85546875" customWidth="1"/>
    <col min="4848" max="4856" width="4.140625" customWidth="1"/>
    <col min="4857" max="4857" width="3.7109375" customWidth="1"/>
    <col min="4858" max="4888" width="4.42578125" customWidth="1"/>
    <col min="5100" max="5100" width="4.140625" customWidth="1"/>
    <col min="5101" max="5101" width="4" customWidth="1"/>
    <col min="5102" max="5102" width="4.140625" customWidth="1"/>
    <col min="5103" max="5103" width="3.85546875" customWidth="1"/>
    <col min="5104" max="5112" width="4.140625" customWidth="1"/>
    <col min="5113" max="5113" width="3.7109375" customWidth="1"/>
    <col min="5114" max="5144" width="4.42578125" customWidth="1"/>
    <col min="5356" max="5356" width="4.140625" customWidth="1"/>
    <col min="5357" max="5357" width="4" customWidth="1"/>
    <col min="5358" max="5358" width="4.140625" customWidth="1"/>
    <col min="5359" max="5359" width="3.85546875" customWidth="1"/>
    <col min="5360" max="5368" width="4.140625" customWidth="1"/>
    <col min="5369" max="5369" width="3.7109375" customWidth="1"/>
    <col min="5370" max="5400" width="4.42578125" customWidth="1"/>
    <col min="5612" max="5612" width="4.140625" customWidth="1"/>
    <col min="5613" max="5613" width="4" customWidth="1"/>
    <col min="5614" max="5614" width="4.140625" customWidth="1"/>
    <col min="5615" max="5615" width="3.85546875" customWidth="1"/>
    <col min="5616" max="5624" width="4.140625" customWidth="1"/>
    <col min="5625" max="5625" width="3.7109375" customWidth="1"/>
    <col min="5626" max="5656" width="4.42578125" customWidth="1"/>
    <col min="5868" max="5868" width="4.140625" customWidth="1"/>
    <col min="5869" max="5869" width="4" customWidth="1"/>
    <col min="5870" max="5870" width="4.140625" customWidth="1"/>
    <col min="5871" max="5871" width="3.85546875" customWidth="1"/>
    <col min="5872" max="5880" width="4.140625" customWidth="1"/>
    <col min="5881" max="5881" width="3.7109375" customWidth="1"/>
    <col min="5882" max="5912" width="4.42578125" customWidth="1"/>
    <col min="6124" max="6124" width="4.140625" customWidth="1"/>
    <col min="6125" max="6125" width="4" customWidth="1"/>
    <col min="6126" max="6126" width="4.140625" customWidth="1"/>
    <col min="6127" max="6127" width="3.85546875" customWidth="1"/>
    <col min="6128" max="6136" width="4.140625" customWidth="1"/>
    <col min="6137" max="6137" width="3.7109375" customWidth="1"/>
    <col min="6138" max="6168" width="4.42578125" customWidth="1"/>
    <col min="6380" max="6380" width="4.140625" customWidth="1"/>
    <col min="6381" max="6381" width="4" customWidth="1"/>
    <col min="6382" max="6382" width="4.140625" customWidth="1"/>
    <col min="6383" max="6383" width="3.85546875" customWidth="1"/>
    <col min="6384" max="6392" width="4.140625" customWidth="1"/>
    <col min="6393" max="6393" width="3.7109375" customWidth="1"/>
    <col min="6394" max="6424" width="4.42578125" customWidth="1"/>
    <col min="6636" max="6636" width="4.140625" customWidth="1"/>
    <col min="6637" max="6637" width="4" customWidth="1"/>
    <col min="6638" max="6638" width="4.140625" customWidth="1"/>
    <col min="6639" max="6639" width="3.85546875" customWidth="1"/>
    <col min="6640" max="6648" width="4.140625" customWidth="1"/>
    <col min="6649" max="6649" width="3.7109375" customWidth="1"/>
    <col min="6650" max="6680" width="4.42578125" customWidth="1"/>
    <col min="6892" max="6892" width="4.140625" customWidth="1"/>
    <col min="6893" max="6893" width="4" customWidth="1"/>
    <col min="6894" max="6894" width="4.140625" customWidth="1"/>
    <col min="6895" max="6895" width="3.85546875" customWidth="1"/>
    <col min="6896" max="6904" width="4.140625" customWidth="1"/>
    <col min="6905" max="6905" width="3.7109375" customWidth="1"/>
    <col min="6906" max="6936" width="4.42578125" customWidth="1"/>
    <col min="7148" max="7148" width="4.140625" customWidth="1"/>
    <col min="7149" max="7149" width="4" customWidth="1"/>
    <col min="7150" max="7150" width="4.140625" customWidth="1"/>
    <col min="7151" max="7151" width="3.85546875" customWidth="1"/>
    <col min="7152" max="7160" width="4.140625" customWidth="1"/>
    <col min="7161" max="7161" width="3.7109375" customWidth="1"/>
    <col min="7162" max="7192" width="4.42578125" customWidth="1"/>
    <col min="7404" max="7404" width="4.140625" customWidth="1"/>
    <col min="7405" max="7405" width="4" customWidth="1"/>
    <col min="7406" max="7406" width="4.140625" customWidth="1"/>
    <col min="7407" max="7407" width="3.85546875" customWidth="1"/>
    <col min="7408" max="7416" width="4.140625" customWidth="1"/>
    <col min="7417" max="7417" width="3.7109375" customWidth="1"/>
    <col min="7418" max="7448" width="4.42578125" customWidth="1"/>
    <col min="7660" max="7660" width="4.140625" customWidth="1"/>
    <col min="7661" max="7661" width="4" customWidth="1"/>
    <col min="7662" max="7662" width="4.140625" customWidth="1"/>
    <col min="7663" max="7663" width="3.85546875" customWidth="1"/>
    <col min="7664" max="7672" width="4.140625" customWidth="1"/>
    <col min="7673" max="7673" width="3.7109375" customWidth="1"/>
    <col min="7674" max="7704" width="4.42578125" customWidth="1"/>
    <col min="7916" max="7916" width="4.140625" customWidth="1"/>
    <col min="7917" max="7917" width="4" customWidth="1"/>
    <col min="7918" max="7918" width="4.140625" customWidth="1"/>
    <col min="7919" max="7919" width="3.85546875" customWidth="1"/>
    <col min="7920" max="7928" width="4.140625" customWidth="1"/>
    <col min="7929" max="7929" width="3.7109375" customWidth="1"/>
    <col min="7930" max="7960" width="4.42578125" customWidth="1"/>
    <col min="8172" max="8172" width="4.140625" customWidth="1"/>
    <col min="8173" max="8173" width="4" customWidth="1"/>
    <col min="8174" max="8174" width="4.140625" customWidth="1"/>
    <col min="8175" max="8175" width="3.85546875" customWidth="1"/>
    <col min="8176" max="8184" width="4.140625" customWidth="1"/>
    <col min="8185" max="8185" width="3.7109375" customWidth="1"/>
    <col min="8186" max="8216" width="4.42578125" customWidth="1"/>
    <col min="8428" max="8428" width="4.140625" customWidth="1"/>
    <col min="8429" max="8429" width="4" customWidth="1"/>
    <col min="8430" max="8430" width="4.140625" customWidth="1"/>
    <col min="8431" max="8431" width="3.85546875" customWidth="1"/>
    <col min="8432" max="8440" width="4.140625" customWidth="1"/>
    <col min="8441" max="8441" width="3.7109375" customWidth="1"/>
    <col min="8442" max="8472" width="4.42578125" customWidth="1"/>
    <col min="8684" max="8684" width="4.140625" customWidth="1"/>
    <col min="8685" max="8685" width="4" customWidth="1"/>
    <col min="8686" max="8686" width="4.140625" customWidth="1"/>
    <col min="8687" max="8687" width="3.85546875" customWidth="1"/>
    <col min="8688" max="8696" width="4.140625" customWidth="1"/>
    <col min="8697" max="8697" width="3.7109375" customWidth="1"/>
    <col min="8698" max="8728" width="4.42578125" customWidth="1"/>
    <col min="8940" max="8940" width="4.140625" customWidth="1"/>
    <col min="8941" max="8941" width="4" customWidth="1"/>
    <col min="8942" max="8942" width="4.140625" customWidth="1"/>
    <col min="8943" max="8943" width="3.85546875" customWidth="1"/>
    <col min="8944" max="8952" width="4.140625" customWidth="1"/>
    <col min="8953" max="8953" width="3.7109375" customWidth="1"/>
    <col min="8954" max="8984" width="4.42578125" customWidth="1"/>
    <col min="9196" max="9196" width="4.140625" customWidth="1"/>
    <col min="9197" max="9197" width="4" customWidth="1"/>
    <col min="9198" max="9198" width="4.140625" customWidth="1"/>
    <col min="9199" max="9199" width="3.85546875" customWidth="1"/>
    <col min="9200" max="9208" width="4.140625" customWidth="1"/>
    <col min="9209" max="9209" width="3.7109375" customWidth="1"/>
    <col min="9210" max="9240" width="4.42578125" customWidth="1"/>
    <col min="9452" max="9452" width="4.140625" customWidth="1"/>
    <col min="9453" max="9453" width="4" customWidth="1"/>
    <col min="9454" max="9454" width="4.140625" customWidth="1"/>
    <col min="9455" max="9455" width="3.85546875" customWidth="1"/>
    <col min="9456" max="9464" width="4.140625" customWidth="1"/>
    <col min="9465" max="9465" width="3.7109375" customWidth="1"/>
    <col min="9466" max="9496" width="4.42578125" customWidth="1"/>
    <col min="9708" max="9708" width="4.140625" customWidth="1"/>
    <col min="9709" max="9709" width="4" customWidth="1"/>
    <col min="9710" max="9710" width="4.140625" customWidth="1"/>
    <col min="9711" max="9711" width="3.85546875" customWidth="1"/>
    <col min="9712" max="9720" width="4.140625" customWidth="1"/>
    <col min="9721" max="9721" width="3.7109375" customWidth="1"/>
    <col min="9722" max="9752" width="4.42578125" customWidth="1"/>
    <col min="9964" max="9964" width="4.140625" customWidth="1"/>
    <col min="9965" max="9965" width="4" customWidth="1"/>
    <col min="9966" max="9966" width="4.140625" customWidth="1"/>
    <col min="9967" max="9967" width="3.85546875" customWidth="1"/>
    <col min="9968" max="9976" width="4.140625" customWidth="1"/>
    <col min="9977" max="9977" width="3.7109375" customWidth="1"/>
    <col min="9978" max="10008" width="4.42578125" customWidth="1"/>
    <col min="10220" max="10220" width="4.140625" customWidth="1"/>
    <col min="10221" max="10221" width="4" customWidth="1"/>
    <col min="10222" max="10222" width="4.140625" customWidth="1"/>
    <col min="10223" max="10223" width="3.85546875" customWidth="1"/>
    <col min="10224" max="10232" width="4.140625" customWidth="1"/>
    <col min="10233" max="10233" width="3.7109375" customWidth="1"/>
    <col min="10234" max="10264" width="4.42578125" customWidth="1"/>
    <col min="10476" max="10476" width="4.140625" customWidth="1"/>
    <col min="10477" max="10477" width="4" customWidth="1"/>
    <col min="10478" max="10478" width="4.140625" customWidth="1"/>
    <col min="10479" max="10479" width="3.85546875" customWidth="1"/>
    <col min="10480" max="10488" width="4.140625" customWidth="1"/>
    <col min="10489" max="10489" width="3.7109375" customWidth="1"/>
    <col min="10490" max="10520" width="4.42578125" customWidth="1"/>
    <col min="10732" max="10732" width="4.140625" customWidth="1"/>
    <col min="10733" max="10733" width="4" customWidth="1"/>
    <col min="10734" max="10734" width="4.140625" customWidth="1"/>
    <col min="10735" max="10735" width="3.85546875" customWidth="1"/>
    <col min="10736" max="10744" width="4.140625" customWidth="1"/>
    <col min="10745" max="10745" width="3.7109375" customWidth="1"/>
    <col min="10746" max="10776" width="4.42578125" customWidth="1"/>
    <col min="10988" max="10988" width="4.140625" customWidth="1"/>
    <col min="10989" max="10989" width="4" customWidth="1"/>
    <col min="10990" max="10990" width="4.140625" customWidth="1"/>
    <col min="10991" max="10991" width="3.85546875" customWidth="1"/>
    <col min="10992" max="11000" width="4.140625" customWidth="1"/>
    <col min="11001" max="11001" width="3.7109375" customWidth="1"/>
    <col min="11002" max="11032" width="4.42578125" customWidth="1"/>
    <col min="11244" max="11244" width="4.140625" customWidth="1"/>
    <col min="11245" max="11245" width="4" customWidth="1"/>
    <col min="11246" max="11246" width="4.140625" customWidth="1"/>
    <col min="11247" max="11247" width="3.85546875" customWidth="1"/>
    <col min="11248" max="11256" width="4.140625" customWidth="1"/>
    <col min="11257" max="11257" width="3.7109375" customWidth="1"/>
    <col min="11258" max="11288" width="4.42578125" customWidth="1"/>
    <col min="11500" max="11500" width="4.140625" customWidth="1"/>
    <col min="11501" max="11501" width="4" customWidth="1"/>
    <col min="11502" max="11502" width="4.140625" customWidth="1"/>
    <col min="11503" max="11503" width="3.85546875" customWidth="1"/>
    <col min="11504" max="11512" width="4.140625" customWidth="1"/>
    <col min="11513" max="11513" width="3.7109375" customWidth="1"/>
    <col min="11514" max="11544" width="4.42578125" customWidth="1"/>
    <col min="11756" max="11756" width="4.140625" customWidth="1"/>
    <col min="11757" max="11757" width="4" customWidth="1"/>
    <col min="11758" max="11758" width="4.140625" customWidth="1"/>
    <col min="11759" max="11759" width="3.85546875" customWidth="1"/>
    <col min="11760" max="11768" width="4.140625" customWidth="1"/>
    <col min="11769" max="11769" width="3.7109375" customWidth="1"/>
    <col min="11770" max="11800" width="4.42578125" customWidth="1"/>
    <col min="12012" max="12012" width="4.140625" customWidth="1"/>
    <col min="12013" max="12013" width="4" customWidth="1"/>
    <col min="12014" max="12014" width="4.140625" customWidth="1"/>
    <col min="12015" max="12015" width="3.85546875" customWidth="1"/>
    <col min="12016" max="12024" width="4.140625" customWidth="1"/>
    <col min="12025" max="12025" width="3.7109375" customWidth="1"/>
    <col min="12026" max="12056" width="4.42578125" customWidth="1"/>
    <col min="12268" max="12268" width="4.140625" customWidth="1"/>
    <col min="12269" max="12269" width="4" customWidth="1"/>
    <col min="12270" max="12270" width="4.140625" customWidth="1"/>
    <col min="12271" max="12271" width="3.85546875" customWidth="1"/>
    <col min="12272" max="12280" width="4.140625" customWidth="1"/>
    <col min="12281" max="12281" width="3.7109375" customWidth="1"/>
    <col min="12282" max="12312" width="4.42578125" customWidth="1"/>
    <col min="12524" max="12524" width="4.140625" customWidth="1"/>
    <col min="12525" max="12525" width="4" customWidth="1"/>
    <col min="12526" max="12526" width="4.140625" customWidth="1"/>
    <col min="12527" max="12527" width="3.85546875" customWidth="1"/>
    <col min="12528" max="12536" width="4.140625" customWidth="1"/>
    <col min="12537" max="12537" width="3.7109375" customWidth="1"/>
    <col min="12538" max="12568" width="4.42578125" customWidth="1"/>
    <col min="12780" max="12780" width="4.140625" customWidth="1"/>
    <col min="12781" max="12781" width="4" customWidth="1"/>
    <col min="12782" max="12782" width="4.140625" customWidth="1"/>
    <col min="12783" max="12783" width="3.85546875" customWidth="1"/>
    <col min="12784" max="12792" width="4.140625" customWidth="1"/>
    <col min="12793" max="12793" width="3.7109375" customWidth="1"/>
    <col min="12794" max="12824" width="4.42578125" customWidth="1"/>
    <col min="13036" max="13036" width="4.140625" customWidth="1"/>
    <col min="13037" max="13037" width="4" customWidth="1"/>
    <col min="13038" max="13038" width="4.140625" customWidth="1"/>
    <col min="13039" max="13039" width="3.85546875" customWidth="1"/>
    <col min="13040" max="13048" width="4.140625" customWidth="1"/>
    <col min="13049" max="13049" width="3.7109375" customWidth="1"/>
    <col min="13050" max="13080" width="4.42578125" customWidth="1"/>
    <col min="13292" max="13292" width="4.140625" customWidth="1"/>
    <col min="13293" max="13293" width="4" customWidth="1"/>
    <col min="13294" max="13294" width="4.140625" customWidth="1"/>
    <col min="13295" max="13295" width="3.85546875" customWidth="1"/>
    <col min="13296" max="13304" width="4.140625" customWidth="1"/>
    <col min="13305" max="13305" width="3.7109375" customWidth="1"/>
    <col min="13306" max="13336" width="4.42578125" customWidth="1"/>
    <col min="13548" max="13548" width="4.140625" customWidth="1"/>
    <col min="13549" max="13549" width="4" customWidth="1"/>
    <col min="13550" max="13550" width="4.140625" customWidth="1"/>
    <col min="13551" max="13551" width="3.85546875" customWidth="1"/>
    <col min="13552" max="13560" width="4.140625" customWidth="1"/>
    <col min="13561" max="13561" width="3.7109375" customWidth="1"/>
    <col min="13562" max="13592" width="4.42578125" customWidth="1"/>
    <col min="13804" max="13804" width="4.140625" customWidth="1"/>
    <col min="13805" max="13805" width="4" customWidth="1"/>
    <col min="13806" max="13806" width="4.140625" customWidth="1"/>
    <col min="13807" max="13807" width="3.85546875" customWidth="1"/>
    <col min="13808" max="13816" width="4.140625" customWidth="1"/>
    <col min="13817" max="13817" width="3.7109375" customWidth="1"/>
    <col min="13818" max="13848" width="4.42578125" customWidth="1"/>
    <col min="14060" max="14060" width="4.140625" customWidth="1"/>
    <col min="14061" max="14061" width="4" customWidth="1"/>
    <col min="14062" max="14062" width="4.140625" customWidth="1"/>
    <col min="14063" max="14063" width="3.85546875" customWidth="1"/>
    <col min="14064" max="14072" width="4.140625" customWidth="1"/>
    <col min="14073" max="14073" width="3.7109375" customWidth="1"/>
    <col min="14074" max="14104" width="4.42578125" customWidth="1"/>
    <col min="14316" max="14316" width="4.140625" customWidth="1"/>
    <col min="14317" max="14317" width="4" customWidth="1"/>
    <col min="14318" max="14318" width="4.140625" customWidth="1"/>
    <col min="14319" max="14319" width="3.85546875" customWidth="1"/>
    <col min="14320" max="14328" width="4.140625" customWidth="1"/>
    <col min="14329" max="14329" width="3.7109375" customWidth="1"/>
    <col min="14330" max="14360" width="4.42578125" customWidth="1"/>
    <col min="14572" max="14572" width="4.140625" customWidth="1"/>
    <col min="14573" max="14573" width="4" customWidth="1"/>
    <col min="14574" max="14574" width="4.140625" customWidth="1"/>
    <col min="14575" max="14575" width="3.85546875" customWidth="1"/>
    <col min="14576" max="14584" width="4.140625" customWidth="1"/>
    <col min="14585" max="14585" width="3.7109375" customWidth="1"/>
    <col min="14586" max="14616" width="4.42578125" customWidth="1"/>
    <col min="14828" max="14828" width="4.140625" customWidth="1"/>
    <col min="14829" max="14829" width="4" customWidth="1"/>
    <col min="14830" max="14830" width="4.140625" customWidth="1"/>
    <col min="14831" max="14831" width="3.85546875" customWidth="1"/>
    <col min="14832" max="14840" width="4.140625" customWidth="1"/>
    <col min="14841" max="14841" width="3.7109375" customWidth="1"/>
    <col min="14842" max="14872" width="4.42578125" customWidth="1"/>
    <col min="15084" max="15084" width="4.140625" customWidth="1"/>
    <col min="15085" max="15085" width="4" customWidth="1"/>
    <col min="15086" max="15086" width="4.140625" customWidth="1"/>
    <col min="15087" max="15087" width="3.85546875" customWidth="1"/>
    <col min="15088" max="15096" width="4.140625" customWidth="1"/>
    <col min="15097" max="15097" width="3.7109375" customWidth="1"/>
    <col min="15098" max="15128" width="4.42578125" customWidth="1"/>
    <col min="15340" max="15340" width="4.140625" customWidth="1"/>
    <col min="15341" max="15341" width="4" customWidth="1"/>
    <col min="15342" max="15342" width="4.140625" customWidth="1"/>
    <col min="15343" max="15343" width="3.85546875" customWidth="1"/>
    <col min="15344" max="15352" width="4.140625" customWidth="1"/>
    <col min="15353" max="15353" width="3.7109375" customWidth="1"/>
    <col min="15354" max="15384" width="4.42578125" customWidth="1"/>
    <col min="15596" max="15596" width="4.140625" customWidth="1"/>
    <col min="15597" max="15597" width="4" customWidth="1"/>
    <col min="15598" max="15598" width="4.140625" customWidth="1"/>
    <col min="15599" max="15599" width="3.85546875" customWidth="1"/>
    <col min="15600" max="15608" width="4.140625" customWidth="1"/>
    <col min="15609" max="15609" width="3.7109375" customWidth="1"/>
    <col min="15610" max="15640" width="4.42578125" customWidth="1"/>
    <col min="15852" max="15852" width="4.140625" customWidth="1"/>
    <col min="15853" max="15853" width="4" customWidth="1"/>
    <col min="15854" max="15854" width="4.140625" customWidth="1"/>
    <col min="15855" max="15855" width="3.85546875" customWidth="1"/>
    <col min="15856" max="15864" width="4.140625" customWidth="1"/>
    <col min="15865" max="15865" width="3.7109375" customWidth="1"/>
    <col min="15866" max="15896" width="4.42578125" customWidth="1"/>
    <col min="16108" max="16108" width="4.140625" customWidth="1"/>
    <col min="16109" max="16109" width="4" customWidth="1"/>
    <col min="16110" max="16110" width="4.140625" customWidth="1"/>
    <col min="16111" max="16111" width="3.85546875" customWidth="1"/>
    <col min="16112" max="16120" width="4.140625" customWidth="1"/>
    <col min="16121" max="16121" width="3.7109375" customWidth="1"/>
    <col min="16122" max="16152" width="4.42578125" customWidth="1"/>
  </cols>
  <sheetData>
    <row r="1" spans="1:27" ht="1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</row>
    <row r="2" spans="1:27" ht="1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</row>
    <row r="3" spans="1:27" ht="1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</row>
    <row r="4" spans="1:27" ht="1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</row>
    <row r="5" spans="1:27" ht="28.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</row>
    <row r="6" spans="1:27" s="1" customFormat="1" ht="1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7" s="1" customFormat="1" ht="38.450000000000003" customHeight="1" x14ac:dyDescent="0.25">
      <c r="A7" s="481" t="s">
        <v>71</v>
      </c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3"/>
    </row>
    <row r="8" spans="1:27" s="1" customFormat="1" ht="1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8"/>
      <c r="N8" s="8"/>
      <c r="O8" s="8"/>
      <c r="P8" s="8"/>
      <c r="Q8" s="5"/>
      <c r="R8" s="5"/>
      <c r="S8" s="5"/>
      <c r="T8" s="5"/>
      <c r="U8" s="5"/>
      <c r="V8" s="5"/>
      <c r="W8" s="5"/>
      <c r="X8" s="5"/>
    </row>
    <row r="9" spans="1:27" ht="21.75" customHeight="1" x14ac:dyDescent="0.35">
      <c r="B9" s="7"/>
      <c r="C9" s="423" t="s">
        <v>72</v>
      </c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423"/>
      <c r="O9" s="19"/>
      <c r="P9" s="423" t="s">
        <v>73</v>
      </c>
      <c r="Q9" s="423"/>
      <c r="R9" s="423"/>
      <c r="S9" s="423"/>
      <c r="T9" s="423"/>
      <c r="U9" s="423"/>
      <c r="V9" s="423"/>
      <c r="W9" s="423"/>
      <c r="X9" s="423"/>
      <c r="Y9" s="215"/>
      <c r="Z9" s="215"/>
      <c r="AA9" s="215"/>
    </row>
    <row r="10" spans="1:27" ht="15.6" customHeight="1" x14ac:dyDescent="0.25">
      <c r="B10" s="105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2"/>
      <c r="P10" s="3"/>
      <c r="Q10" s="2"/>
      <c r="R10" s="2"/>
      <c r="S10" s="104"/>
      <c r="T10" s="5"/>
      <c r="U10" s="5"/>
      <c r="V10" s="5"/>
      <c r="W10" s="5"/>
      <c r="X10" s="2"/>
    </row>
    <row r="11" spans="1:27" ht="9" customHeight="1" x14ac:dyDescent="0.4">
      <c r="B11" s="129"/>
      <c r="C11" s="7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1"/>
      <c r="P11" s="111"/>
      <c r="Q11" s="2"/>
      <c r="R11" s="166"/>
      <c r="S11" s="87"/>
      <c r="T11" s="2"/>
      <c r="U11" s="2"/>
      <c r="V11" s="2"/>
      <c r="W11" s="166"/>
      <c r="X11" s="2"/>
    </row>
    <row r="12" spans="1:27" ht="9" customHeight="1" x14ac:dyDescent="0.4">
      <c r="B12" s="129"/>
      <c r="C12" s="76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1"/>
      <c r="P12" s="111"/>
      <c r="Q12" s="2"/>
      <c r="R12" s="166"/>
      <c r="S12" s="87"/>
      <c r="T12" s="2"/>
      <c r="U12" s="2"/>
      <c r="V12" s="2"/>
      <c r="W12" s="166"/>
      <c r="X12" s="2"/>
    </row>
    <row r="13" spans="1:27" ht="9" customHeight="1" x14ac:dyDescent="0.4">
      <c r="B13" s="129"/>
      <c r="C13" s="74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1"/>
      <c r="P13" s="111"/>
      <c r="Q13" s="2"/>
      <c r="R13" s="166"/>
      <c r="S13" s="87"/>
      <c r="T13" s="2"/>
      <c r="U13" s="2"/>
      <c r="V13" s="2"/>
      <c r="W13" s="166"/>
      <c r="X13" s="2"/>
    </row>
    <row r="14" spans="1:27" ht="9" customHeight="1" x14ac:dyDescent="0.4">
      <c r="B14" s="129"/>
      <c r="C14" s="76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1"/>
      <c r="P14" s="111"/>
      <c r="Q14" s="2"/>
      <c r="R14" s="166"/>
      <c r="S14" s="87"/>
      <c r="T14" s="2"/>
      <c r="U14" s="2"/>
      <c r="V14" s="2"/>
      <c r="W14" s="166"/>
      <c r="X14" s="2"/>
    </row>
    <row r="15" spans="1:27" ht="9" customHeight="1" x14ac:dyDescent="0.4">
      <c r="B15" s="129"/>
      <c r="C15" s="74"/>
      <c r="D15" s="75"/>
      <c r="E15" s="75"/>
      <c r="F15" s="75"/>
      <c r="G15" s="75"/>
      <c r="H15" s="75"/>
      <c r="I15" s="75"/>
      <c r="J15" s="75"/>
      <c r="K15" s="75"/>
      <c r="L15" s="79"/>
      <c r="M15" s="75"/>
      <c r="N15" s="75"/>
      <c r="O15" s="1"/>
      <c r="P15" s="55"/>
      <c r="Q15" s="2"/>
      <c r="R15" s="166"/>
      <c r="S15" s="87"/>
      <c r="T15" s="2"/>
      <c r="U15" s="2"/>
      <c r="V15" s="2"/>
      <c r="W15" s="167"/>
      <c r="X15" s="2"/>
    </row>
    <row r="16" spans="1:27" ht="9" customHeight="1" x14ac:dyDescent="0.4">
      <c r="B16" s="129"/>
      <c r="C16" s="76"/>
      <c r="D16" s="77"/>
      <c r="E16" s="77"/>
      <c r="F16" s="77"/>
      <c r="G16" s="77"/>
      <c r="H16" s="77"/>
      <c r="I16" s="77"/>
      <c r="J16" s="77"/>
      <c r="K16" s="77"/>
      <c r="L16" s="79"/>
      <c r="M16" s="77"/>
      <c r="N16" s="77"/>
      <c r="O16" s="1"/>
      <c r="P16" s="55"/>
      <c r="Q16" s="2"/>
      <c r="R16" s="166"/>
      <c r="S16" s="87"/>
      <c r="T16" s="2"/>
      <c r="U16" s="2"/>
      <c r="V16" s="2"/>
      <c r="W16" s="167"/>
      <c r="X16" s="2"/>
    </row>
    <row r="17" spans="2:24" ht="9" customHeight="1" x14ac:dyDescent="0.4">
      <c r="B17" s="129"/>
      <c r="C17" s="74"/>
      <c r="D17" s="75"/>
      <c r="E17" s="75"/>
      <c r="F17" s="75"/>
      <c r="G17" s="75"/>
      <c r="H17" s="75"/>
      <c r="I17" s="75"/>
      <c r="J17" s="75"/>
      <c r="K17" s="80"/>
      <c r="L17" s="114"/>
      <c r="M17" s="82"/>
      <c r="N17" s="75"/>
      <c r="O17" s="1"/>
      <c r="P17" s="111"/>
      <c r="Q17" s="2"/>
      <c r="R17" s="166"/>
      <c r="S17" s="87"/>
      <c r="T17" s="2"/>
      <c r="U17" s="2"/>
      <c r="V17" s="2"/>
      <c r="W17" s="166"/>
      <c r="X17" s="2"/>
    </row>
    <row r="18" spans="2:24" ht="9" customHeight="1" x14ac:dyDescent="0.4">
      <c r="B18" s="129"/>
      <c r="C18" s="76"/>
      <c r="D18" s="77"/>
      <c r="E18" s="77"/>
      <c r="F18" s="77"/>
      <c r="G18" s="77"/>
      <c r="H18" s="77"/>
      <c r="I18" s="77"/>
      <c r="J18" s="77"/>
      <c r="K18" s="81"/>
      <c r="L18" s="115"/>
      <c r="M18" s="83"/>
      <c r="N18" s="77"/>
      <c r="O18" s="1"/>
      <c r="P18" s="111"/>
      <c r="Q18" s="2"/>
      <c r="R18" s="166"/>
      <c r="S18" s="87"/>
      <c r="T18" s="2"/>
      <c r="U18" s="2"/>
      <c r="V18" s="2"/>
      <c r="W18" s="166"/>
      <c r="X18" s="2"/>
    </row>
    <row r="19" spans="2:24" ht="9" customHeight="1" x14ac:dyDescent="0.4">
      <c r="B19" s="129"/>
      <c r="C19" s="74"/>
      <c r="D19" s="75"/>
      <c r="E19" s="75"/>
      <c r="F19" s="75"/>
      <c r="G19" s="75"/>
      <c r="H19" s="75"/>
      <c r="I19" s="75"/>
      <c r="J19" s="75"/>
      <c r="K19" s="80"/>
      <c r="L19" s="116"/>
      <c r="M19" s="82"/>
      <c r="N19" s="75"/>
      <c r="O19" s="1"/>
      <c r="P19" s="111"/>
      <c r="Q19" s="2"/>
      <c r="R19" s="166"/>
      <c r="S19" s="87"/>
      <c r="T19" s="2"/>
      <c r="U19" s="2"/>
      <c r="V19" s="2"/>
      <c r="W19" s="166"/>
      <c r="X19" s="2"/>
    </row>
    <row r="20" spans="2:24" ht="9" customHeight="1" x14ac:dyDescent="0.4">
      <c r="B20" s="129"/>
      <c r="C20" s="76"/>
      <c r="D20" s="77"/>
      <c r="E20" s="77"/>
      <c r="F20" s="77"/>
      <c r="G20" s="77"/>
      <c r="H20" s="77"/>
      <c r="I20" s="77"/>
      <c r="J20" s="77"/>
      <c r="K20" s="81"/>
      <c r="L20" s="115"/>
      <c r="M20" s="83"/>
      <c r="N20" s="77"/>
      <c r="O20" s="1"/>
      <c r="P20" s="111"/>
      <c r="Q20" s="2"/>
      <c r="R20" s="166"/>
      <c r="S20" s="87"/>
      <c r="T20" s="2"/>
      <c r="U20" s="2"/>
      <c r="V20" s="2"/>
      <c r="W20" s="166"/>
      <c r="X20" s="2"/>
    </row>
    <row r="21" spans="2:24" ht="9" customHeight="1" x14ac:dyDescent="0.4">
      <c r="B21" s="129"/>
      <c r="C21" s="74"/>
      <c r="D21" s="75"/>
      <c r="E21" s="75"/>
      <c r="F21" s="75"/>
      <c r="G21" s="75"/>
      <c r="H21" s="75"/>
      <c r="I21" s="75"/>
      <c r="J21" s="75"/>
      <c r="K21" s="80"/>
      <c r="L21" s="116"/>
      <c r="M21" s="82"/>
      <c r="N21" s="75"/>
      <c r="O21" s="1"/>
      <c r="P21" s="111"/>
      <c r="Q21" s="2"/>
      <c r="R21" s="166"/>
      <c r="S21" s="87"/>
      <c r="T21" s="2"/>
      <c r="U21" s="2"/>
      <c r="V21" s="2"/>
      <c r="W21" s="166"/>
      <c r="X21" s="2"/>
    </row>
    <row r="22" spans="2:24" ht="9" customHeight="1" x14ac:dyDescent="0.4">
      <c r="B22" s="129"/>
      <c r="C22" s="76"/>
      <c r="D22" s="77"/>
      <c r="E22" s="77"/>
      <c r="F22" s="77"/>
      <c r="G22" s="77"/>
      <c r="H22" s="77"/>
      <c r="I22" s="77"/>
      <c r="J22" s="77"/>
      <c r="K22" s="81"/>
      <c r="L22" s="115"/>
      <c r="M22" s="83"/>
      <c r="N22" s="77"/>
      <c r="O22" s="1"/>
      <c r="P22" s="111"/>
      <c r="Q22" s="2"/>
      <c r="R22" s="166"/>
      <c r="S22" s="87"/>
      <c r="T22" s="2"/>
      <c r="U22" s="2"/>
      <c r="V22" s="2"/>
      <c r="W22" s="166"/>
      <c r="X22" s="2"/>
    </row>
    <row r="23" spans="2:24" ht="9" customHeight="1" x14ac:dyDescent="0.4">
      <c r="B23" s="129"/>
      <c r="C23" s="74"/>
      <c r="D23" s="75"/>
      <c r="E23" s="75"/>
      <c r="F23" s="75"/>
      <c r="G23" s="75"/>
      <c r="H23" s="75"/>
      <c r="I23" s="75"/>
      <c r="J23" s="75"/>
      <c r="K23" s="80"/>
      <c r="L23" s="116"/>
      <c r="M23" s="82"/>
      <c r="N23" s="75"/>
      <c r="O23" s="1"/>
      <c r="P23" s="111"/>
      <c r="Q23" s="2"/>
      <c r="R23" s="166"/>
      <c r="S23" s="87"/>
      <c r="T23" s="2"/>
      <c r="U23" s="2"/>
      <c r="V23" s="2"/>
      <c r="W23" s="166"/>
      <c r="X23" s="2"/>
    </row>
    <row r="24" spans="2:24" ht="9" customHeight="1" x14ac:dyDescent="0.4">
      <c r="B24" s="129"/>
      <c r="C24" s="76"/>
      <c r="D24" s="77"/>
      <c r="E24" s="77"/>
      <c r="F24" s="77"/>
      <c r="G24" s="77"/>
      <c r="H24" s="77"/>
      <c r="I24" s="77"/>
      <c r="J24" s="77"/>
      <c r="K24" s="81"/>
      <c r="L24" s="117"/>
      <c r="M24" s="83"/>
      <c r="N24" s="77"/>
      <c r="O24" s="1"/>
      <c r="P24" s="111"/>
      <c r="Q24" s="2"/>
      <c r="R24" s="166"/>
      <c r="S24" s="87"/>
      <c r="T24" s="2"/>
      <c r="U24" s="2"/>
      <c r="V24" s="2"/>
      <c r="W24" s="166"/>
      <c r="X24" s="2"/>
    </row>
    <row r="25" spans="2:24" ht="9" customHeight="1" x14ac:dyDescent="0.4">
      <c r="B25" s="129"/>
      <c r="C25" s="74"/>
      <c r="D25" s="75"/>
      <c r="E25" s="75"/>
      <c r="F25" s="75"/>
      <c r="G25" s="75"/>
      <c r="H25" s="75"/>
      <c r="I25" s="75"/>
      <c r="J25" s="75"/>
      <c r="K25" s="80"/>
      <c r="L25" s="114"/>
      <c r="M25" s="82"/>
      <c r="N25" s="75"/>
      <c r="O25" s="1"/>
      <c r="P25" s="55"/>
      <c r="Q25" s="2"/>
      <c r="R25" s="166"/>
      <c r="S25" s="87"/>
      <c r="T25" s="2"/>
      <c r="U25" s="2"/>
      <c r="V25" s="2"/>
      <c r="W25" s="167"/>
      <c r="X25" s="2"/>
    </row>
    <row r="26" spans="2:24" ht="9" customHeight="1" x14ac:dyDescent="0.4">
      <c r="B26" s="129"/>
      <c r="C26" s="76"/>
      <c r="D26" s="77"/>
      <c r="E26" s="77"/>
      <c r="F26" s="77"/>
      <c r="G26" s="77"/>
      <c r="H26" s="77"/>
      <c r="I26" s="77"/>
      <c r="J26" s="77"/>
      <c r="K26" s="81"/>
      <c r="L26" s="115"/>
      <c r="M26" s="83"/>
      <c r="N26" s="77"/>
      <c r="O26" s="1"/>
      <c r="P26" s="55"/>
      <c r="Q26" s="2"/>
      <c r="R26" s="166"/>
      <c r="S26" s="87"/>
      <c r="T26" s="2"/>
      <c r="U26" s="2"/>
      <c r="V26" s="2"/>
      <c r="W26" s="167"/>
      <c r="X26" s="2"/>
    </row>
    <row r="27" spans="2:24" ht="9" customHeight="1" x14ac:dyDescent="0.4">
      <c r="B27" s="129"/>
      <c r="C27" s="74"/>
      <c r="D27" s="75"/>
      <c r="E27" s="75"/>
      <c r="F27" s="75"/>
      <c r="G27" s="80"/>
      <c r="H27" s="114"/>
      <c r="I27" s="82"/>
      <c r="J27" s="75"/>
      <c r="K27" s="80"/>
      <c r="L27" s="116"/>
      <c r="M27" s="82"/>
      <c r="N27" s="75"/>
      <c r="O27" s="1"/>
      <c r="P27" s="111"/>
      <c r="Q27" s="2"/>
      <c r="R27" s="166"/>
      <c r="S27" s="87"/>
      <c r="T27" s="2"/>
      <c r="U27" s="2"/>
      <c r="V27" s="2"/>
      <c r="W27" s="166"/>
      <c r="X27" s="2"/>
    </row>
    <row r="28" spans="2:24" ht="9" customHeight="1" x14ac:dyDescent="0.4">
      <c r="B28" s="129"/>
      <c r="C28" s="76"/>
      <c r="D28" s="77"/>
      <c r="E28" s="77"/>
      <c r="F28" s="77"/>
      <c r="G28" s="81"/>
      <c r="H28" s="115"/>
      <c r="I28" s="83"/>
      <c r="J28" s="77"/>
      <c r="K28" s="81"/>
      <c r="L28" s="115"/>
      <c r="M28" s="83"/>
      <c r="N28" s="77"/>
      <c r="O28" s="1"/>
      <c r="P28" s="111"/>
      <c r="Q28" s="2"/>
      <c r="R28" s="166"/>
      <c r="S28" s="87"/>
      <c r="T28" s="2"/>
      <c r="U28" s="2"/>
      <c r="V28" s="2"/>
      <c r="W28" s="166"/>
      <c r="X28" s="2"/>
    </row>
    <row r="29" spans="2:24" ht="9" customHeight="1" x14ac:dyDescent="0.4">
      <c r="B29" s="129"/>
      <c r="C29" s="74"/>
      <c r="D29" s="75"/>
      <c r="E29" s="75"/>
      <c r="F29" s="75"/>
      <c r="G29" s="80"/>
      <c r="H29" s="116"/>
      <c r="I29" s="82"/>
      <c r="J29" s="75"/>
      <c r="K29" s="118"/>
      <c r="L29" s="116"/>
      <c r="M29" s="82"/>
      <c r="N29" s="75"/>
      <c r="O29" s="1"/>
      <c r="P29" s="111"/>
      <c r="Q29" s="2"/>
      <c r="R29" s="166"/>
      <c r="S29" s="87"/>
      <c r="T29" s="2"/>
      <c r="U29" s="2"/>
      <c r="V29" s="2"/>
      <c r="W29" s="166"/>
      <c r="X29" s="2"/>
    </row>
    <row r="30" spans="2:24" ht="9" customHeight="1" x14ac:dyDescent="0.4">
      <c r="B30" s="129"/>
      <c r="C30" s="76"/>
      <c r="D30" s="77"/>
      <c r="E30" s="77"/>
      <c r="F30" s="77"/>
      <c r="G30" s="81"/>
      <c r="H30" s="115"/>
      <c r="I30" s="83"/>
      <c r="J30" s="81"/>
      <c r="K30" s="119"/>
      <c r="L30" s="115"/>
      <c r="M30" s="83"/>
      <c r="N30" s="77"/>
      <c r="O30" s="1"/>
      <c r="P30" s="111"/>
      <c r="Q30" s="2"/>
      <c r="R30" s="166"/>
      <c r="S30" s="87"/>
      <c r="T30" s="2"/>
      <c r="U30" s="2"/>
      <c r="V30" s="2"/>
      <c r="W30" s="166"/>
      <c r="X30" s="2"/>
    </row>
    <row r="31" spans="2:24" ht="9" customHeight="1" x14ac:dyDescent="0.4">
      <c r="B31" s="129"/>
      <c r="C31" s="78"/>
      <c r="D31" s="75"/>
      <c r="E31" s="75"/>
      <c r="F31" s="75"/>
      <c r="G31" s="80"/>
      <c r="H31" s="116"/>
      <c r="I31" s="114"/>
      <c r="J31" s="107"/>
      <c r="K31" s="120"/>
      <c r="L31" s="116"/>
      <c r="M31" s="85"/>
      <c r="N31" s="75"/>
      <c r="O31" s="1"/>
      <c r="P31" s="111"/>
      <c r="Q31" s="2"/>
      <c r="R31" s="166"/>
      <c r="S31" s="87"/>
      <c r="T31" s="2"/>
      <c r="U31" s="2"/>
      <c r="V31" s="2"/>
      <c r="W31" s="166"/>
      <c r="X31" s="2"/>
    </row>
    <row r="32" spans="2:24" ht="9" customHeight="1" x14ac:dyDescent="0.4">
      <c r="B32" s="129"/>
      <c r="C32" s="121"/>
      <c r="D32" s="83"/>
      <c r="E32" s="77"/>
      <c r="F32" s="77"/>
      <c r="G32" s="81"/>
      <c r="H32" s="115"/>
      <c r="I32" s="115"/>
      <c r="J32" s="108"/>
      <c r="K32" s="122"/>
      <c r="L32" s="115"/>
      <c r="M32" s="85"/>
      <c r="N32" s="77"/>
      <c r="O32" s="1"/>
      <c r="P32" s="111"/>
      <c r="Q32" s="2"/>
      <c r="R32" s="166"/>
      <c r="S32" s="87"/>
      <c r="T32" s="2"/>
      <c r="U32" s="2"/>
      <c r="V32" s="2"/>
      <c r="W32" s="166"/>
      <c r="X32" s="2"/>
    </row>
    <row r="33" spans="1:24" ht="9" customHeight="1" x14ac:dyDescent="0.4">
      <c r="B33" s="129"/>
      <c r="C33" s="116"/>
      <c r="D33" s="107"/>
      <c r="E33" s="121"/>
      <c r="F33" s="82"/>
      <c r="G33" s="84"/>
      <c r="H33" s="116"/>
      <c r="I33" s="116"/>
      <c r="J33" s="107"/>
      <c r="K33" s="123"/>
      <c r="L33" s="116"/>
      <c r="M33" s="114"/>
      <c r="N33" s="82"/>
      <c r="O33" s="1"/>
      <c r="P33" s="111"/>
      <c r="Q33" s="2"/>
      <c r="R33" s="166"/>
      <c r="S33" s="87"/>
      <c r="T33" s="2"/>
      <c r="U33" s="2"/>
      <c r="V33" s="2"/>
      <c r="W33" s="166"/>
      <c r="X33" s="2"/>
    </row>
    <row r="34" spans="1:24" ht="9" customHeight="1" x14ac:dyDescent="0.4">
      <c r="B34" s="129"/>
      <c r="C34" s="115"/>
      <c r="D34" s="108"/>
      <c r="E34" s="121"/>
      <c r="F34" s="108"/>
      <c r="G34" s="121"/>
      <c r="H34" s="115"/>
      <c r="I34" s="115"/>
      <c r="J34" s="108"/>
      <c r="K34" s="122"/>
      <c r="L34" s="115"/>
      <c r="M34" s="115"/>
      <c r="N34" s="83"/>
      <c r="O34" s="1"/>
      <c r="P34" s="111"/>
      <c r="Q34" s="2"/>
      <c r="R34" s="166"/>
      <c r="S34" s="87"/>
      <c r="T34" s="2"/>
      <c r="U34" s="2"/>
      <c r="V34" s="2"/>
      <c r="W34" s="166"/>
      <c r="X34" s="2"/>
    </row>
    <row r="35" spans="1:24" ht="9" customHeight="1" x14ac:dyDescent="0.4">
      <c r="B35" s="129"/>
      <c r="C35" s="116"/>
      <c r="D35" s="107"/>
      <c r="E35" s="116"/>
      <c r="F35" s="124"/>
      <c r="G35" s="116"/>
      <c r="H35" s="125"/>
      <c r="I35" s="116"/>
      <c r="J35" s="107"/>
      <c r="K35" s="123"/>
      <c r="L35" s="116"/>
      <c r="M35" s="116"/>
      <c r="N35" s="82"/>
      <c r="O35" s="1"/>
      <c r="P35" s="111"/>
      <c r="Q35" s="2"/>
      <c r="R35" s="166"/>
      <c r="S35" s="87"/>
      <c r="T35" s="2"/>
      <c r="U35" s="2"/>
      <c r="V35" s="2"/>
      <c r="W35" s="166"/>
      <c r="X35" s="2"/>
    </row>
    <row r="36" spans="1:24" ht="9" customHeight="1" x14ac:dyDescent="0.4">
      <c r="B36" s="129"/>
      <c r="C36" s="115"/>
      <c r="D36" s="108"/>
      <c r="E36" s="115"/>
      <c r="F36" s="108"/>
      <c r="G36" s="115"/>
      <c r="H36" s="125"/>
      <c r="I36" s="115"/>
      <c r="J36" s="108"/>
      <c r="K36" s="122"/>
      <c r="L36" s="115"/>
      <c r="M36" s="115"/>
      <c r="N36" s="83"/>
      <c r="O36" s="1"/>
      <c r="P36" s="111"/>
      <c r="Q36" s="2"/>
      <c r="R36" s="166"/>
      <c r="S36" s="87"/>
      <c r="T36" s="2"/>
      <c r="U36" s="2"/>
      <c r="V36" s="2"/>
      <c r="W36" s="166"/>
      <c r="X36" s="2"/>
    </row>
    <row r="37" spans="1:24" ht="9" customHeight="1" x14ac:dyDescent="0.4">
      <c r="B37" s="129"/>
      <c r="C37" s="116"/>
      <c r="D37" s="107"/>
      <c r="E37" s="116"/>
      <c r="F37" s="107"/>
      <c r="G37" s="116"/>
      <c r="H37" s="114"/>
      <c r="I37" s="116"/>
      <c r="J37" s="107"/>
      <c r="K37" s="123"/>
      <c r="L37" s="116"/>
      <c r="M37" s="126"/>
      <c r="N37" s="82"/>
      <c r="O37" s="1"/>
      <c r="P37" s="111"/>
      <c r="Q37" s="2"/>
      <c r="R37" s="166"/>
      <c r="S37" s="87"/>
      <c r="T37" s="2"/>
      <c r="U37" s="2"/>
      <c r="V37" s="2"/>
      <c r="W37" s="166"/>
      <c r="X37" s="2"/>
    </row>
    <row r="38" spans="1:24" ht="9" customHeight="1" x14ac:dyDescent="0.4">
      <c r="B38" s="129"/>
      <c r="C38" s="115"/>
      <c r="D38" s="108"/>
      <c r="E38" s="115"/>
      <c r="F38" s="108"/>
      <c r="G38" s="117"/>
      <c r="H38" s="115"/>
      <c r="I38" s="115"/>
      <c r="J38" s="108"/>
      <c r="K38" s="122"/>
      <c r="L38" s="115"/>
      <c r="M38" s="121"/>
      <c r="N38" s="83"/>
      <c r="O38" s="1"/>
      <c r="P38" s="111"/>
      <c r="Q38" s="2"/>
      <c r="R38" s="166"/>
      <c r="S38" s="87"/>
      <c r="T38" s="2"/>
      <c r="U38" s="2"/>
      <c r="V38" s="2"/>
      <c r="W38" s="166"/>
      <c r="X38" s="2"/>
    </row>
    <row r="39" spans="1:24" ht="9" customHeight="1" x14ac:dyDescent="0.4">
      <c r="B39" s="129"/>
      <c r="C39" s="116"/>
      <c r="D39" s="107"/>
      <c r="E39" s="116"/>
      <c r="F39" s="107"/>
      <c r="G39" s="120"/>
      <c r="H39" s="116"/>
      <c r="I39" s="116"/>
      <c r="J39" s="107"/>
      <c r="K39" s="123"/>
      <c r="L39" s="116"/>
      <c r="M39" s="116"/>
      <c r="N39" s="82"/>
      <c r="O39" s="1"/>
      <c r="P39" s="111"/>
      <c r="Q39" s="2"/>
      <c r="R39" s="166"/>
      <c r="S39" s="87"/>
      <c r="T39" s="2"/>
      <c r="U39" s="2"/>
      <c r="V39" s="2"/>
      <c r="W39" s="166"/>
      <c r="X39" s="2"/>
    </row>
    <row r="40" spans="1:24" ht="9" customHeight="1" x14ac:dyDescent="0.4">
      <c r="B40" s="129"/>
      <c r="C40" s="115"/>
      <c r="D40" s="108"/>
      <c r="E40" s="115"/>
      <c r="F40" s="108"/>
      <c r="G40" s="122"/>
      <c r="H40" s="115"/>
      <c r="I40" s="115"/>
      <c r="J40" s="108"/>
      <c r="K40" s="122"/>
      <c r="L40" s="115"/>
      <c r="M40" s="115"/>
      <c r="N40" s="83"/>
      <c r="O40" s="1"/>
      <c r="P40" s="111"/>
      <c r="Q40" s="2"/>
      <c r="R40" s="166"/>
      <c r="S40" s="87"/>
      <c r="T40" s="2"/>
      <c r="U40" s="2"/>
      <c r="V40" s="2"/>
      <c r="W40" s="166"/>
      <c r="X40" s="2"/>
    </row>
    <row r="41" spans="1:24" ht="9" customHeight="1" x14ac:dyDescent="0.4">
      <c r="B41" s="129"/>
      <c r="C41" s="116"/>
      <c r="D41" s="2"/>
      <c r="E41" s="116"/>
      <c r="F41" s="2"/>
      <c r="G41" s="123"/>
      <c r="H41" s="116"/>
      <c r="I41" s="116"/>
      <c r="J41" s="107"/>
      <c r="K41" s="123"/>
      <c r="L41" s="116"/>
      <c r="M41" s="116"/>
      <c r="N41" s="82"/>
      <c r="O41" s="1"/>
      <c r="P41" s="55"/>
      <c r="Q41" s="2"/>
      <c r="R41" s="166"/>
      <c r="S41" s="87"/>
      <c r="T41" s="2"/>
      <c r="U41" s="2"/>
      <c r="V41" s="2"/>
      <c r="W41" s="167"/>
      <c r="X41" s="2"/>
    </row>
    <row r="42" spans="1:24" ht="9" customHeight="1" x14ac:dyDescent="0.4">
      <c r="B42" s="129"/>
      <c r="C42" s="115"/>
      <c r="D42" s="2"/>
      <c r="E42" s="115"/>
      <c r="F42" s="121"/>
      <c r="G42" s="122"/>
      <c r="H42" s="115"/>
      <c r="I42" s="115"/>
      <c r="J42" s="108"/>
      <c r="K42" s="122"/>
      <c r="L42" s="115"/>
      <c r="M42" s="115"/>
      <c r="N42" s="83"/>
      <c r="O42" s="1"/>
      <c r="P42" s="55"/>
      <c r="Q42" s="2"/>
      <c r="R42" s="166"/>
      <c r="S42" s="87"/>
      <c r="T42" s="2"/>
      <c r="U42" s="97"/>
      <c r="V42" s="2"/>
      <c r="W42" s="167"/>
      <c r="X42" s="2"/>
    </row>
    <row r="43" spans="1:24" ht="9" customHeight="1" x14ac:dyDescent="0.4">
      <c r="B43" s="129"/>
      <c r="C43" s="125"/>
      <c r="D43" s="114"/>
      <c r="E43" s="116"/>
      <c r="F43" s="116"/>
      <c r="G43" s="123"/>
      <c r="H43" s="116"/>
      <c r="I43" s="116"/>
      <c r="J43" s="107"/>
      <c r="K43" s="123"/>
      <c r="L43" s="116"/>
      <c r="M43" s="116"/>
      <c r="N43" s="82"/>
      <c r="O43" s="1"/>
      <c r="P43" s="111"/>
      <c r="Q43" s="2"/>
      <c r="R43" s="166"/>
      <c r="S43" s="87"/>
      <c r="T43" s="2"/>
      <c r="U43" s="97"/>
      <c r="V43" s="2"/>
      <c r="W43" s="166"/>
      <c r="X43" s="2"/>
    </row>
    <row r="44" spans="1:24" ht="9" customHeight="1" x14ac:dyDescent="0.4">
      <c r="B44" s="129"/>
      <c r="C44" s="125"/>
      <c r="D44" s="115"/>
      <c r="E44" s="115"/>
      <c r="F44" s="115"/>
      <c r="G44" s="122"/>
      <c r="H44" s="115"/>
      <c r="I44" s="115"/>
      <c r="J44" s="108"/>
      <c r="K44" s="122"/>
      <c r="L44" s="115"/>
      <c r="M44" s="115"/>
      <c r="N44" s="83"/>
      <c r="O44" s="1"/>
      <c r="P44" s="111"/>
      <c r="Q44" s="2"/>
      <c r="R44" s="166"/>
      <c r="S44" s="87"/>
      <c r="T44" s="2"/>
      <c r="U44" s="97"/>
      <c r="V44" s="2"/>
      <c r="W44" s="166"/>
      <c r="X44" s="2"/>
    </row>
    <row r="45" spans="1:24" ht="9" customHeight="1" x14ac:dyDescent="0.4">
      <c r="A45" s="3"/>
      <c r="B45" s="166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11"/>
      <c r="Q45" s="2"/>
      <c r="R45" s="166"/>
      <c r="S45" s="87"/>
      <c r="T45" s="2"/>
      <c r="U45" s="97"/>
      <c r="V45" s="2"/>
      <c r="W45" s="166"/>
      <c r="X45" s="2"/>
    </row>
    <row r="46" spans="1:24" ht="9" customHeight="1" x14ac:dyDescent="0.4">
      <c r="A46" s="3"/>
      <c r="B46" s="16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11"/>
      <c r="Q46" s="2"/>
      <c r="R46" s="166"/>
      <c r="S46" s="87"/>
      <c r="T46" s="2"/>
      <c r="U46" s="97"/>
      <c r="V46" s="2"/>
      <c r="W46" s="166"/>
      <c r="X46" s="2"/>
    </row>
    <row r="47" spans="1:24" ht="9" customHeight="1" x14ac:dyDescent="0.4">
      <c r="A47" s="3"/>
      <c r="B47" s="166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111"/>
      <c r="Q47" s="2"/>
      <c r="R47" s="166"/>
      <c r="S47" s="87"/>
      <c r="T47" s="2"/>
      <c r="U47" s="97"/>
      <c r="V47" s="2"/>
      <c r="W47" s="166"/>
      <c r="X47" s="2"/>
    </row>
    <row r="48" spans="1:24" ht="9" customHeight="1" x14ac:dyDescent="0.4">
      <c r="A48" s="3"/>
      <c r="B48" s="16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11"/>
      <c r="Q48" s="2"/>
      <c r="R48" s="166"/>
      <c r="S48" s="87"/>
      <c r="T48" s="2"/>
      <c r="U48" s="97"/>
      <c r="V48" s="2"/>
      <c r="W48" s="166"/>
      <c r="X48" s="2"/>
    </row>
    <row r="49" spans="1:24" ht="9" customHeight="1" x14ac:dyDescent="0.4">
      <c r="A49" s="3"/>
      <c r="B49" s="16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111"/>
      <c r="Q49" s="2"/>
      <c r="R49" s="166"/>
      <c r="S49" s="87"/>
      <c r="T49" s="2"/>
      <c r="U49" s="97"/>
      <c r="V49" s="2"/>
      <c r="W49" s="166"/>
      <c r="X49" s="2"/>
    </row>
    <row r="50" spans="1:24" ht="9" customHeight="1" x14ac:dyDescent="0.4">
      <c r="A50" s="3"/>
      <c r="B50" s="166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11"/>
      <c r="Q50" s="2"/>
      <c r="R50" s="166"/>
      <c r="S50" s="87"/>
      <c r="T50" s="2"/>
      <c r="U50" s="97"/>
      <c r="V50" s="2"/>
      <c r="W50" s="166"/>
      <c r="X50" s="2"/>
    </row>
    <row r="51" spans="1:24" ht="9" customHeight="1" x14ac:dyDescent="0.4">
      <c r="A51" s="3"/>
      <c r="B51" s="16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111"/>
      <c r="Q51" s="2"/>
      <c r="R51" s="166"/>
      <c r="S51" s="87"/>
      <c r="T51" s="2"/>
      <c r="U51" s="97"/>
      <c r="V51" s="2"/>
      <c r="W51" s="166"/>
      <c r="X51" s="2"/>
    </row>
    <row r="52" spans="1:24" ht="9" customHeight="1" x14ac:dyDescent="0.4">
      <c r="A52" s="3"/>
      <c r="B52" s="16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11"/>
      <c r="Q52" s="2"/>
      <c r="R52" s="166"/>
      <c r="S52" s="87"/>
      <c r="T52" s="2"/>
      <c r="U52" s="97"/>
      <c r="V52" s="2"/>
      <c r="W52" s="166"/>
      <c r="X52" s="2"/>
    </row>
    <row r="53" spans="1:24" ht="9" customHeight="1" x14ac:dyDescent="0.4">
      <c r="A53" s="3"/>
      <c r="B53" s="16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11"/>
      <c r="Q53" s="2"/>
      <c r="R53" s="166"/>
      <c r="S53" s="87"/>
      <c r="T53" s="2"/>
      <c r="U53" s="97"/>
      <c r="V53" s="2"/>
      <c r="W53" s="166"/>
      <c r="X53" s="2"/>
    </row>
    <row r="54" spans="1:24" ht="9" customHeight="1" x14ac:dyDescent="0.4">
      <c r="A54" s="3"/>
      <c r="B54" s="16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111"/>
      <c r="Q54" s="2"/>
      <c r="R54" s="166"/>
      <c r="S54" s="87"/>
      <c r="T54" s="2"/>
      <c r="U54" s="97"/>
      <c r="V54" s="2"/>
      <c r="W54" s="166"/>
      <c r="X54" s="2"/>
    </row>
    <row r="55" spans="1:24" ht="9" customHeight="1" x14ac:dyDescent="0.4">
      <c r="A55" s="3"/>
      <c r="B55" s="16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11"/>
      <c r="Q55" s="2"/>
      <c r="R55" s="166"/>
      <c r="S55" s="87"/>
      <c r="T55" s="2"/>
      <c r="U55" s="97"/>
      <c r="V55" s="2"/>
      <c r="W55" s="166"/>
      <c r="X55" s="2"/>
    </row>
    <row r="56" spans="1:24" ht="9" customHeight="1" x14ac:dyDescent="0.4">
      <c r="A56" s="3"/>
      <c r="B56" s="16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111"/>
      <c r="Q56" s="2"/>
      <c r="R56" s="166"/>
      <c r="S56" s="87"/>
      <c r="T56" s="2"/>
      <c r="U56" s="97"/>
      <c r="V56" s="2"/>
      <c r="W56" s="166"/>
      <c r="X56" s="2"/>
    </row>
    <row r="57" spans="1:24" ht="9" customHeight="1" x14ac:dyDescent="0.4">
      <c r="A57" s="3"/>
      <c r="B57" s="16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27"/>
      <c r="P57" s="164"/>
      <c r="Q57" s="2"/>
      <c r="R57" s="166"/>
      <c r="S57" s="87"/>
      <c r="T57" s="2"/>
      <c r="U57" s="97"/>
      <c r="V57" s="2"/>
      <c r="W57" s="167"/>
      <c r="X57" s="2"/>
    </row>
    <row r="58" spans="1:24" ht="9" customHeight="1" x14ac:dyDescent="0.4">
      <c r="A58" s="3"/>
      <c r="B58" s="166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28"/>
      <c r="P58" s="164"/>
      <c r="Q58" s="2"/>
      <c r="R58" s="166"/>
      <c r="S58" s="87"/>
      <c r="T58" s="2"/>
      <c r="U58" s="97"/>
      <c r="V58" s="2"/>
      <c r="W58" s="167"/>
      <c r="X58" s="2"/>
    </row>
    <row r="59" spans="1:24" ht="9" customHeight="1" x14ac:dyDescent="0.4">
      <c r="A59" s="3"/>
      <c r="B59" s="16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28"/>
      <c r="P59" s="164"/>
      <c r="Q59" s="2"/>
      <c r="R59" s="166"/>
      <c r="S59" s="87"/>
      <c r="T59" s="2"/>
      <c r="U59" s="2"/>
      <c r="V59" s="2"/>
      <c r="W59" s="166"/>
      <c r="X59" s="2"/>
    </row>
    <row r="60" spans="1:24" ht="9" customHeight="1" x14ac:dyDescent="0.4">
      <c r="A60" s="3"/>
      <c r="B60" s="16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28"/>
      <c r="P60" s="164"/>
      <c r="Q60" s="2"/>
      <c r="R60" s="166"/>
      <c r="S60" s="87"/>
      <c r="T60" s="2"/>
      <c r="U60" s="2"/>
      <c r="V60" s="2"/>
      <c r="W60" s="166"/>
      <c r="X60" s="2"/>
    </row>
    <row r="61" spans="1:24" ht="9" customHeight="1" x14ac:dyDescent="0.4">
      <c r="A61" s="3"/>
      <c r="B61" s="166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28"/>
      <c r="P61" s="164"/>
      <c r="Q61" s="2"/>
      <c r="R61" s="166"/>
      <c r="S61" s="87"/>
      <c r="T61" s="2"/>
      <c r="U61" s="2"/>
      <c r="V61" s="2"/>
      <c r="W61" s="166"/>
      <c r="X61" s="2"/>
    </row>
    <row r="62" spans="1:24" ht="9" customHeight="1" x14ac:dyDescent="0.4">
      <c r="A62" s="3"/>
      <c r="B62" s="16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28"/>
      <c r="P62" s="164"/>
      <c r="Q62" s="2"/>
      <c r="R62" s="166"/>
      <c r="S62" s="87"/>
      <c r="T62" s="2"/>
      <c r="U62" s="2"/>
      <c r="V62" s="2"/>
      <c r="W62" s="166"/>
      <c r="X62" s="2"/>
    </row>
    <row r="63" spans="1:24" ht="9" customHeight="1" x14ac:dyDescent="0.4">
      <c r="A63" s="3"/>
      <c r="B63" s="166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28"/>
      <c r="P63" s="164"/>
      <c r="Q63" s="2"/>
      <c r="R63" s="166"/>
      <c r="S63" s="87"/>
      <c r="T63" s="2"/>
      <c r="U63" s="2"/>
      <c r="V63" s="2"/>
      <c r="W63" s="166"/>
      <c r="X63" s="2"/>
    </row>
    <row r="64" spans="1:24" ht="9" customHeight="1" x14ac:dyDescent="0.4">
      <c r="A64" s="3"/>
      <c r="B64" s="166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28"/>
      <c r="P64" s="164"/>
      <c r="Q64" s="2"/>
      <c r="R64" s="166"/>
      <c r="S64" s="87"/>
      <c r="T64" s="2"/>
      <c r="U64" s="2"/>
      <c r="V64" s="2"/>
      <c r="W64" s="166"/>
      <c r="X64" s="2"/>
    </row>
    <row r="65" spans="1:24" ht="9" customHeight="1" x14ac:dyDescent="0.4">
      <c r="A65" s="3"/>
      <c r="B65" s="16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28"/>
      <c r="P65" s="164"/>
      <c r="Q65" s="2"/>
      <c r="R65" s="166"/>
      <c r="S65" s="87"/>
      <c r="T65" s="2"/>
      <c r="U65" s="2"/>
      <c r="V65" s="2"/>
      <c r="W65" s="166"/>
      <c r="X65" s="2"/>
    </row>
    <row r="66" spans="1:24" ht="9" customHeight="1" x14ac:dyDescent="0.4">
      <c r="A66" s="3"/>
      <c r="B66" s="16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11"/>
      <c r="Q66" s="2"/>
      <c r="R66" s="166"/>
      <c r="S66" s="87"/>
      <c r="T66" s="2"/>
      <c r="U66" s="2"/>
      <c r="V66" s="2"/>
      <c r="W66" s="166"/>
      <c r="X66" s="2"/>
    </row>
    <row r="67" spans="1:24" ht="9" customHeight="1" x14ac:dyDescent="0.4">
      <c r="A67" s="3"/>
      <c r="B67" s="166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111"/>
      <c r="Q67" s="2"/>
      <c r="R67" s="166"/>
      <c r="S67" s="87"/>
      <c r="T67" s="2"/>
      <c r="U67" s="2"/>
      <c r="V67" s="2"/>
      <c r="W67" s="166"/>
      <c r="X67" s="2"/>
    </row>
    <row r="68" spans="1:24" ht="9" customHeight="1" x14ac:dyDescent="0.4">
      <c r="A68" s="3"/>
      <c r="B68" s="16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111"/>
      <c r="Q68" s="2"/>
      <c r="R68" s="166"/>
      <c r="S68" s="87"/>
      <c r="T68" s="2"/>
      <c r="U68" s="2"/>
      <c r="V68" s="2"/>
      <c r="W68" s="166"/>
      <c r="X68" s="2"/>
    </row>
    <row r="69" spans="1:24" ht="9" customHeight="1" x14ac:dyDescent="0.4">
      <c r="A69" s="3"/>
      <c r="B69" s="16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11"/>
      <c r="Q69" s="2"/>
      <c r="R69" s="166"/>
      <c r="S69" s="87"/>
      <c r="T69" s="2"/>
      <c r="U69" s="2"/>
      <c r="V69" s="2"/>
      <c r="W69" s="166"/>
      <c r="X69" s="2"/>
    </row>
    <row r="70" spans="1:24" ht="9" customHeight="1" x14ac:dyDescent="0.4">
      <c r="A70" s="3"/>
      <c r="B70" s="166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11"/>
      <c r="Q70" s="2"/>
      <c r="R70" s="166"/>
      <c r="S70" s="87"/>
      <c r="T70" s="2"/>
      <c r="U70" s="2"/>
      <c r="V70" s="2"/>
      <c r="W70" s="166"/>
      <c r="X70" s="2"/>
    </row>
    <row r="71" spans="1:24" ht="9" customHeight="1" x14ac:dyDescent="0.4">
      <c r="A71" s="3"/>
      <c r="B71" s="16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11"/>
      <c r="Q71" s="2"/>
      <c r="R71" s="166"/>
      <c r="S71" s="87"/>
      <c r="T71" s="2"/>
      <c r="U71" s="2"/>
      <c r="V71" s="2"/>
      <c r="W71" s="166"/>
      <c r="X71" s="2"/>
    </row>
    <row r="72" spans="1:24" ht="9" customHeight="1" x14ac:dyDescent="0.4">
      <c r="A72" s="3"/>
      <c r="B72" s="16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11"/>
      <c r="Q72" s="2"/>
      <c r="R72" s="166"/>
      <c r="S72" s="87"/>
      <c r="T72" s="2"/>
      <c r="U72" s="2"/>
      <c r="V72" s="2"/>
      <c r="W72" s="166"/>
      <c r="X72" s="2"/>
    </row>
    <row r="73" spans="1:24" ht="9" customHeight="1" x14ac:dyDescent="0.4">
      <c r="A73" s="3"/>
      <c r="B73" s="16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5"/>
      <c r="Q73" s="2"/>
      <c r="R73" s="166"/>
      <c r="S73" s="87"/>
      <c r="T73" s="2"/>
      <c r="U73" s="2"/>
      <c r="V73" s="2"/>
      <c r="W73" s="167"/>
      <c r="X73" s="2"/>
    </row>
    <row r="74" spans="1:24" ht="9" customHeight="1" x14ac:dyDescent="0.4">
      <c r="A74" s="3"/>
      <c r="B74" s="16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5"/>
      <c r="Q74" s="2"/>
      <c r="R74" s="166"/>
      <c r="S74" s="87"/>
      <c r="T74" s="2"/>
      <c r="U74" s="2"/>
      <c r="V74" s="2"/>
      <c r="W74" s="167"/>
      <c r="X74" s="2"/>
    </row>
    <row r="75" spans="1:24" ht="9" customHeight="1" x14ac:dyDescent="0.4">
      <c r="A75" s="3"/>
      <c r="B75" s="16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11"/>
      <c r="Q75" s="2"/>
      <c r="R75" s="166"/>
      <c r="S75" s="87"/>
      <c r="T75" s="2"/>
      <c r="U75" s="2"/>
      <c r="V75" s="2"/>
      <c r="W75" s="166"/>
      <c r="X75" s="2"/>
    </row>
    <row r="76" spans="1:24" ht="9" customHeight="1" x14ac:dyDescent="0.4">
      <c r="A76" s="3"/>
      <c r="B76" s="16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11"/>
      <c r="Q76" s="2"/>
      <c r="R76" s="166"/>
      <c r="S76" s="87"/>
      <c r="T76" s="2"/>
      <c r="U76" s="2"/>
      <c r="V76" s="2"/>
      <c r="W76" s="166"/>
      <c r="X76" s="2"/>
    </row>
    <row r="77" spans="1:24" ht="9" customHeight="1" x14ac:dyDescent="0.4">
      <c r="A77" s="3"/>
      <c r="B77" s="16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11"/>
      <c r="Q77" s="2"/>
      <c r="R77" s="166"/>
      <c r="S77" s="87"/>
      <c r="T77" s="2"/>
      <c r="U77" s="2"/>
      <c r="V77" s="2"/>
      <c r="W77" s="166"/>
      <c r="X77" s="2"/>
    </row>
    <row r="78" spans="1:24" ht="9" customHeight="1" x14ac:dyDescent="0.4">
      <c r="A78" s="3"/>
      <c r="B78" s="16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11"/>
      <c r="Q78" s="2"/>
      <c r="R78" s="166"/>
      <c r="S78" s="87"/>
      <c r="T78" s="2"/>
      <c r="U78" s="2"/>
      <c r="V78" s="2"/>
      <c r="W78" s="166"/>
      <c r="X78" s="2"/>
    </row>
    <row r="79" spans="1:24" ht="9" customHeight="1" x14ac:dyDescent="0.4">
      <c r="A79" s="3"/>
      <c r="B79" s="16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11"/>
      <c r="Q79" s="2"/>
      <c r="R79" s="166"/>
      <c r="S79" s="87"/>
      <c r="T79" s="2"/>
      <c r="U79" s="2"/>
      <c r="V79" s="2"/>
      <c r="W79" s="166"/>
      <c r="X79" s="2"/>
    </row>
    <row r="80" spans="1:24" ht="9" customHeight="1" x14ac:dyDescent="0.4">
      <c r="A80" s="3"/>
      <c r="B80" s="16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11"/>
      <c r="Q80" s="2"/>
      <c r="R80" s="166"/>
      <c r="S80" s="87"/>
      <c r="T80" s="2"/>
      <c r="U80" s="2"/>
      <c r="V80" s="2"/>
      <c r="W80" s="166"/>
      <c r="X80" s="2"/>
    </row>
    <row r="81" spans="1:25" ht="9" customHeight="1" x14ac:dyDescent="0.4">
      <c r="A81" s="3"/>
      <c r="B81" s="166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11"/>
      <c r="Q81" s="2"/>
      <c r="R81" s="166"/>
      <c r="S81" s="87"/>
      <c r="T81" s="2"/>
      <c r="U81" s="2"/>
      <c r="V81" s="2"/>
      <c r="W81" s="166"/>
      <c r="X81" s="2"/>
    </row>
    <row r="82" spans="1:25" ht="9" customHeight="1" x14ac:dyDescent="0.4">
      <c r="A82" s="3"/>
      <c r="B82" s="166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11"/>
      <c r="Q82" s="2"/>
      <c r="R82" s="166"/>
      <c r="S82" s="87"/>
      <c r="T82" s="2"/>
      <c r="U82" s="2"/>
      <c r="V82" s="2"/>
      <c r="W82" s="166"/>
      <c r="X82" s="2"/>
    </row>
    <row r="83" spans="1:25" ht="9" customHeight="1" x14ac:dyDescent="0.4">
      <c r="A83" s="3"/>
      <c r="B83" s="166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11"/>
      <c r="Q83" s="2"/>
      <c r="R83" s="166"/>
      <c r="S83" s="87"/>
      <c r="T83" s="2"/>
      <c r="U83" s="2"/>
      <c r="V83" s="2"/>
      <c r="W83" s="166"/>
      <c r="X83" s="2"/>
    </row>
    <row r="84" spans="1:25" ht="9" customHeight="1" x14ac:dyDescent="0.4">
      <c r="A84" s="3"/>
      <c r="B84" s="166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11"/>
      <c r="Q84" s="2"/>
      <c r="R84" s="166"/>
      <c r="S84" s="87"/>
      <c r="T84" s="2"/>
      <c r="U84" s="2"/>
      <c r="V84" s="2"/>
      <c r="W84" s="166"/>
      <c r="X84" s="2"/>
    </row>
    <row r="85" spans="1:25" ht="9" customHeight="1" x14ac:dyDescent="0.4">
      <c r="A85" s="3"/>
      <c r="B85" s="166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11"/>
      <c r="Q85" s="2"/>
      <c r="R85" s="166"/>
      <c r="S85" s="87"/>
      <c r="T85" s="2"/>
      <c r="U85" s="2"/>
      <c r="V85" s="2"/>
      <c r="W85" s="166"/>
      <c r="X85" s="2"/>
    </row>
    <row r="86" spans="1:25" ht="9" customHeight="1" x14ac:dyDescent="0.4">
      <c r="A86" s="3"/>
      <c r="B86" s="166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11"/>
      <c r="Q86" s="2"/>
      <c r="R86" s="166"/>
      <c r="S86" s="87"/>
      <c r="T86" s="2"/>
      <c r="U86" s="2"/>
      <c r="V86" s="2"/>
      <c r="W86" s="166"/>
      <c r="X86" s="2"/>
    </row>
    <row r="87" spans="1:25" ht="9" customHeight="1" x14ac:dyDescent="0.4">
      <c r="A87" s="3"/>
      <c r="B87" s="166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11"/>
      <c r="Q87" s="2"/>
      <c r="R87" s="166"/>
      <c r="S87" s="87"/>
      <c r="T87" s="2"/>
      <c r="U87" s="2"/>
      <c r="V87" s="2"/>
      <c r="W87" s="166"/>
      <c r="X87" s="2"/>
    </row>
    <row r="88" spans="1:25" ht="9" customHeight="1" x14ac:dyDescent="0.4">
      <c r="A88" s="3"/>
      <c r="B88" s="166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11"/>
      <c r="Q88" s="2"/>
      <c r="R88" s="166"/>
      <c r="S88" s="87"/>
      <c r="T88" s="2"/>
      <c r="U88" s="2"/>
      <c r="V88" s="2"/>
      <c r="W88" s="166"/>
      <c r="X88" s="2"/>
    </row>
    <row r="89" spans="1:25" s="10" customFormat="1" ht="20.25" customHeight="1" x14ac:dyDescent="0.4">
      <c r="A89" s="101"/>
      <c r="B89" s="87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"/>
      <c r="P89" s="163">
        <v>49</v>
      </c>
      <c r="Q89" s="23"/>
      <c r="R89" s="87"/>
      <c r="S89" s="156"/>
      <c r="T89" s="156"/>
      <c r="U89" s="156"/>
      <c r="V89" s="156"/>
      <c r="W89" s="87"/>
      <c r="X89" s="23"/>
    </row>
    <row r="90" spans="1:25" ht="16.5" customHeight="1" x14ac:dyDescent="0.25">
      <c r="A90" s="3"/>
      <c r="B90" s="179"/>
      <c r="C90" s="2"/>
      <c r="D90" s="2"/>
      <c r="E90" s="2"/>
      <c r="F90" s="2"/>
      <c r="G90" s="2"/>
      <c r="H90" s="2"/>
      <c r="I90" s="2"/>
      <c r="J90" s="23"/>
      <c r="K90" s="23"/>
      <c r="L90" s="23"/>
      <c r="M90" s="23"/>
      <c r="N90" s="23"/>
      <c r="O90" s="2"/>
      <c r="Q90" s="2"/>
      <c r="R90" s="2"/>
      <c r="S90" s="23"/>
      <c r="T90" s="23"/>
      <c r="U90" s="23"/>
      <c r="V90" s="23"/>
      <c r="W90" s="2"/>
      <c r="X90" s="2"/>
    </row>
    <row r="91" spans="1:25" s="94" customFormat="1" ht="16.5" customHeight="1" x14ac:dyDescent="0.2">
      <c r="B91" s="98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</row>
    <row r="92" spans="1:25" s="91" customFormat="1" ht="16.5" customHeight="1" x14ac:dyDescent="0.25">
      <c r="B92" s="93"/>
      <c r="C92" s="130">
        <v>0</v>
      </c>
      <c r="D92" s="130">
        <v>0</v>
      </c>
      <c r="E92" s="130">
        <v>0</v>
      </c>
      <c r="F92" s="130">
        <v>0</v>
      </c>
      <c r="G92" s="130">
        <v>0</v>
      </c>
      <c r="H92" s="130">
        <v>0</v>
      </c>
      <c r="I92" s="130">
        <v>0</v>
      </c>
      <c r="J92" s="130">
        <v>0</v>
      </c>
      <c r="K92" s="130">
        <v>0</v>
      </c>
      <c r="L92" s="130">
        <v>0</v>
      </c>
      <c r="M92" s="130">
        <v>0</v>
      </c>
      <c r="N92" s="130">
        <v>0</v>
      </c>
      <c r="O92" s="2"/>
      <c r="P92" s="92"/>
      <c r="S92" s="201"/>
      <c r="T92" s="201"/>
      <c r="U92" s="201"/>
      <c r="V92" s="201"/>
      <c r="W92" s="201"/>
    </row>
    <row r="93" spans="1:25" s="2" customFormat="1" ht="16.5" customHeight="1" x14ac:dyDescent="0.25">
      <c r="B93" s="499" t="s">
        <v>46</v>
      </c>
      <c r="C93" s="499"/>
      <c r="D93" s="499"/>
      <c r="E93" s="499"/>
      <c r="F93" s="96"/>
      <c r="G93" s="96"/>
      <c r="H93" s="96"/>
      <c r="I93" s="96"/>
      <c r="J93" s="96"/>
      <c r="K93" s="96"/>
      <c r="L93" s="96"/>
      <c r="M93" s="96"/>
      <c r="N93" s="96"/>
      <c r="P93" s="89"/>
      <c r="S93" s="201"/>
      <c r="T93" s="201"/>
      <c r="U93" s="201"/>
      <c r="V93" s="201"/>
      <c r="W93" s="201"/>
    </row>
    <row r="94" spans="1:25" s="2" customFormat="1" ht="16.5" customHeight="1" x14ac:dyDescent="0.3">
      <c r="B94" s="499"/>
      <c r="C94" s="499"/>
      <c r="D94" s="499"/>
      <c r="E94" s="499"/>
      <c r="F94" s="93"/>
      <c r="G94" s="93"/>
      <c r="H94" s="93"/>
      <c r="I94" s="93"/>
      <c r="J94" s="93"/>
      <c r="K94" s="93"/>
      <c r="L94" s="93"/>
      <c r="M94" s="93"/>
      <c r="N94" s="93"/>
      <c r="P94" s="88"/>
      <c r="Q94" s="88"/>
      <c r="R94" s="88"/>
      <c r="S94" s="88"/>
      <c r="T94" s="88"/>
      <c r="U94" s="88"/>
      <c r="V94" s="88"/>
      <c r="W94" s="88"/>
      <c r="X94" s="88"/>
      <c r="Y94" s="88"/>
    </row>
    <row r="95" spans="1:25" s="2" customFormat="1" ht="16.5" customHeight="1" x14ac:dyDescent="0.3">
      <c r="B95" s="90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P95" s="88"/>
      <c r="Q95" s="484" t="str">
        <f>+'Indicateur Cde P'!Q95:T97</f>
        <v>CUMULE 2020</v>
      </c>
      <c r="R95" s="485"/>
      <c r="S95" s="485"/>
      <c r="T95" s="486"/>
      <c r="U95" s="471">
        <f ca="1">+'Indicateur graph cde_glob'!J68</f>
        <v>2614</v>
      </c>
      <c r="V95" s="472"/>
      <c r="W95" s="515">
        <f ca="1">U95/U98-1</f>
        <v>0.30634682658670664</v>
      </c>
      <c r="X95" s="516"/>
      <c r="Y95" s="88"/>
    </row>
    <row r="96" spans="1:25" s="2" customFormat="1" ht="16.5" customHeight="1" x14ac:dyDescent="0.25">
      <c r="A96" s="86" t="s">
        <v>47</v>
      </c>
      <c r="B96" s="374" t="s">
        <v>48</v>
      </c>
      <c r="C96" s="202">
        <v>43831</v>
      </c>
      <c r="D96" s="202">
        <v>43862</v>
      </c>
      <c r="E96" s="202">
        <v>43891</v>
      </c>
      <c r="F96" s="202">
        <v>43922</v>
      </c>
      <c r="G96" s="202">
        <v>43952</v>
      </c>
      <c r="H96" s="202">
        <v>43983</v>
      </c>
      <c r="I96" s="202">
        <v>44013</v>
      </c>
      <c r="J96" s="202">
        <v>44044</v>
      </c>
      <c r="K96" s="202">
        <v>44075</v>
      </c>
      <c r="L96" s="202">
        <v>44105</v>
      </c>
      <c r="M96" s="202">
        <v>44136</v>
      </c>
      <c r="N96" s="202">
        <v>44166</v>
      </c>
      <c r="P96"/>
      <c r="Q96" s="487"/>
      <c r="R96" s="488"/>
      <c r="S96" s="488"/>
      <c r="T96" s="489"/>
      <c r="U96" s="473"/>
      <c r="V96" s="474"/>
      <c r="W96" s="517"/>
      <c r="X96" s="518"/>
      <c r="Y96"/>
    </row>
    <row r="97" spans="1:25" s="88" customFormat="1" ht="11.25" customHeight="1" x14ac:dyDescent="0.3">
      <c r="B97" s="375"/>
      <c r="P97"/>
      <c r="Q97" s="490"/>
      <c r="R97" s="491"/>
      <c r="S97" s="491"/>
      <c r="T97" s="492"/>
      <c r="U97" s="475"/>
      <c r="V97" s="476"/>
      <c r="W97" s="519"/>
      <c r="X97" s="520"/>
      <c r="Y97"/>
    </row>
    <row r="98" spans="1:25" s="88" customFormat="1" ht="24.95" customHeight="1" x14ac:dyDescent="0.35">
      <c r="A98" s="88" t="s">
        <v>221</v>
      </c>
      <c r="B98" s="376">
        <v>110</v>
      </c>
      <c r="C98" s="180"/>
      <c r="D98" s="521" t="s">
        <v>241</v>
      </c>
      <c r="E98" s="521"/>
      <c r="F98" s="180"/>
      <c r="G98" s="180"/>
      <c r="H98" s="180"/>
      <c r="I98" s="180"/>
      <c r="J98" s="180"/>
      <c r="K98" s="180"/>
      <c r="L98" s="180"/>
      <c r="M98" s="180"/>
      <c r="N98" s="180"/>
      <c r="Q98" s="465" t="str">
        <f>+'Indicateur Cde P'!Q98:T99</f>
        <v>CUMULE 2019</v>
      </c>
      <c r="R98" s="466"/>
      <c r="S98" s="466"/>
      <c r="T98" s="467"/>
      <c r="U98" s="477">
        <f>+'Indicateur graph cde_glob'!K68</f>
        <v>2001</v>
      </c>
      <c r="V98" s="478"/>
      <c r="W98" s="172"/>
      <c r="X98" s="172"/>
    </row>
    <row r="99" spans="1:25" ht="24.95" customHeight="1" x14ac:dyDescent="0.35">
      <c r="A99" s="88"/>
      <c r="B99" s="376"/>
      <c r="C99" s="180"/>
      <c r="D99" s="180"/>
      <c r="E99" s="180"/>
      <c r="F99" s="180"/>
      <c r="G99" s="180"/>
      <c r="H99" s="180"/>
      <c r="I99" s="180"/>
      <c r="J99" s="180"/>
      <c r="K99" s="180"/>
      <c r="L99" s="180"/>
      <c r="M99" s="180"/>
      <c r="N99" s="180"/>
      <c r="P99" s="88"/>
      <c r="Q99" s="468"/>
      <c r="R99" s="469"/>
      <c r="S99" s="469"/>
      <c r="T99" s="470"/>
      <c r="U99" s="479"/>
      <c r="V99" s="480"/>
      <c r="W99" s="173"/>
      <c r="X99" s="173"/>
      <c r="Y99" s="73"/>
    </row>
    <row r="100" spans="1:25" ht="24.95" customHeight="1" x14ac:dyDescent="0.3">
      <c r="B100" s="377"/>
      <c r="P100" s="88"/>
      <c r="Q100" s="203"/>
      <c r="R100" s="203"/>
      <c r="S100" s="203"/>
      <c r="T100" s="203"/>
      <c r="U100" s="204"/>
      <c r="V100" s="204"/>
      <c r="W100" s="173"/>
      <c r="X100" s="173"/>
      <c r="Y100" s="73"/>
    </row>
    <row r="101" spans="1:25" s="88" customFormat="1" ht="24.95" customHeight="1" x14ac:dyDescent="0.3">
      <c r="B101" s="375"/>
      <c r="P101" s="207"/>
      <c r="Q101" s="205"/>
      <c r="R101" s="205"/>
      <c r="S101" s="205"/>
      <c r="T101" s="205"/>
      <c r="U101" s="206"/>
      <c r="V101" s="206"/>
      <c r="W101" s="173"/>
      <c r="X101" s="173"/>
      <c r="Y101" s="73"/>
    </row>
    <row r="102" spans="1:25" s="73" customFormat="1" ht="15" customHeight="1" x14ac:dyDescent="0.3">
      <c r="P102" s="89"/>
      <c r="Q102" s="113"/>
      <c r="R102" s="113"/>
      <c r="S102" s="113"/>
      <c r="T102" s="194"/>
      <c r="U102" s="178"/>
      <c r="V102" s="178"/>
      <c r="W102" s="2"/>
      <c r="X102" s="2"/>
      <c r="Y102" s="2"/>
    </row>
    <row r="103" spans="1:25" s="73" customFormat="1" ht="15" customHeight="1" x14ac:dyDescent="0.3">
      <c r="B103" s="10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</row>
    <row r="104" spans="1:25" ht="16.5" customHeight="1" x14ac:dyDescent="0.25">
      <c r="A104" s="196"/>
      <c r="B104" s="19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62"/>
      <c r="N104" s="62"/>
      <c r="O104" s="48"/>
      <c r="P104" s="48"/>
      <c r="Q104" s="48"/>
      <c r="R104" s="48"/>
      <c r="S104" s="48"/>
      <c r="T104" s="48"/>
      <c r="U104" s="48"/>
      <c r="V104" s="48"/>
      <c r="W104" s="48"/>
      <c r="X104" s="174"/>
    </row>
    <row r="105" spans="1:25" ht="16.5" customHeight="1" x14ac:dyDescent="0.25">
      <c r="A105" s="198"/>
      <c r="B105" s="418" t="s">
        <v>42</v>
      </c>
      <c r="C105" s="418"/>
      <c r="D105" s="418"/>
      <c r="E105" s="464">
        <f>+'Indicateur Cde P'!$E$105:$H$107</f>
        <v>2020</v>
      </c>
      <c r="F105" s="464"/>
      <c r="G105" s="464"/>
      <c r="H105" s="464"/>
      <c r="I105" s="109"/>
      <c r="J105" s="109"/>
      <c r="K105" s="109"/>
      <c r="L105" s="109"/>
      <c r="M105" s="195"/>
      <c r="N105" s="195"/>
      <c r="O105" s="195"/>
      <c r="P105" s="195"/>
      <c r="Q105" s="195"/>
      <c r="R105" s="195"/>
      <c r="S105" s="195"/>
      <c r="T105" s="171"/>
      <c r="U105" s="171"/>
      <c r="V105" s="171"/>
      <c r="W105" s="171"/>
      <c r="X105" s="175"/>
    </row>
    <row r="106" spans="1:25" ht="16.5" customHeight="1" x14ac:dyDescent="0.25">
      <c r="A106" s="198"/>
      <c r="B106" s="418"/>
      <c r="C106" s="418"/>
      <c r="D106" s="418"/>
      <c r="E106" s="464"/>
      <c r="F106" s="464"/>
      <c r="G106" s="464"/>
      <c r="H106" s="464"/>
      <c r="I106" s="109"/>
      <c r="J106" s="109"/>
      <c r="K106" s="109"/>
      <c r="L106" s="109"/>
      <c r="M106" s="195"/>
      <c r="N106" s="195"/>
      <c r="O106" s="195"/>
      <c r="P106" s="195"/>
      <c r="Q106" s="195"/>
      <c r="R106" s="195"/>
      <c r="S106" s="195"/>
      <c r="T106" s="171"/>
      <c r="U106" s="171"/>
      <c r="V106" s="171"/>
      <c r="W106" s="171"/>
      <c r="X106" s="175"/>
    </row>
    <row r="107" spans="1:25" ht="16.5" customHeight="1" x14ac:dyDescent="0.25">
      <c r="A107" s="198"/>
      <c r="B107" s="418"/>
      <c r="C107" s="418"/>
      <c r="D107" s="418"/>
      <c r="E107" s="464"/>
      <c r="F107" s="464"/>
      <c r="G107" s="464"/>
      <c r="H107" s="464"/>
      <c r="I107" s="109"/>
      <c r="J107" s="109"/>
      <c r="K107" s="109"/>
      <c r="L107" s="109"/>
      <c r="M107" s="195"/>
      <c r="N107" s="195"/>
      <c r="O107" s="195"/>
      <c r="P107" s="195"/>
      <c r="Q107" s="195"/>
      <c r="R107" s="195"/>
      <c r="S107" s="195"/>
      <c r="T107" s="171"/>
      <c r="U107" s="171"/>
      <c r="V107" s="171"/>
      <c r="W107" s="171"/>
      <c r="X107" s="175"/>
    </row>
    <row r="108" spans="1:25" ht="16.5" customHeight="1" x14ac:dyDescent="0.25">
      <c r="A108" s="199"/>
      <c r="B108" s="20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61"/>
      <c r="N108" s="61"/>
      <c r="O108" s="50"/>
      <c r="P108" s="50"/>
      <c r="Q108" s="50"/>
      <c r="R108" s="50"/>
      <c r="S108" s="50"/>
      <c r="T108" s="50"/>
      <c r="U108" s="50"/>
      <c r="V108" s="50"/>
      <c r="W108" s="50"/>
      <c r="X108" s="176"/>
    </row>
    <row r="109" spans="1:25" ht="16.5" customHeight="1" x14ac:dyDescent="0.25">
      <c r="P109" s="4"/>
    </row>
    <row r="112" spans="1:25" x14ac:dyDescent="0.25">
      <c r="T112" s="18"/>
      <c r="W112" s="18"/>
      <c r="X112" s="18"/>
    </row>
    <row r="168" spans="13:14" x14ac:dyDescent="0.25">
      <c r="M168" s="10"/>
      <c r="N168" s="10"/>
    </row>
  </sheetData>
  <mergeCells count="13">
    <mergeCell ref="Q98:T99"/>
    <mergeCell ref="U98:V99"/>
    <mergeCell ref="B105:D107"/>
    <mergeCell ref="E105:H107"/>
    <mergeCell ref="A1:X5"/>
    <mergeCell ref="A7:X7"/>
    <mergeCell ref="C9:N9"/>
    <mergeCell ref="B93:E94"/>
    <mergeCell ref="Q95:T97"/>
    <mergeCell ref="U95:V97"/>
    <mergeCell ref="W95:X97"/>
    <mergeCell ref="P9:X9"/>
    <mergeCell ref="D98:E98"/>
  </mergeCells>
  <printOptions horizontalCentered="1" verticalCentered="1"/>
  <pageMargins left="0.19685039370078741" right="0.19685039370078741" top="0" bottom="0" header="0" footer="0"/>
  <pageSetup paperSize="8" scale="6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248C2"/>
    <pageSetUpPr fitToPage="1"/>
  </sheetPr>
  <dimension ref="A1:AH81"/>
  <sheetViews>
    <sheetView topLeftCell="A31" zoomScale="57" zoomScaleNormal="57" workbookViewId="0">
      <selection activeCell="AN31" sqref="AN31"/>
    </sheetView>
  </sheetViews>
  <sheetFormatPr baseColWidth="10" defaultRowHeight="21" x14ac:dyDescent="0.35"/>
  <cols>
    <col min="1" max="1" width="11.140625" style="147" bestFit="1" customWidth="1"/>
    <col min="2" max="6" width="6.7109375" customWidth="1"/>
    <col min="7" max="7" width="3.28515625" customWidth="1"/>
    <col min="8" max="8" width="11.140625" style="147" bestFit="1" customWidth="1"/>
    <col min="9" max="13" width="6.7109375" customWidth="1"/>
    <col min="14" max="14" width="3.28515625" customWidth="1"/>
    <col min="15" max="15" width="11.140625" style="147" bestFit="1" customWidth="1"/>
    <col min="16" max="20" width="6.7109375" customWidth="1"/>
    <col min="21" max="21" width="3.28515625" customWidth="1"/>
    <col min="22" max="22" width="11.140625" style="147" bestFit="1" customWidth="1"/>
    <col min="23" max="27" width="6.7109375" customWidth="1"/>
    <col min="28" max="28" width="3.28515625" customWidth="1"/>
    <col min="29" max="29" width="11.140625" style="147" bestFit="1" customWidth="1"/>
    <col min="30" max="33" width="8.7109375" bestFit="1" customWidth="1"/>
    <col min="34" max="34" width="7.28515625" customWidth="1"/>
    <col min="246" max="246" width="4.140625" customWidth="1"/>
    <col min="247" max="247" width="4" customWidth="1"/>
    <col min="248" max="248" width="4.140625" customWidth="1"/>
    <col min="249" max="249" width="3.85546875" customWidth="1"/>
    <col min="250" max="258" width="4.140625" customWidth="1"/>
    <col min="259" max="259" width="3.7109375" customWidth="1"/>
    <col min="260" max="290" width="4.42578125" customWidth="1"/>
    <col min="502" max="502" width="4.140625" customWidth="1"/>
    <col min="503" max="503" width="4" customWidth="1"/>
    <col min="504" max="504" width="4.140625" customWidth="1"/>
    <col min="505" max="505" width="3.85546875" customWidth="1"/>
    <col min="506" max="514" width="4.140625" customWidth="1"/>
    <col min="515" max="515" width="3.7109375" customWidth="1"/>
    <col min="516" max="546" width="4.42578125" customWidth="1"/>
    <col min="758" max="758" width="4.140625" customWidth="1"/>
    <col min="759" max="759" width="4" customWidth="1"/>
    <col min="760" max="760" width="4.140625" customWidth="1"/>
    <col min="761" max="761" width="3.85546875" customWidth="1"/>
    <col min="762" max="770" width="4.140625" customWidth="1"/>
    <col min="771" max="771" width="3.7109375" customWidth="1"/>
    <col min="772" max="802" width="4.42578125" customWidth="1"/>
    <col min="1014" max="1014" width="4.140625" customWidth="1"/>
    <col min="1015" max="1015" width="4" customWidth="1"/>
    <col min="1016" max="1016" width="4.140625" customWidth="1"/>
    <col min="1017" max="1017" width="3.85546875" customWidth="1"/>
    <col min="1018" max="1026" width="4.140625" customWidth="1"/>
    <col min="1027" max="1027" width="3.7109375" customWidth="1"/>
    <col min="1028" max="1058" width="4.42578125" customWidth="1"/>
    <col min="1270" max="1270" width="4.140625" customWidth="1"/>
    <col min="1271" max="1271" width="4" customWidth="1"/>
    <col min="1272" max="1272" width="4.140625" customWidth="1"/>
    <col min="1273" max="1273" width="3.85546875" customWidth="1"/>
    <col min="1274" max="1282" width="4.140625" customWidth="1"/>
    <col min="1283" max="1283" width="3.7109375" customWidth="1"/>
    <col min="1284" max="1314" width="4.42578125" customWidth="1"/>
    <col min="1526" max="1526" width="4.140625" customWidth="1"/>
    <col min="1527" max="1527" width="4" customWidth="1"/>
    <col min="1528" max="1528" width="4.140625" customWidth="1"/>
    <col min="1529" max="1529" width="3.85546875" customWidth="1"/>
    <col min="1530" max="1538" width="4.140625" customWidth="1"/>
    <col min="1539" max="1539" width="3.7109375" customWidth="1"/>
    <col min="1540" max="1570" width="4.42578125" customWidth="1"/>
    <col min="1782" max="1782" width="4.140625" customWidth="1"/>
    <col min="1783" max="1783" width="4" customWidth="1"/>
    <col min="1784" max="1784" width="4.140625" customWidth="1"/>
    <col min="1785" max="1785" width="3.85546875" customWidth="1"/>
    <col min="1786" max="1794" width="4.140625" customWidth="1"/>
    <col min="1795" max="1795" width="3.7109375" customWidth="1"/>
    <col min="1796" max="1826" width="4.42578125" customWidth="1"/>
    <col min="2038" max="2038" width="4.140625" customWidth="1"/>
    <col min="2039" max="2039" width="4" customWidth="1"/>
    <col min="2040" max="2040" width="4.140625" customWidth="1"/>
    <col min="2041" max="2041" width="3.85546875" customWidth="1"/>
    <col min="2042" max="2050" width="4.140625" customWidth="1"/>
    <col min="2051" max="2051" width="3.7109375" customWidth="1"/>
    <col min="2052" max="2082" width="4.42578125" customWidth="1"/>
    <col min="2294" max="2294" width="4.140625" customWidth="1"/>
    <col min="2295" max="2295" width="4" customWidth="1"/>
    <col min="2296" max="2296" width="4.140625" customWidth="1"/>
    <col min="2297" max="2297" width="3.85546875" customWidth="1"/>
    <col min="2298" max="2306" width="4.140625" customWidth="1"/>
    <col min="2307" max="2307" width="3.7109375" customWidth="1"/>
    <col min="2308" max="2338" width="4.42578125" customWidth="1"/>
    <col min="2550" max="2550" width="4.140625" customWidth="1"/>
    <col min="2551" max="2551" width="4" customWidth="1"/>
    <col min="2552" max="2552" width="4.140625" customWidth="1"/>
    <col min="2553" max="2553" width="3.85546875" customWidth="1"/>
    <col min="2554" max="2562" width="4.140625" customWidth="1"/>
    <col min="2563" max="2563" width="3.7109375" customWidth="1"/>
    <col min="2564" max="2594" width="4.42578125" customWidth="1"/>
    <col min="2806" max="2806" width="4.140625" customWidth="1"/>
    <col min="2807" max="2807" width="4" customWidth="1"/>
    <col min="2808" max="2808" width="4.140625" customWidth="1"/>
    <col min="2809" max="2809" width="3.85546875" customWidth="1"/>
    <col min="2810" max="2818" width="4.140625" customWidth="1"/>
    <col min="2819" max="2819" width="3.7109375" customWidth="1"/>
    <col min="2820" max="2850" width="4.42578125" customWidth="1"/>
    <col min="3062" max="3062" width="4.140625" customWidth="1"/>
    <col min="3063" max="3063" width="4" customWidth="1"/>
    <col min="3064" max="3064" width="4.140625" customWidth="1"/>
    <col min="3065" max="3065" width="3.85546875" customWidth="1"/>
    <col min="3066" max="3074" width="4.140625" customWidth="1"/>
    <col min="3075" max="3075" width="3.7109375" customWidth="1"/>
    <col min="3076" max="3106" width="4.42578125" customWidth="1"/>
    <col min="3318" max="3318" width="4.140625" customWidth="1"/>
    <col min="3319" max="3319" width="4" customWidth="1"/>
    <col min="3320" max="3320" width="4.140625" customWidth="1"/>
    <col min="3321" max="3321" width="3.85546875" customWidth="1"/>
    <col min="3322" max="3330" width="4.140625" customWidth="1"/>
    <col min="3331" max="3331" width="3.7109375" customWidth="1"/>
    <col min="3332" max="3362" width="4.42578125" customWidth="1"/>
    <col min="3574" max="3574" width="4.140625" customWidth="1"/>
    <col min="3575" max="3575" width="4" customWidth="1"/>
    <col min="3576" max="3576" width="4.140625" customWidth="1"/>
    <col min="3577" max="3577" width="3.85546875" customWidth="1"/>
    <col min="3578" max="3586" width="4.140625" customWidth="1"/>
    <col min="3587" max="3587" width="3.7109375" customWidth="1"/>
    <col min="3588" max="3618" width="4.42578125" customWidth="1"/>
    <col min="3830" max="3830" width="4.140625" customWidth="1"/>
    <col min="3831" max="3831" width="4" customWidth="1"/>
    <col min="3832" max="3832" width="4.140625" customWidth="1"/>
    <col min="3833" max="3833" width="3.85546875" customWidth="1"/>
    <col min="3834" max="3842" width="4.140625" customWidth="1"/>
    <col min="3843" max="3843" width="3.7109375" customWidth="1"/>
    <col min="3844" max="3874" width="4.42578125" customWidth="1"/>
    <col min="4086" max="4086" width="4.140625" customWidth="1"/>
    <col min="4087" max="4087" width="4" customWidth="1"/>
    <col min="4088" max="4088" width="4.140625" customWidth="1"/>
    <col min="4089" max="4089" width="3.85546875" customWidth="1"/>
    <col min="4090" max="4098" width="4.140625" customWidth="1"/>
    <col min="4099" max="4099" width="3.7109375" customWidth="1"/>
    <col min="4100" max="4130" width="4.42578125" customWidth="1"/>
    <col min="4342" max="4342" width="4.140625" customWidth="1"/>
    <col min="4343" max="4343" width="4" customWidth="1"/>
    <col min="4344" max="4344" width="4.140625" customWidth="1"/>
    <col min="4345" max="4345" width="3.85546875" customWidth="1"/>
    <col min="4346" max="4354" width="4.140625" customWidth="1"/>
    <col min="4355" max="4355" width="3.7109375" customWidth="1"/>
    <col min="4356" max="4386" width="4.42578125" customWidth="1"/>
    <col min="4598" max="4598" width="4.140625" customWidth="1"/>
    <col min="4599" max="4599" width="4" customWidth="1"/>
    <col min="4600" max="4600" width="4.140625" customWidth="1"/>
    <col min="4601" max="4601" width="3.85546875" customWidth="1"/>
    <col min="4602" max="4610" width="4.140625" customWidth="1"/>
    <col min="4611" max="4611" width="3.7109375" customWidth="1"/>
    <col min="4612" max="4642" width="4.42578125" customWidth="1"/>
    <col min="4854" max="4854" width="4.140625" customWidth="1"/>
    <col min="4855" max="4855" width="4" customWidth="1"/>
    <col min="4856" max="4856" width="4.140625" customWidth="1"/>
    <col min="4857" max="4857" width="3.85546875" customWidth="1"/>
    <col min="4858" max="4866" width="4.140625" customWidth="1"/>
    <col min="4867" max="4867" width="3.7109375" customWidth="1"/>
    <col min="4868" max="4898" width="4.42578125" customWidth="1"/>
    <col min="5110" max="5110" width="4.140625" customWidth="1"/>
    <col min="5111" max="5111" width="4" customWidth="1"/>
    <col min="5112" max="5112" width="4.140625" customWidth="1"/>
    <col min="5113" max="5113" width="3.85546875" customWidth="1"/>
    <col min="5114" max="5122" width="4.140625" customWidth="1"/>
    <col min="5123" max="5123" width="3.7109375" customWidth="1"/>
    <col min="5124" max="5154" width="4.42578125" customWidth="1"/>
    <col min="5366" max="5366" width="4.140625" customWidth="1"/>
    <col min="5367" max="5367" width="4" customWidth="1"/>
    <col min="5368" max="5368" width="4.140625" customWidth="1"/>
    <col min="5369" max="5369" width="3.85546875" customWidth="1"/>
    <col min="5370" max="5378" width="4.140625" customWidth="1"/>
    <col min="5379" max="5379" width="3.7109375" customWidth="1"/>
    <col min="5380" max="5410" width="4.42578125" customWidth="1"/>
    <col min="5622" max="5622" width="4.140625" customWidth="1"/>
    <col min="5623" max="5623" width="4" customWidth="1"/>
    <col min="5624" max="5624" width="4.140625" customWidth="1"/>
    <col min="5625" max="5625" width="3.85546875" customWidth="1"/>
    <col min="5626" max="5634" width="4.140625" customWidth="1"/>
    <col min="5635" max="5635" width="3.7109375" customWidth="1"/>
    <col min="5636" max="5666" width="4.42578125" customWidth="1"/>
    <col min="5878" max="5878" width="4.140625" customWidth="1"/>
    <col min="5879" max="5879" width="4" customWidth="1"/>
    <col min="5880" max="5880" width="4.140625" customWidth="1"/>
    <col min="5881" max="5881" width="3.85546875" customWidth="1"/>
    <col min="5882" max="5890" width="4.140625" customWidth="1"/>
    <col min="5891" max="5891" width="3.7109375" customWidth="1"/>
    <col min="5892" max="5922" width="4.42578125" customWidth="1"/>
    <col min="6134" max="6134" width="4.140625" customWidth="1"/>
    <col min="6135" max="6135" width="4" customWidth="1"/>
    <col min="6136" max="6136" width="4.140625" customWidth="1"/>
    <col min="6137" max="6137" width="3.85546875" customWidth="1"/>
    <col min="6138" max="6146" width="4.140625" customWidth="1"/>
    <col min="6147" max="6147" width="3.7109375" customWidth="1"/>
    <col min="6148" max="6178" width="4.42578125" customWidth="1"/>
    <col min="6390" max="6390" width="4.140625" customWidth="1"/>
    <col min="6391" max="6391" width="4" customWidth="1"/>
    <col min="6392" max="6392" width="4.140625" customWidth="1"/>
    <col min="6393" max="6393" width="3.85546875" customWidth="1"/>
    <col min="6394" max="6402" width="4.140625" customWidth="1"/>
    <col min="6403" max="6403" width="3.7109375" customWidth="1"/>
    <col min="6404" max="6434" width="4.42578125" customWidth="1"/>
    <col min="6646" max="6646" width="4.140625" customWidth="1"/>
    <col min="6647" max="6647" width="4" customWidth="1"/>
    <col min="6648" max="6648" width="4.140625" customWidth="1"/>
    <col min="6649" max="6649" width="3.85546875" customWidth="1"/>
    <col min="6650" max="6658" width="4.140625" customWidth="1"/>
    <col min="6659" max="6659" width="3.7109375" customWidth="1"/>
    <col min="6660" max="6690" width="4.42578125" customWidth="1"/>
    <col min="6902" max="6902" width="4.140625" customWidth="1"/>
    <col min="6903" max="6903" width="4" customWidth="1"/>
    <col min="6904" max="6904" width="4.140625" customWidth="1"/>
    <col min="6905" max="6905" width="3.85546875" customWidth="1"/>
    <col min="6906" max="6914" width="4.140625" customWidth="1"/>
    <col min="6915" max="6915" width="3.7109375" customWidth="1"/>
    <col min="6916" max="6946" width="4.42578125" customWidth="1"/>
    <col min="7158" max="7158" width="4.140625" customWidth="1"/>
    <col min="7159" max="7159" width="4" customWidth="1"/>
    <col min="7160" max="7160" width="4.140625" customWidth="1"/>
    <col min="7161" max="7161" width="3.85546875" customWidth="1"/>
    <col min="7162" max="7170" width="4.140625" customWidth="1"/>
    <col min="7171" max="7171" width="3.7109375" customWidth="1"/>
    <col min="7172" max="7202" width="4.42578125" customWidth="1"/>
    <col min="7414" max="7414" width="4.140625" customWidth="1"/>
    <col min="7415" max="7415" width="4" customWidth="1"/>
    <col min="7416" max="7416" width="4.140625" customWidth="1"/>
    <col min="7417" max="7417" width="3.85546875" customWidth="1"/>
    <col min="7418" max="7426" width="4.140625" customWidth="1"/>
    <col min="7427" max="7427" width="3.7109375" customWidth="1"/>
    <col min="7428" max="7458" width="4.42578125" customWidth="1"/>
    <col min="7670" max="7670" width="4.140625" customWidth="1"/>
    <col min="7671" max="7671" width="4" customWidth="1"/>
    <col min="7672" max="7672" width="4.140625" customWidth="1"/>
    <col min="7673" max="7673" width="3.85546875" customWidth="1"/>
    <col min="7674" max="7682" width="4.140625" customWidth="1"/>
    <col min="7683" max="7683" width="3.7109375" customWidth="1"/>
    <col min="7684" max="7714" width="4.42578125" customWidth="1"/>
    <col min="7926" max="7926" width="4.140625" customWidth="1"/>
    <col min="7927" max="7927" width="4" customWidth="1"/>
    <col min="7928" max="7928" width="4.140625" customWidth="1"/>
    <col min="7929" max="7929" width="3.85546875" customWidth="1"/>
    <col min="7930" max="7938" width="4.140625" customWidth="1"/>
    <col min="7939" max="7939" width="3.7109375" customWidth="1"/>
    <col min="7940" max="7970" width="4.42578125" customWidth="1"/>
    <col min="8182" max="8182" width="4.140625" customWidth="1"/>
    <col min="8183" max="8183" width="4" customWidth="1"/>
    <col min="8184" max="8184" width="4.140625" customWidth="1"/>
    <col min="8185" max="8185" width="3.85546875" customWidth="1"/>
    <col min="8186" max="8194" width="4.140625" customWidth="1"/>
    <col min="8195" max="8195" width="3.7109375" customWidth="1"/>
    <col min="8196" max="8226" width="4.42578125" customWidth="1"/>
    <col min="8438" max="8438" width="4.140625" customWidth="1"/>
    <col min="8439" max="8439" width="4" customWidth="1"/>
    <col min="8440" max="8440" width="4.140625" customWidth="1"/>
    <col min="8441" max="8441" width="3.85546875" customWidth="1"/>
    <col min="8442" max="8450" width="4.140625" customWidth="1"/>
    <col min="8451" max="8451" width="3.7109375" customWidth="1"/>
    <col min="8452" max="8482" width="4.42578125" customWidth="1"/>
    <col min="8694" max="8694" width="4.140625" customWidth="1"/>
    <col min="8695" max="8695" width="4" customWidth="1"/>
    <col min="8696" max="8696" width="4.140625" customWidth="1"/>
    <col min="8697" max="8697" width="3.85546875" customWidth="1"/>
    <col min="8698" max="8706" width="4.140625" customWidth="1"/>
    <col min="8707" max="8707" width="3.7109375" customWidth="1"/>
    <col min="8708" max="8738" width="4.42578125" customWidth="1"/>
    <col min="8950" max="8950" width="4.140625" customWidth="1"/>
    <col min="8951" max="8951" width="4" customWidth="1"/>
    <col min="8952" max="8952" width="4.140625" customWidth="1"/>
    <col min="8953" max="8953" width="3.85546875" customWidth="1"/>
    <col min="8954" max="8962" width="4.140625" customWidth="1"/>
    <col min="8963" max="8963" width="3.7109375" customWidth="1"/>
    <col min="8964" max="8994" width="4.42578125" customWidth="1"/>
    <col min="9206" max="9206" width="4.140625" customWidth="1"/>
    <col min="9207" max="9207" width="4" customWidth="1"/>
    <col min="9208" max="9208" width="4.140625" customWidth="1"/>
    <col min="9209" max="9209" width="3.85546875" customWidth="1"/>
    <col min="9210" max="9218" width="4.140625" customWidth="1"/>
    <col min="9219" max="9219" width="3.7109375" customWidth="1"/>
    <col min="9220" max="9250" width="4.42578125" customWidth="1"/>
    <col min="9462" max="9462" width="4.140625" customWidth="1"/>
    <col min="9463" max="9463" width="4" customWidth="1"/>
    <col min="9464" max="9464" width="4.140625" customWidth="1"/>
    <col min="9465" max="9465" width="3.85546875" customWidth="1"/>
    <col min="9466" max="9474" width="4.140625" customWidth="1"/>
    <col min="9475" max="9475" width="3.7109375" customWidth="1"/>
    <col min="9476" max="9506" width="4.42578125" customWidth="1"/>
    <col min="9718" max="9718" width="4.140625" customWidth="1"/>
    <col min="9719" max="9719" width="4" customWidth="1"/>
    <col min="9720" max="9720" width="4.140625" customWidth="1"/>
    <col min="9721" max="9721" width="3.85546875" customWidth="1"/>
    <col min="9722" max="9730" width="4.140625" customWidth="1"/>
    <col min="9731" max="9731" width="3.7109375" customWidth="1"/>
    <col min="9732" max="9762" width="4.42578125" customWidth="1"/>
    <col min="9974" max="9974" width="4.140625" customWidth="1"/>
    <col min="9975" max="9975" width="4" customWidth="1"/>
    <col min="9976" max="9976" width="4.140625" customWidth="1"/>
    <col min="9977" max="9977" width="3.85546875" customWidth="1"/>
    <col min="9978" max="9986" width="4.140625" customWidth="1"/>
    <col min="9987" max="9987" width="3.7109375" customWidth="1"/>
    <col min="9988" max="10018" width="4.42578125" customWidth="1"/>
    <col min="10230" max="10230" width="4.140625" customWidth="1"/>
    <col min="10231" max="10231" width="4" customWidth="1"/>
    <col min="10232" max="10232" width="4.140625" customWidth="1"/>
    <col min="10233" max="10233" width="3.85546875" customWidth="1"/>
    <col min="10234" max="10242" width="4.140625" customWidth="1"/>
    <col min="10243" max="10243" width="3.7109375" customWidth="1"/>
    <col min="10244" max="10274" width="4.42578125" customWidth="1"/>
    <col min="10486" max="10486" width="4.140625" customWidth="1"/>
    <col min="10487" max="10487" width="4" customWidth="1"/>
    <col min="10488" max="10488" width="4.140625" customWidth="1"/>
    <col min="10489" max="10489" width="3.85546875" customWidth="1"/>
    <col min="10490" max="10498" width="4.140625" customWidth="1"/>
    <col min="10499" max="10499" width="3.7109375" customWidth="1"/>
    <col min="10500" max="10530" width="4.42578125" customWidth="1"/>
    <col min="10742" max="10742" width="4.140625" customWidth="1"/>
    <col min="10743" max="10743" width="4" customWidth="1"/>
    <col min="10744" max="10744" width="4.140625" customWidth="1"/>
    <col min="10745" max="10745" width="3.85546875" customWidth="1"/>
    <col min="10746" max="10754" width="4.140625" customWidth="1"/>
    <col min="10755" max="10755" width="3.7109375" customWidth="1"/>
    <col min="10756" max="10786" width="4.42578125" customWidth="1"/>
    <col min="10998" max="10998" width="4.140625" customWidth="1"/>
    <col min="10999" max="10999" width="4" customWidth="1"/>
    <col min="11000" max="11000" width="4.140625" customWidth="1"/>
    <col min="11001" max="11001" width="3.85546875" customWidth="1"/>
    <col min="11002" max="11010" width="4.140625" customWidth="1"/>
    <col min="11011" max="11011" width="3.7109375" customWidth="1"/>
    <col min="11012" max="11042" width="4.42578125" customWidth="1"/>
    <col min="11254" max="11254" width="4.140625" customWidth="1"/>
    <col min="11255" max="11255" width="4" customWidth="1"/>
    <col min="11256" max="11256" width="4.140625" customWidth="1"/>
    <col min="11257" max="11257" width="3.85546875" customWidth="1"/>
    <col min="11258" max="11266" width="4.140625" customWidth="1"/>
    <col min="11267" max="11267" width="3.7109375" customWidth="1"/>
    <col min="11268" max="11298" width="4.42578125" customWidth="1"/>
    <col min="11510" max="11510" width="4.140625" customWidth="1"/>
    <col min="11511" max="11511" width="4" customWidth="1"/>
    <col min="11512" max="11512" width="4.140625" customWidth="1"/>
    <col min="11513" max="11513" width="3.85546875" customWidth="1"/>
    <col min="11514" max="11522" width="4.140625" customWidth="1"/>
    <col min="11523" max="11523" width="3.7109375" customWidth="1"/>
    <col min="11524" max="11554" width="4.42578125" customWidth="1"/>
    <col min="11766" max="11766" width="4.140625" customWidth="1"/>
    <col min="11767" max="11767" width="4" customWidth="1"/>
    <col min="11768" max="11768" width="4.140625" customWidth="1"/>
    <col min="11769" max="11769" width="3.85546875" customWidth="1"/>
    <col min="11770" max="11778" width="4.140625" customWidth="1"/>
    <col min="11779" max="11779" width="3.7109375" customWidth="1"/>
    <col min="11780" max="11810" width="4.42578125" customWidth="1"/>
    <col min="12022" max="12022" width="4.140625" customWidth="1"/>
    <col min="12023" max="12023" width="4" customWidth="1"/>
    <col min="12024" max="12024" width="4.140625" customWidth="1"/>
    <col min="12025" max="12025" width="3.85546875" customWidth="1"/>
    <col min="12026" max="12034" width="4.140625" customWidth="1"/>
    <col min="12035" max="12035" width="3.7109375" customWidth="1"/>
    <col min="12036" max="12066" width="4.42578125" customWidth="1"/>
    <col min="12278" max="12278" width="4.140625" customWidth="1"/>
    <col min="12279" max="12279" width="4" customWidth="1"/>
    <col min="12280" max="12280" width="4.140625" customWidth="1"/>
    <col min="12281" max="12281" width="3.85546875" customWidth="1"/>
    <col min="12282" max="12290" width="4.140625" customWidth="1"/>
    <col min="12291" max="12291" width="3.7109375" customWidth="1"/>
    <col min="12292" max="12322" width="4.42578125" customWidth="1"/>
    <col min="12534" max="12534" width="4.140625" customWidth="1"/>
    <col min="12535" max="12535" width="4" customWidth="1"/>
    <col min="12536" max="12536" width="4.140625" customWidth="1"/>
    <col min="12537" max="12537" width="3.85546875" customWidth="1"/>
    <col min="12538" max="12546" width="4.140625" customWidth="1"/>
    <col min="12547" max="12547" width="3.7109375" customWidth="1"/>
    <col min="12548" max="12578" width="4.42578125" customWidth="1"/>
    <col min="12790" max="12790" width="4.140625" customWidth="1"/>
    <col min="12791" max="12791" width="4" customWidth="1"/>
    <col min="12792" max="12792" width="4.140625" customWidth="1"/>
    <col min="12793" max="12793" width="3.85546875" customWidth="1"/>
    <col min="12794" max="12802" width="4.140625" customWidth="1"/>
    <col min="12803" max="12803" width="3.7109375" customWidth="1"/>
    <col min="12804" max="12834" width="4.42578125" customWidth="1"/>
    <col min="13046" max="13046" width="4.140625" customWidth="1"/>
    <col min="13047" max="13047" width="4" customWidth="1"/>
    <col min="13048" max="13048" width="4.140625" customWidth="1"/>
    <col min="13049" max="13049" width="3.85546875" customWidth="1"/>
    <col min="13050" max="13058" width="4.140625" customWidth="1"/>
    <col min="13059" max="13059" width="3.7109375" customWidth="1"/>
    <col min="13060" max="13090" width="4.42578125" customWidth="1"/>
    <col min="13302" max="13302" width="4.140625" customWidth="1"/>
    <col min="13303" max="13303" width="4" customWidth="1"/>
    <col min="13304" max="13304" width="4.140625" customWidth="1"/>
    <col min="13305" max="13305" width="3.85546875" customWidth="1"/>
    <col min="13306" max="13314" width="4.140625" customWidth="1"/>
    <col min="13315" max="13315" width="3.7109375" customWidth="1"/>
    <col min="13316" max="13346" width="4.42578125" customWidth="1"/>
    <col min="13558" max="13558" width="4.140625" customWidth="1"/>
    <col min="13559" max="13559" width="4" customWidth="1"/>
    <col min="13560" max="13560" width="4.140625" customWidth="1"/>
    <col min="13561" max="13561" width="3.85546875" customWidth="1"/>
    <col min="13562" max="13570" width="4.140625" customWidth="1"/>
    <col min="13571" max="13571" width="3.7109375" customWidth="1"/>
    <col min="13572" max="13602" width="4.42578125" customWidth="1"/>
    <col min="13814" max="13814" width="4.140625" customWidth="1"/>
    <col min="13815" max="13815" width="4" customWidth="1"/>
    <col min="13816" max="13816" width="4.140625" customWidth="1"/>
    <col min="13817" max="13817" width="3.85546875" customWidth="1"/>
    <col min="13818" max="13826" width="4.140625" customWidth="1"/>
    <col min="13827" max="13827" width="3.7109375" customWidth="1"/>
    <col min="13828" max="13858" width="4.42578125" customWidth="1"/>
    <col min="14070" max="14070" width="4.140625" customWidth="1"/>
    <col min="14071" max="14071" width="4" customWidth="1"/>
    <col min="14072" max="14072" width="4.140625" customWidth="1"/>
    <col min="14073" max="14073" width="3.85546875" customWidth="1"/>
    <col min="14074" max="14082" width="4.140625" customWidth="1"/>
    <col min="14083" max="14083" width="3.7109375" customWidth="1"/>
    <col min="14084" max="14114" width="4.42578125" customWidth="1"/>
    <col min="14326" max="14326" width="4.140625" customWidth="1"/>
    <col min="14327" max="14327" width="4" customWidth="1"/>
    <col min="14328" max="14328" width="4.140625" customWidth="1"/>
    <col min="14329" max="14329" width="3.85546875" customWidth="1"/>
    <col min="14330" max="14338" width="4.140625" customWidth="1"/>
    <col min="14339" max="14339" width="3.7109375" customWidth="1"/>
    <col min="14340" max="14370" width="4.42578125" customWidth="1"/>
    <col min="14582" max="14582" width="4.140625" customWidth="1"/>
    <col min="14583" max="14583" width="4" customWidth="1"/>
    <col min="14584" max="14584" width="4.140625" customWidth="1"/>
    <col min="14585" max="14585" width="3.85546875" customWidth="1"/>
    <col min="14586" max="14594" width="4.140625" customWidth="1"/>
    <col min="14595" max="14595" width="3.7109375" customWidth="1"/>
    <col min="14596" max="14626" width="4.42578125" customWidth="1"/>
    <col min="14838" max="14838" width="4.140625" customWidth="1"/>
    <col min="14839" max="14839" width="4" customWidth="1"/>
    <col min="14840" max="14840" width="4.140625" customWidth="1"/>
    <col min="14841" max="14841" width="3.85546875" customWidth="1"/>
    <col min="14842" max="14850" width="4.140625" customWidth="1"/>
    <col min="14851" max="14851" width="3.7109375" customWidth="1"/>
    <col min="14852" max="14882" width="4.42578125" customWidth="1"/>
    <col min="15094" max="15094" width="4.140625" customWidth="1"/>
    <col min="15095" max="15095" width="4" customWidth="1"/>
    <col min="15096" max="15096" width="4.140625" customWidth="1"/>
    <col min="15097" max="15097" width="3.85546875" customWidth="1"/>
    <col min="15098" max="15106" width="4.140625" customWidth="1"/>
    <col min="15107" max="15107" width="3.7109375" customWidth="1"/>
    <col min="15108" max="15138" width="4.42578125" customWidth="1"/>
    <col min="15350" max="15350" width="4.140625" customWidth="1"/>
    <col min="15351" max="15351" width="4" customWidth="1"/>
    <col min="15352" max="15352" width="4.140625" customWidth="1"/>
    <col min="15353" max="15353" width="3.85546875" customWidth="1"/>
    <col min="15354" max="15362" width="4.140625" customWidth="1"/>
    <col min="15363" max="15363" width="3.7109375" customWidth="1"/>
    <col min="15364" max="15394" width="4.42578125" customWidth="1"/>
    <col min="15606" max="15606" width="4.140625" customWidth="1"/>
    <col min="15607" max="15607" width="4" customWidth="1"/>
    <col min="15608" max="15608" width="4.140625" customWidth="1"/>
    <col min="15609" max="15609" width="3.85546875" customWidth="1"/>
    <col min="15610" max="15618" width="4.140625" customWidth="1"/>
    <col min="15619" max="15619" width="3.7109375" customWidth="1"/>
    <col min="15620" max="15650" width="4.42578125" customWidth="1"/>
    <col min="15862" max="15862" width="4.140625" customWidth="1"/>
    <col min="15863" max="15863" width="4" customWidth="1"/>
    <col min="15864" max="15864" width="4.140625" customWidth="1"/>
    <col min="15865" max="15865" width="3.85546875" customWidth="1"/>
    <col min="15866" max="15874" width="4.140625" customWidth="1"/>
    <col min="15875" max="15875" width="3.7109375" customWidth="1"/>
    <col min="15876" max="15906" width="4.42578125" customWidth="1"/>
    <col min="16118" max="16118" width="4.140625" customWidth="1"/>
    <col min="16119" max="16119" width="4" customWidth="1"/>
    <col min="16120" max="16120" width="4.140625" customWidth="1"/>
    <col min="16121" max="16121" width="3.85546875" customWidth="1"/>
    <col min="16122" max="16130" width="4.140625" customWidth="1"/>
    <col min="16131" max="16131" width="3.7109375" customWidth="1"/>
    <col min="16132" max="16162" width="4.42578125" customWidth="1"/>
  </cols>
  <sheetData>
    <row r="1" spans="1:34" ht="15.9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182"/>
      <c r="AF1" s="182"/>
      <c r="AG1" s="182"/>
      <c r="AH1" s="142"/>
    </row>
    <row r="2" spans="1:34" ht="15.9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181"/>
      <c r="AF2" s="181"/>
      <c r="AG2" s="181"/>
      <c r="AH2" s="143"/>
    </row>
    <row r="3" spans="1:34" ht="15.9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8"/>
      <c r="AD3" s="418"/>
      <c r="AE3" s="181"/>
      <c r="AF3" s="181"/>
      <c r="AG3" s="181"/>
      <c r="AH3" s="143"/>
    </row>
    <row r="4" spans="1:34" ht="15.9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8"/>
      <c r="AD4" s="418"/>
      <c r="AE4" s="181"/>
      <c r="AF4" s="181"/>
      <c r="AG4" s="181"/>
      <c r="AH4" s="143"/>
    </row>
    <row r="5" spans="1:34" ht="15.9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183"/>
      <c r="AF5" s="183"/>
      <c r="AG5" s="183"/>
      <c r="AH5" s="144"/>
    </row>
    <row r="6" spans="1:34" s="1" customFormat="1" ht="15" customHeight="1" x14ac:dyDescent="0.25">
      <c r="A6" s="145"/>
      <c r="B6" s="8"/>
      <c r="C6" s="8"/>
      <c r="D6" s="8"/>
      <c r="E6" s="8"/>
      <c r="F6" s="8"/>
      <c r="G6" s="8"/>
      <c r="H6" s="145"/>
      <c r="I6" s="8"/>
      <c r="J6" s="8"/>
      <c r="K6" s="8"/>
      <c r="L6" s="8"/>
      <c r="M6" s="8"/>
      <c r="N6" s="8"/>
      <c r="O6" s="145"/>
      <c r="P6" s="8"/>
      <c r="Q6" s="8"/>
      <c r="R6" s="8"/>
      <c r="S6" s="8"/>
      <c r="T6" s="8"/>
      <c r="U6" s="8"/>
      <c r="V6" s="145"/>
      <c r="W6" s="8"/>
      <c r="X6" s="8"/>
      <c r="Y6" s="8"/>
      <c r="Z6" s="8"/>
      <c r="AA6" s="8"/>
      <c r="AB6" s="8"/>
      <c r="AC6" s="145"/>
      <c r="AD6" s="8"/>
      <c r="AE6" s="8"/>
      <c r="AF6" s="8"/>
      <c r="AG6" s="8"/>
      <c r="AH6" s="8"/>
    </row>
    <row r="7" spans="1:34" s="1" customFormat="1" ht="38.450000000000003" customHeight="1" x14ac:dyDescent="0.25">
      <c r="A7" s="514" t="s">
        <v>83</v>
      </c>
      <c r="B7" s="514"/>
      <c r="C7" s="514"/>
      <c r="D7" s="514"/>
      <c r="E7" s="514"/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  <c r="AF7" s="514"/>
      <c r="AG7" s="514"/>
      <c r="AH7" s="514"/>
    </row>
    <row r="8" spans="1:34" s="1" customFormat="1" ht="15" customHeight="1" x14ac:dyDescent="0.25">
      <c r="A8" s="145"/>
      <c r="B8" s="8"/>
      <c r="C8" s="5"/>
      <c r="D8" s="5"/>
      <c r="E8" s="5"/>
      <c r="F8" s="5"/>
      <c r="G8" s="5"/>
      <c r="H8" s="56"/>
      <c r="I8" s="5"/>
      <c r="J8" s="5"/>
      <c r="K8" s="5"/>
      <c r="L8" s="5"/>
      <c r="M8" s="5"/>
      <c r="N8" s="5"/>
      <c r="O8" s="56"/>
      <c r="P8" s="5"/>
      <c r="Q8" s="5"/>
      <c r="R8" s="5"/>
      <c r="S8" s="5"/>
      <c r="T8" s="5"/>
      <c r="U8" s="5"/>
      <c r="V8" s="56"/>
      <c r="W8" s="5"/>
      <c r="X8" s="5"/>
      <c r="Y8" s="5"/>
      <c r="Z8" s="5"/>
      <c r="AA8" s="5"/>
      <c r="AB8" s="5"/>
      <c r="AC8" s="56"/>
      <c r="AD8" s="5"/>
      <c r="AE8" s="5"/>
      <c r="AF8" s="5"/>
      <c r="AG8" s="5"/>
      <c r="AH8" s="5"/>
    </row>
    <row r="9" spans="1:34" ht="21.75" customHeight="1" x14ac:dyDescent="0.35">
      <c r="A9" s="424" t="s">
        <v>52</v>
      </c>
      <c r="B9" s="424"/>
      <c r="C9" s="424"/>
      <c r="D9" s="424"/>
      <c r="E9" s="424"/>
      <c r="F9" s="424"/>
      <c r="G9" s="184"/>
      <c r="H9" s="424" t="s">
        <v>35</v>
      </c>
      <c r="I9" s="424"/>
      <c r="J9" s="424"/>
      <c r="K9" s="424"/>
      <c r="L9" s="424"/>
      <c r="M9" s="424"/>
      <c r="N9" s="56"/>
      <c r="O9" s="424" t="s">
        <v>51</v>
      </c>
      <c r="P9" s="424"/>
      <c r="Q9" s="424"/>
      <c r="R9" s="424"/>
      <c r="S9" s="424"/>
      <c r="T9" s="424"/>
      <c r="U9" s="184"/>
      <c r="V9" s="424" t="s">
        <v>81</v>
      </c>
      <c r="W9" s="424"/>
      <c r="X9" s="424"/>
      <c r="Y9" s="424"/>
      <c r="Z9" s="424"/>
      <c r="AA9" s="424"/>
      <c r="AB9" s="56"/>
      <c r="AC9" s="19"/>
      <c r="AD9" s="424" t="s">
        <v>82</v>
      </c>
      <c r="AE9" s="424"/>
      <c r="AF9" s="424"/>
      <c r="AG9" s="424"/>
      <c r="AH9" s="424"/>
    </row>
    <row r="10" spans="1:34" ht="9" customHeight="1" x14ac:dyDescent="0.4">
      <c r="A10" s="501"/>
      <c r="B10" s="87"/>
      <c r="C10" s="2"/>
      <c r="D10" s="2"/>
      <c r="E10" s="2"/>
      <c r="F10" s="2"/>
      <c r="G10" s="2"/>
      <c r="H10" s="501"/>
      <c r="I10" s="87"/>
      <c r="J10" s="2"/>
      <c r="K10" s="2"/>
      <c r="L10" s="2"/>
      <c r="M10" s="2"/>
      <c r="N10" s="56"/>
      <c r="O10" s="500"/>
      <c r="P10" s="87"/>
      <c r="Q10" s="2"/>
      <c r="R10" s="2"/>
      <c r="S10" s="2"/>
      <c r="T10" s="2"/>
      <c r="U10" s="184"/>
      <c r="V10" s="500"/>
      <c r="W10" s="87"/>
      <c r="X10" s="2"/>
      <c r="Y10" s="2"/>
      <c r="Z10" s="2"/>
      <c r="AA10" s="2"/>
      <c r="AB10" s="56"/>
      <c r="AC10" s="500"/>
      <c r="AD10" s="87"/>
      <c r="AE10" s="2"/>
      <c r="AF10" s="2"/>
      <c r="AG10" s="2"/>
      <c r="AH10" s="2"/>
    </row>
    <row r="11" spans="1:34" ht="9" customHeight="1" x14ac:dyDescent="0.4">
      <c r="A11" s="501"/>
      <c r="B11" s="87"/>
      <c r="C11" s="2"/>
      <c r="D11" s="2"/>
      <c r="E11" s="2"/>
      <c r="F11" s="2"/>
      <c r="G11" s="2"/>
      <c r="H11" s="501"/>
      <c r="I11" s="87"/>
      <c r="J11" s="2"/>
      <c r="K11" s="2"/>
      <c r="L11" s="2"/>
      <c r="M11" s="2"/>
      <c r="N11" s="187"/>
      <c r="O11" s="500"/>
      <c r="P11" s="87"/>
      <c r="Q11" s="2"/>
      <c r="R11" s="2"/>
      <c r="S11" s="2"/>
      <c r="T11" s="2"/>
      <c r="U11" s="187"/>
      <c r="V11" s="500"/>
      <c r="W11" s="87"/>
      <c r="X11" s="2"/>
      <c r="Y11" s="2"/>
      <c r="Z11" s="2"/>
      <c r="AA11" s="2"/>
      <c r="AB11" s="187"/>
      <c r="AC11" s="500"/>
      <c r="AD11" s="87"/>
      <c r="AE11" s="2"/>
      <c r="AF11" s="2"/>
      <c r="AG11" s="2"/>
      <c r="AH11" s="2"/>
    </row>
    <row r="12" spans="1:34" ht="9" customHeight="1" x14ac:dyDescent="0.4">
      <c r="A12" s="501"/>
      <c r="B12" s="87"/>
      <c r="C12" s="2"/>
      <c r="D12" s="2"/>
      <c r="E12" s="2"/>
      <c r="F12" s="2"/>
      <c r="G12" s="2"/>
      <c r="H12" s="501"/>
      <c r="I12" s="87"/>
      <c r="J12" s="2"/>
      <c r="K12" s="2"/>
      <c r="L12" s="2"/>
      <c r="M12" s="2"/>
      <c r="N12" s="502"/>
      <c r="O12" s="500"/>
      <c r="P12" s="87"/>
      <c r="Q12" s="2"/>
      <c r="R12" s="2"/>
      <c r="S12" s="2"/>
      <c r="T12" s="2"/>
      <c r="U12" s="502"/>
      <c r="V12" s="500"/>
      <c r="W12" s="87"/>
      <c r="X12" s="2"/>
      <c r="Y12" s="2"/>
      <c r="Z12" s="2"/>
      <c r="AA12" s="2"/>
      <c r="AB12" s="502"/>
      <c r="AC12" s="500"/>
      <c r="AD12" s="87"/>
      <c r="AE12" s="2"/>
      <c r="AF12" s="2"/>
      <c r="AG12" s="2"/>
      <c r="AH12" s="2"/>
    </row>
    <row r="13" spans="1:34" ht="9" customHeight="1" x14ac:dyDescent="0.4">
      <c r="A13" s="501"/>
      <c r="B13" s="87"/>
      <c r="C13" s="2"/>
      <c r="D13" s="2"/>
      <c r="E13" s="97"/>
      <c r="F13" s="2"/>
      <c r="G13" s="2"/>
      <c r="H13" s="501"/>
      <c r="I13" s="87"/>
      <c r="J13" s="2"/>
      <c r="K13" s="2"/>
      <c r="L13" s="97"/>
      <c r="M13" s="2"/>
      <c r="N13" s="502"/>
      <c r="O13" s="500"/>
      <c r="P13" s="87"/>
      <c r="Q13" s="2"/>
      <c r="R13" s="2"/>
      <c r="S13" s="97"/>
      <c r="T13" s="2"/>
      <c r="U13" s="502"/>
      <c r="V13" s="500"/>
      <c r="W13" s="87"/>
      <c r="X13" s="2"/>
      <c r="Y13" s="2"/>
      <c r="Z13" s="97"/>
      <c r="AA13" s="2"/>
      <c r="AB13" s="502"/>
      <c r="AC13" s="500"/>
      <c r="AD13" s="87"/>
      <c r="AE13" s="2"/>
      <c r="AF13" s="2"/>
      <c r="AG13" s="97"/>
      <c r="AH13" s="2"/>
    </row>
    <row r="14" spans="1:34" ht="9" customHeight="1" x14ac:dyDescent="0.4">
      <c r="A14" s="501"/>
      <c r="B14" s="87"/>
      <c r="C14" s="2"/>
      <c r="D14" s="2"/>
      <c r="E14" s="97"/>
      <c r="F14" s="2"/>
      <c r="G14" s="2"/>
      <c r="H14" s="501"/>
      <c r="I14" s="87"/>
      <c r="J14" s="2"/>
      <c r="K14" s="2"/>
      <c r="L14" s="97"/>
      <c r="M14" s="2"/>
      <c r="N14" s="502"/>
      <c r="O14" s="500"/>
      <c r="P14" s="87"/>
      <c r="Q14" s="2"/>
      <c r="R14" s="2"/>
      <c r="S14" s="97"/>
      <c r="T14" s="2"/>
      <c r="U14" s="502"/>
      <c r="V14" s="500"/>
      <c r="W14" s="87"/>
      <c r="X14" s="2"/>
      <c r="Y14" s="2"/>
      <c r="Z14" s="97"/>
      <c r="AA14" s="2"/>
      <c r="AB14" s="502"/>
      <c r="AC14" s="500"/>
      <c r="AD14" s="87"/>
      <c r="AE14" s="2"/>
      <c r="AF14" s="2"/>
      <c r="AG14" s="97"/>
      <c r="AH14" s="2"/>
    </row>
    <row r="15" spans="1:34" ht="9" customHeight="1" x14ac:dyDescent="0.4">
      <c r="A15" s="501"/>
      <c r="B15" s="87"/>
      <c r="C15" s="2"/>
      <c r="D15" s="2"/>
      <c r="E15" s="97"/>
      <c r="F15" s="2"/>
      <c r="G15" s="2"/>
      <c r="H15" s="501"/>
      <c r="I15" s="87"/>
      <c r="J15" s="2"/>
      <c r="K15" s="2"/>
      <c r="L15" s="97"/>
      <c r="M15" s="2"/>
      <c r="N15" s="502"/>
      <c r="O15" s="500"/>
      <c r="P15" s="87"/>
      <c r="Q15" s="2"/>
      <c r="R15" s="2"/>
      <c r="S15" s="97"/>
      <c r="T15" s="2"/>
      <c r="U15" s="502"/>
      <c r="V15" s="500"/>
      <c r="W15" s="87"/>
      <c r="X15" s="2"/>
      <c r="Y15" s="2"/>
      <c r="Z15" s="97"/>
      <c r="AA15" s="2"/>
      <c r="AB15" s="502"/>
      <c r="AC15" s="500"/>
      <c r="AD15" s="87"/>
      <c r="AE15" s="2"/>
      <c r="AF15" s="2"/>
      <c r="AG15" s="97"/>
      <c r="AH15" s="2"/>
    </row>
    <row r="16" spans="1:34" ht="9" customHeight="1" x14ac:dyDescent="0.4">
      <c r="A16" s="504"/>
      <c r="B16" s="87"/>
      <c r="C16" s="2"/>
      <c r="D16" s="2"/>
      <c r="E16" s="2"/>
      <c r="F16" s="2"/>
      <c r="G16" s="2"/>
      <c r="H16" s="504"/>
      <c r="I16" s="87"/>
      <c r="J16" s="2"/>
      <c r="K16" s="2"/>
      <c r="L16" s="2"/>
      <c r="M16" s="2"/>
      <c r="N16" s="56"/>
      <c r="O16" s="503"/>
      <c r="P16" s="87"/>
      <c r="Q16" s="2"/>
      <c r="R16" s="2"/>
      <c r="S16" s="2"/>
      <c r="T16" s="2"/>
      <c r="U16" s="184"/>
      <c r="V16" s="503"/>
      <c r="W16" s="87"/>
      <c r="X16" s="2"/>
      <c r="Y16" s="2"/>
      <c r="Z16" s="2"/>
      <c r="AA16" s="2"/>
      <c r="AB16" s="56"/>
      <c r="AC16" s="503"/>
      <c r="AD16" s="87"/>
      <c r="AE16" s="2"/>
      <c r="AF16" s="2"/>
      <c r="AG16" s="2"/>
      <c r="AH16" s="2"/>
    </row>
    <row r="17" spans="1:34" ht="9" customHeight="1" x14ac:dyDescent="0.4">
      <c r="A17" s="504"/>
      <c r="B17" s="87"/>
      <c r="C17" s="2"/>
      <c r="D17" s="2"/>
      <c r="E17" s="2"/>
      <c r="F17" s="2"/>
      <c r="G17" s="2"/>
      <c r="H17" s="504"/>
      <c r="I17" s="87"/>
      <c r="J17" s="2"/>
      <c r="K17" s="2"/>
      <c r="L17" s="2"/>
      <c r="M17" s="2"/>
      <c r="N17" s="187"/>
      <c r="O17" s="503"/>
      <c r="P17" s="87"/>
      <c r="Q17" s="2"/>
      <c r="R17" s="2"/>
      <c r="S17" s="2"/>
      <c r="T17" s="2"/>
      <c r="U17" s="187"/>
      <c r="V17" s="503"/>
      <c r="W17" s="87"/>
      <c r="X17" s="2"/>
      <c r="Y17" s="2"/>
      <c r="Z17" s="2"/>
      <c r="AA17" s="2"/>
      <c r="AB17" s="187"/>
      <c r="AC17" s="503"/>
      <c r="AD17" s="87"/>
      <c r="AE17" s="2"/>
      <c r="AF17" s="2"/>
      <c r="AG17" s="2"/>
      <c r="AH17" s="2"/>
    </row>
    <row r="18" spans="1:34" ht="9" customHeight="1" x14ac:dyDescent="0.4">
      <c r="A18" s="501"/>
      <c r="B18" s="87"/>
      <c r="C18" s="2"/>
      <c r="D18" s="2"/>
      <c r="E18" s="2"/>
      <c r="F18" s="2"/>
      <c r="G18" s="2"/>
      <c r="H18" s="501"/>
      <c r="I18" s="87"/>
      <c r="J18" s="2"/>
      <c r="K18" s="2"/>
      <c r="L18" s="2"/>
      <c r="M18" s="2"/>
      <c r="N18" s="502"/>
      <c r="O18" s="500"/>
      <c r="P18" s="87"/>
      <c r="Q18" s="2"/>
      <c r="R18" s="2"/>
      <c r="S18" s="2"/>
      <c r="T18" s="2"/>
      <c r="U18" s="502"/>
      <c r="V18" s="500"/>
      <c r="W18" s="87"/>
      <c r="X18" s="2"/>
      <c r="Y18" s="2"/>
      <c r="Z18" s="2"/>
      <c r="AA18" s="2"/>
      <c r="AB18" s="502"/>
      <c r="AC18" s="500"/>
      <c r="AD18" s="87"/>
      <c r="AE18" s="2"/>
      <c r="AF18" s="2"/>
      <c r="AG18" s="2"/>
      <c r="AH18" s="2"/>
    </row>
    <row r="19" spans="1:34" ht="9" customHeight="1" x14ac:dyDescent="0.4">
      <c r="A19" s="501"/>
      <c r="B19" s="87"/>
      <c r="C19" s="2"/>
      <c r="D19" s="2"/>
      <c r="E19" s="97"/>
      <c r="F19" s="2"/>
      <c r="G19" s="2"/>
      <c r="H19" s="501"/>
      <c r="I19" s="87"/>
      <c r="J19" s="2"/>
      <c r="K19" s="2"/>
      <c r="L19" s="97"/>
      <c r="M19" s="2"/>
      <c r="N19" s="502"/>
      <c r="O19" s="500"/>
      <c r="P19" s="87"/>
      <c r="Q19" s="2"/>
      <c r="R19" s="2"/>
      <c r="S19" s="97"/>
      <c r="T19" s="2"/>
      <c r="U19" s="502"/>
      <c r="V19" s="500"/>
      <c r="W19" s="87"/>
      <c r="X19" s="2"/>
      <c r="Y19" s="2"/>
      <c r="Z19" s="97"/>
      <c r="AA19" s="2"/>
      <c r="AB19" s="502"/>
      <c r="AC19" s="500"/>
      <c r="AD19" s="87"/>
      <c r="AE19" s="2"/>
      <c r="AF19" s="2"/>
      <c r="AG19" s="97"/>
      <c r="AH19" s="2"/>
    </row>
    <row r="20" spans="1:34" ht="9" customHeight="1" x14ac:dyDescent="0.4">
      <c r="A20" s="501"/>
      <c r="B20" s="87"/>
      <c r="C20" s="2"/>
      <c r="D20" s="2"/>
      <c r="E20" s="97"/>
      <c r="F20" s="2"/>
      <c r="G20" s="2"/>
      <c r="H20" s="501"/>
      <c r="I20" s="87"/>
      <c r="J20" s="2"/>
      <c r="K20" s="2"/>
      <c r="L20" s="97"/>
      <c r="M20" s="2"/>
      <c r="N20" s="502"/>
      <c r="O20" s="500"/>
      <c r="P20" s="87"/>
      <c r="Q20" s="2"/>
      <c r="R20" s="2"/>
      <c r="S20" s="97"/>
      <c r="T20" s="2"/>
      <c r="U20" s="502"/>
      <c r="V20" s="500"/>
      <c r="W20" s="87"/>
      <c r="X20" s="2"/>
      <c r="Y20" s="2"/>
      <c r="Z20" s="97"/>
      <c r="AA20" s="2"/>
      <c r="AB20" s="502"/>
      <c r="AC20" s="500"/>
      <c r="AD20" s="87"/>
      <c r="AE20" s="2"/>
      <c r="AF20" s="2"/>
      <c r="AG20" s="97"/>
      <c r="AH20" s="2"/>
    </row>
    <row r="21" spans="1:34" ht="9" customHeight="1" x14ac:dyDescent="0.4">
      <c r="A21" s="501"/>
      <c r="B21" s="87"/>
      <c r="C21" s="2"/>
      <c r="D21" s="2"/>
      <c r="E21" s="97"/>
      <c r="F21" s="2"/>
      <c r="G21" s="2"/>
      <c r="H21" s="501"/>
      <c r="I21" s="87"/>
      <c r="J21" s="2"/>
      <c r="K21" s="2"/>
      <c r="L21" s="97"/>
      <c r="M21" s="2"/>
      <c r="N21" s="502"/>
      <c r="O21" s="500"/>
      <c r="P21" s="87"/>
      <c r="Q21" s="2"/>
      <c r="R21" s="2"/>
      <c r="S21" s="97"/>
      <c r="T21" s="2"/>
      <c r="U21" s="502"/>
      <c r="V21" s="500"/>
      <c r="W21" s="87"/>
      <c r="X21" s="2"/>
      <c r="Y21" s="2"/>
      <c r="Z21" s="97"/>
      <c r="AA21" s="2"/>
      <c r="AB21" s="502"/>
      <c r="AC21" s="500"/>
      <c r="AD21" s="87"/>
      <c r="AE21" s="2"/>
      <c r="AF21" s="2"/>
      <c r="AG21" s="97"/>
      <c r="AH21" s="2"/>
    </row>
    <row r="22" spans="1:34" ht="9" customHeight="1" x14ac:dyDescent="0.4">
      <c r="A22" s="501"/>
      <c r="B22" s="87"/>
      <c r="C22" s="2"/>
      <c r="D22" s="2"/>
      <c r="E22" s="97"/>
      <c r="F22" s="2"/>
      <c r="G22" s="2"/>
      <c r="H22" s="501"/>
      <c r="I22" s="87"/>
      <c r="J22" s="2"/>
      <c r="K22" s="2"/>
      <c r="L22" s="97"/>
      <c r="M22" s="2"/>
      <c r="N22" s="502"/>
      <c r="O22" s="500"/>
      <c r="P22" s="87"/>
      <c r="Q22" s="2"/>
      <c r="R22" s="2"/>
      <c r="S22" s="97"/>
      <c r="T22" s="2"/>
      <c r="U22" s="502"/>
      <c r="V22" s="500"/>
      <c r="W22" s="87"/>
      <c r="X22" s="2"/>
      <c r="Y22" s="2"/>
      <c r="Z22" s="97"/>
      <c r="AA22" s="2"/>
      <c r="AB22" s="502"/>
      <c r="AC22" s="500"/>
      <c r="AD22" s="87"/>
      <c r="AE22" s="2"/>
      <c r="AF22" s="2"/>
      <c r="AG22" s="97"/>
      <c r="AH22" s="2"/>
    </row>
    <row r="23" spans="1:34" ht="9" customHeight="1" x14ac:dyDescent="0.4">
      <c r="A23" s="501"/>
      <c r="B23" s="87"/>
      <c r="C23" s="2"/>
      <c r="D23" s="2"/>
      <c r="E23" s="97"/>
      <c r="F23" s="2"/>
      <c r="G23" s="2"/>
      <c r="H23" s="501"/>
      <c r="I23" s="87"/>
      <c r="J23" s="2"/>
      <c r="K23" s="2"/>
      <c r="L23" s="97"/>
      <c r="M23" s="2"/>
      <c r="N23" s="502"/>
      <c r="O23" s="500"/>
      <c r="P23" s="87"/>
      <c r="Q23" s="2"/>
      <c r="R23" s="2"/>
      <c r="S23" s="97"/>
      <c r="T23" s="2"/>
      <c r="U23" s="502"/>
      <c r="V23" s="500"/>
      <c r="W23" s="87"/>
      <c r="X23" s="2"/>
      <c r="Y23" s="2"/>
      <c r="Z23" s="97"/>
      <c r="AA23" s="2"/>
      <c r="AB23" s="502"/>
      <c r="AC23" s="500"/>
      <c r="AD23" s="87"/>
      <c r="AE23" s="2"/>
      <c r="AF23" s="2"/>
      <c r="AG23" s="97"/>
      <c r="AH23" s="2"/>
    </row>
    <row r="24" spans="1:34" ht="9" customHeight="1" x14ac:dyDescent="0.4">
      <c r="A24" s="501"/>
      <c r="B24" s="87"/>
      <c r="C24" s="2"/>
      <c r="D24" s="2"/>
      <c r="E24" s="97"/>
      <c r="F24" s="2"/>
      <c r="G24" s="2"/>
      <c r="H24" s="501"/>
      <c r="I24" s="87"/>
      <c r="J24" s="2"/>
      <c r="K24" s="2"/>
      <c r="L24" s="97"/>
      <c r="M24" s="2"/>
      <c r="N24" s="505"/>
      <c r="O24" s="500"/>
      <c r="P24" s="87"/>
      <c r="Q24" s="2"/>
      <c r="R24" s="2"/>
      <c r="S24" s="97"/>
      <c r="T24" s="2"/>
      <c r="U24" s="505"/>
      <c r="V24" s="500"/>
      <c r="W24" s="87"/>
      <c r="X24" s="2"/>
      <c r="Y24" s="2"/>
      <c r="Z24" s="97"/>
      <c r="AA24" s="2"/>
      <c r="AB24" s="505"/>
      <c r="AC24" s="500"/>
      <c r="AD24" s="87"/>
      <c r="AE24" s="2"/>
      <c r="AF24" s="2"/>
      <c r="AG24" s="97"/>
      <c r="AH24" s="2"/>
    </row>
    <row r="25" spans="1:34" ht="9" customHeight="1" x14ac:dyDescent="0.4">
      <c r="A25" s="501"/>
      <c r="B25" s="87"/>
      <c r="C25" s="97"/>
      <c r="D25" s="97"/>
      <c r="E25" s="97"/>
      <c r="F25" s="2"/>
      <c r="G25" s="2"/>
      <c r="H25" s="501"/>
      <c r="I25" s="87"/>
      <c r="J25" s="97"/>
      <c r="K25" s="97"/>
      <c r="L25" s="97"/>
      <c r="M25" s="2"/>
      <c r="N25" s="505"/>
      <c r="O25" s="500"/>
      <c r="P25" s="87"/>
      <c r="Q25" s="97"/>
      <c r="R25" s="97"/>
      <c r="S25" s="97"/>
      <c r="T25" s="2"/>
      <c r="U25" s="505"/>
      <c r="V25" s="500"/>
      <c r="W25" s="87"/>
      <c r="X25" s="97"/>
      <c r="Y25" s="97"/>
      <c r="Z25" s="97"/>
      <c r="AA25" s="2"/>
      <c r="AB25" s="505"/>
      <c r="AC25" s="500"/>
      <c r="AD25" s="87"/>
      <c r="AE25" s="97"/>
      <c r="AF25" s="97"/>
      <c r="AG25" s="97"/>
      <c r="AH25" s="2"/>
    </row>
    <row r="26" spans="1:34" ht="9" customHeight="1" x14ac:dyDescent="0.4">
      <c r="A26" s="504"/>
      <c r="B26" s="87"/>
      <c r="C26" s="2"/>
      <c r="D26" s="2"/>
      <c r="E26" s="2"/>
      <c r="F26" s="2"/>
      <c r="G26" s="2"/>
      <c r="H26" s="504"/>
      <c r="I26" s="87"/>
      <c r="J26" s="2"/>
      <c r="K26" s="2"/>
      <c r="L26" s="2"/>
      <c r="M26" s="2"/>
      <c r="N26" s="502"/>
      <c r="O26" s="503"/>
      <c r="P26" s="87"/>
      <c r="Q26" s="2"/>
      <c r="R26" s="2"/>
      <c r="S26" s="2"/>
      <c r="T26" s="2"/>
      <c r="U26" s="502"/>
      <c r="V26" s="503"/>
      <c r="W26" s="87"/>
      <c r="X26" s="2"/>
      <c r="Y26" s="2"/>
      <c r="Z26" s="2"/>
      <c r="AA26" s="2"/>
      <c r="AB26" s="502"/>
      <c r="AC26" s="503"/>
      <c r="AD26" s="87"/>
      <c r="AE26" s="2"/>
      <c r="AF26" s="2"/>
      <c r="AG26" s="2"/>
      <c r="AH26" s="2"/>
    </row>
    <row r="27" spans="1:34" ht="9" customHeight="1" x14ac:dyDescent="0.4">
      <c r="A27" s="504"/>
      <c r="B27" s="87"/>
      <c r="C27" s="2"/>
      <c r="D27" s="2"/>
      <c r="E27" s="2"/>
      <c r="F27" s="2"/>
      <c r="G27" s="2"/>
      <c r="H27" s="504"/>
      <c r="I27" s="87"/>
      <c r="J27" s="2"/>
      <c r="K27" s="2"/>
      <c r="L27" s="2"/>
      <c r="M27" s="2"/>
      <c r="N27" s="502"/>
      <c r="O27" s="503"/>
      <c r="P27" s="87"/>
      <c r="Q27" s="2"/>
      <c r="R27" s="2"/>
      <c r="S27" s="2"/>
      <c r="T27" s="2"/>
      <c r="U27" s="502"/>
      <c r="V27" s="503"/>
      <c r="W27" s="87"/>
      <c r="X27" s="2"/>
      <c r="Y27" s="2"/>
      <c r="Z27" s="2"/>
      <c r="AA27" s="2"/>
      <c r="AB27" s="502"/>
      <c r="AC27" s="503"/>
      <c r="AD27" s="87"/>
      <c r="AE27" s="2"/>
      <c r="AF27" s="2"/>
      <c r="AG27" s="2"/>
      <c r="AH27" s="2"/>
    </row>
    <row r="28" spans="1:34" ht="9" customHeight="1" x14ac:dyDescent="0.4">
      <c r="A28" s="501"/>
      <c r="B28" s="87"/>
      <c r="C28" s="2"/>
      <c r="D28" s="2"/>
      <c r="E28" s="2"/>
      <c r="F28" s="2"/>
      <c r="G28" s="2"/>
      <c r="H28" s="501"/>
      <c r="I28" s="87"/>
      <c r="J28" s="2"/>
      <c r="K28" s="2"/>
      <c r="L28" s="2"/>
      <c r="M28" s="2"/>
      <c r="N28" s="502"/>
      <c r="O28" s="500"/>
      <c r="P28" s="87"/>
      <c r="Q28" s="2"/>
      <c r="R28" s="2"/>
      <c r="S28" s="2"/>
      <c r="T28" s="2"/>
      <c r="U28" s="502"/>
      <c r="V28" s="500"/>
      <c r="W28" s="87"/>
      <c r="X28" s="2"/>
      <c r="Y28" s="2"/>
      <c r="Z28" s="2"/>
      <c r="AA28" s="2"/>
      <c r="AB28" s="502"/>
      <c r="AC28" s="500"/>
      <c r="AD28" s="87"/>
      <c r="AE28" s="2"/>
      <c r="AF28" s="2"/>
      <c r="AG28" s="2"/>
      <c r="AH28" s="2"/>
    </row>
    <row r="29" spans="1:34" ht="9" customHeight="1" x14ac:dyDescent="0.4">
      <c r="A29" s="501"/>
      <c r="B29" s="87"/>
      <c r="C29" s="2"/>
      <c r="D29" s="2"/>
      <c r="E29" s="2"/>
      <c r="F29" s="2"/>
      <c r="G29" s="2"/>
      <c r="H29" s="501"/>
      <c r="I29" s="87"/>
      <c r="J29" s="2"/>
      <c r="K29" s="2"/>
      <c r="L29" s="2"/>
      <c r="M29" s="2"/>
      <c r="N29" s="502"/>
      <c r="O29" s="500"/>
      <c r="P29" s="87"/>
      <c r="Q29" s="2"/>
      <c r="R29" s="2"/>
      <c r="S29" s="2"/>
      <c r="T29" s="2"/>
      <c r="U29" s="502"/>
      <c r="V29" s="500"/>
      <c r="W29" s="87"/>
      <c r="X29" s="2"/>
      <c r="Y29" s="2"/>
      <c r="Z29" s="2"/>
      <c r="AA29" s="2"/>
      <c r="AB29" s="502"/>
      <c r="AC29" s="500"/>
      <c r="AD29" s="87"/>
      <c r="AE29" s="2"/>
      <c r="AF29" s="2"/>
      <c r="AG29" s="2"/>
      <c r="AH29" s="2"/>
    </row>
    <row r="30" spans="1:34" ht="9" customHeight="1" x14ac:dyDescent="0.4">
      <c r="A30" s="501"/>
      <c r="B30" s="87"/>
      <c r="C30" s="2"/>
      <c r="D30" s="2"/>
      <c r="E30" s="2"/>
      <c r="F30" s="2"/>
      <c r="G30" s="2"/>
      <c r="H30" s="501"/>
      <c r="I30" s="87"/>
      <c r="J30" s="2"/>
      <c r="K30" s="2"/>
      <c r="L30" s="2"/>
      <c r="M30" s="2"/>
      <c r="N30" s="502"/>
      <c r="O30" s="500"/>
      <c r="P30" s="87"/>
      <c r="Q30" s="2"/>
      <c r="R30" s="2"/>
      <c r="S30" s="2"/>
      <c r="T30" s="2"/>
      <c r="U30" s="502"/>
      <c r="V30" s="500"/>
      <c r="W30" s="87"/>
      <c r="X30" s="2"/>
      <c r="Y30" s="2"/>
      <c r="Z30" s="2"/>
      <c r="AA30" s="2"/>
      <c r="AB30" s="502"/>
      <c r="AC30" s="500"/>
      <c r="AD30" s="87"/>
      <c r="AE30" s="2"/>
      <c r="AF30" s="2"/>
      <c r="AG30" s="2"/>
      <c r="AH30" s="2"/>
    </row>
    <row r="31" spans="1:34" ht="9" customHeight="1" x14ac:dyDescent="0.4">
      <c r="A31" s="501"/>
      <c r="B31" s="87"/>
      <c r="C31" s="2"/>
      <c r="D31" s="2"/>
      <c r="E31" s="2"/>
      <c r="F31" s="2"/>
      <c r="G31" s="2"/>
      <c r="H31" s="501"/>
      <c r="I31" s="87"/>
      <c r="J31" s="2"/>
      <c r="K31" s="2"/>
      <c r="L31" s="2"/>
      <c r="M31" s="2"/>
      <c r="N31" s="502"/>
      <c r="O31" s="500"/>
      <c r="P31" s="87"/>
      <c r="Q31" s="2"/>
      <c r="R31" s="2"/>
      <c r="S31" s="2"/>
      <c r="T31" s="2"/>
      <c r="U31" s="502"/>
      <c r="V31" s="500"/>
      <c r="W31" s="87"/>
      <c r="X31" s="2"/>
      <c r="Y31" s="2"/>
      <c r="Z31" s="2"/>
      <c r="AA31" s="2"/>
      <c r="AB31" s="502"/>
      <c r="AC31" s="500"/>
      <c r="AD31" s="87"/>
      <c r="AE31" s="2"/>
      <c r="AF31" s="2"/>
      <c r="AG31" s="2"/>
      <c r="AH31" s="2"/>
    </row>
    <row r="32" spans="1:34" ht="9" customHeight="1" x14ac:dyDescent="0.4">
      <c r="A32" s="501"/>
      <c r="B32" s="87"/>
      <c r="C32" s="2"/>
      <c r="D32" s="2"/>
      <c r="E32" s="2"/>
      <c r="F32" s="2"/>
      <c r="G32" s="2"/>
      <c r="H32" s="501"/>
      <c r="I32" s="87"/>
      <c r="J32" s="2"/>
      <c r="K32" s="2"/>
      <c r="L32" s="2"/>
      <c r="M32" s="2"/>
      <c r="N32" s="502"/>
      <c r="O32" s="500"/>
      <c r="P32" s="87"/>
      <c r="Q32" s="2"/>
      <c r="R32" s="2"/>
      <c r="S32" s="2"/>
      <c r="T32" s="2"/>
      <c r="U32" s="502"/>
      <c r="V32" s="500"/>
      <c r="W32" s="87"/>
      <c r="X32" s="2"/>
      <c r="Y32" s="2"/>
      <c r="Z32" s="2"/>
      <c r="AA32" s="2"/>
      <c r="AB32" s="502"/>
      <c r="AC32" s="500"/>
      <c r="AD32" s="87"/>
      <c r="AE32" s="2"/>
      <c r="AF32" s="2"/>
      <c r="AG32" s="2"/>
      <c r="AH32" s="2"/>
    </row>
    <row r="33" spans="1:34" ht="9" customHeight="1" x14ac:dyDescent="0.4">
      <c r="A33" s="501"/>
      <c r="B33" s="87"/>
      <c r="C33" s="2"/>
      <c r="D33" s="2"/>
      <c r="E33" s="2"/>
      <c r="F33" s="2"/>
      <c r="G33" s="2"/>
      <c r="H33" s="501"/>
      <c r="I33" s="87"/>
      <c r="J33" s="2"/>
      <c r="K33" s="2"/>
      <c r="L33" s="2"/>
      <c r="M33" s="2"/>
      <c r="N33" s="502"/>
      <c r="O33" s="500"/>
      <c r="P33" s="87"/>
      <c r="Q33" s="2"/>
      <c r="R33" s="2"/>
      <c r="S33" s="2"/>
      <c r="T33" s="2"/>
      <c r="U33" s="502"/>
      <c r="V33" s="500"/>
      <c r="W33" s="87"/>
      <c r="X33" s="2"/>
      <c r="Y33" s="2"/>
      <c r="Z33" s="2"/>
      <c r="AA33" s="2"/>
      <c r="AB33" s="502"/>
      <c r="AC33" s="500"/>
      <c r="AD33" s="87"/>
      <c r="AE33" s="2"/>
      <c r="AF33" s="2"/>
      <c r="AG33" s="2"/>
      <c r="AH33" s="2"/>
    </row>
    <row r="34" spans="1:34" ht="9" customHeight="1" x14ac:dyDescent="0.4">
      <c r="A34" s="501"/>
      <c r="B34" s="87"/>
      <c r="C34" s="2"/>
      <c r="D34" s="2"/>
      <c r="E34" s="2"/>
      <c r="F34" s="2"/>
      <c r="G34" s="2"/>
      <c r="H34" s="501"/>
      <c r="I34" s="87"/>
      <c r="J34" s="2"/>
      <c r="K34" s="2"/>
      <c r="L34" s="2"/>
      <c r="M34" s="2"/>
      <c r="N34" s="502"/>
      <c r="O34" s="500"/>
      <c r="P34" s="87"/>
      <c r="Q34" s="2"/>
      <c r="R34" s="2"/>
      <c r="S34" s="2"/>
      <c r="T34" s="2"/>
      <c r="U34" s="502"/>
      <c r="V34" s="500"/>
      <c r="W34" s="87"/>
      <c r="X34" s="2"/>
      <c r="Y34" s="2"/>
      <c r="Z34" s="2"/>
      <c r="AA34" s="2"/>
      <c r="AB34" s="502"/>
      <c r="AC34" s="500"/>
      <c r="AD34" s="87"/>
      <c r="AE34" s="2"/>
      <c r="AF34" s="2"/>
      <c r="AG34" s="2"/>
      <c r="AH34" s="2"/>
    </row>
    <row r="35" spans="1:34" ht="9" customHeight="1" x14ac:dyDescent="0.4">
      <c r="A35" s="501"/>
      <c r="B35" s="87"/>
      <c r="C35" s="2"/>
      <c r="D35" s="2"/>
      <c r="E35" s="2"/>
      <c r="F35" s="2"/>
      <c r="G35" s="2"/>
      <c r="H35" s="501"/>
      <c r="I35" s="87"/>
      <c r="J35" s="2"/>
      <c r="K35" s="2"/>
      <c r="L35" s="2"/>
      <c r="M35" s="2"/>
      <c r="N35" s="502"/>
      <c r="O35" s="500"/>
      <c r="P35" s="87"/>
      <c r="Q35" s="2"/>
      <c r="R35" s="2"/>
      <c r="S35" s="2"/>
      <c r="T35" s="2"/>
      <c r="U35" s="502"/>
      <c r="V35" s="500"/>
      <c r="W35" s="87"/>
      <c r="X35" s="2"/>
      <c r="Y35" s="2"/>
      <c r="Z35" s="2"/>
      <c r="AA35" s="2"/>
      <c r="AB35" s="502"/>
      <c r="AC35" s="500"/>
      <c r="AD35" s="87"/>
      <c r="AE35" s="2"/>
      <c r="AF35" s="2"/>
      <c r="AG35" s="2"/>
      <c r="AH35" s="2"/>
    </row>
    <row r="36" spans="1:34" ht="9" customHeight="1" x14ac:dyDescent="0.4">
      <c r="A36" s="504"/>
      <c r="B36" s="87"/>
      <c r="C36" s="2"/>
      <c r="D36" s="2"/>
      <c r="E36" s="2"/>
      <c r="F36" s="2"/>
      <c r="G36" s="2"/>
      <c r="H36" s="504"/>
      <c r="I36" s="87"/>
      <c r="J36" s="2"/>
      <c r="K36" s="2"/>
      <c r="L36" s="2"/>
      <c r="M36" s="2"/>
      <c r="N36" s="502"/>
      <c r="O36" s="503"/>
      <c r="P36" s="87"/>
      <c r="Q36" s="2"/>
      <c r="R36" s="2"/>
      <c r="S36" s="2"/>
      <c r="T36" s="2"/>
      <c r="U36" s="502"/>
      <c r="V36" s="503"/>
      <c r="W36" s="87"/>
      <c r="X36" s="2"/>
      <c r="Y36" s="2"/>
      <c r="Z36" s="2"/>
      <c r="AA36" s="2"/>
      <c r="AB36" s="502"/>
      <c r="AC36" s="503"/>
      <c r="AD36" s="87"/>
      <c r="AE36" s="2"/>
      <c r="AF36" s="2"/>
      <c r="AG36" s="2"/>
      <c r="AH36" s="2"/>
    </row>
    <row r="37" spans="1:34" ht="9" customHeight="1" x14ac:dyDescent="0.4">
      <c r="A37" s="504"/>
      <c r="B37" s="87"/>
      <c r="C37" s="2"/>
      <c r="D37" s="2"/>
      <c r="E37" s="2"/>
      <c r="F37" s="2"/>
      <c r="G37" s="2"/>
      <c r="H37" s="504"/>
      <c r="I37" s="87"/>
      <c r="J37" s="2"/>
      <c r="K37" s="2"/>
      <c r="L37" s="2"/>
      <c r="M37" s="2"/>
      <c r="N37" s="502"/>
      <c r="O37" s="503"/>
      <c r="P37" s="87"/>
      <c r="Q37" s="2"/>
      <c r="R37" s="2"/>
      <c r="S37" s="2"/>
      <c r="T37" s="2"/>
      <c r="U37" s="502"/>
      <c r="V37" s="503"/>
      <c r="W37" s="87"/>
      <c r="X37" s="2"/>
      <c r="Y37" s="2"/>
      <c r="Z37" s="2"/>
      <c r="AA37" s="2"/>
      <c r="AB37" s="502"/>
      <c r="AC37" s="503"/>
      <c r="AD37" s="87"/>
      <c r="AE37" s="2"/>
      <c r="AF37" s="2"/>
      <c r="AG37" s="2"/>
      <c r="AH37" s="2"/>
    </row>
    <row r="38" spans="1:34" ht="9" customHeight="1" x14ac:dyDescent="0.4">
      <c r="A38" s="501"/>
      <c r="B38" s="87"/>
      <c r="C38" s="2"/>
      <c r="D38" s="2"/>
      <c r="E38" s="2"/>
      <c r="F38" s="2"/>
      <c r="G38" s="2"/>
      <c r="H38" s="501"/>
      <c r="I38" s="87"/>
      <c r="J38" s="2"/>
      <c r="K38" s="2"/>
      <c r="L38" s="2"/>
      <c r="M38" s="2"/>
      <c r="N38" s="502"/>
      <c r="O38" s="500"/>
      <c r="P38" s="87"/>
      <c r="Q38" s="2"/>
      <c r="R38" s="2"/>
      <c r="S38" s="2"/>
      <c r="T38" s="2"/>
      <c r="U38" s="502"/>
      <c r="V38" s="500"/>
      <c r="W38" s="87"/>
      <c r="X38" s="2"/>
      <c r="Y38" s="2"/>
      <c r="Z38" s="2"/>
      <c r="AA38" s="2"/>
      <c r="AB38" s="502"/>
      <c r="AC38" s="500"/>
      <c r="AD38" s="87"/>
      <c r="AE38" s="2"/>
      <c r="AF38" s="2"/>
      <c r="AG38" s="2"/>
      <c r="AH38" s="2"/>
    </row>
    <row r="39" spans="1:34" ht="9" customHeight="1" x14ac:dyDescent="0.4">
      <c r="A39" s="501"/>
      <c r="B39" s="87"/>
      <c r="C39" s="2"/>
      <c r="D39" s="2"/>
      <c r="E39" s="2"/>
      <c r="F39" s="2"/>
      <c r="G39" s="2"/>
      <c r="H39" s="501"/>
      <c r="I39" s="87"/>
      <c r="J39" s="2"/>
      <c r="K39" s="2"/>
      <c r="L39" s="2"/>
      <c r="M39" s="2"/>
      <c r="N39" s="502"/>
      <c r="O39" s="500"/>
      <c r="P39" s="87"/>
      <c r="Q39" s="2"/>
      <c r="R39" s="2"/>
      <c r="S39" s="2"/>
      <c r="T39" s="2"/>
      <c r="U39" s="502"/>
      <c r="V39" s="500"/>
      <c r="W39" s="87"/>
      <c r="X39" s="2"/>
      <c r="Y39" s="2"/>
      <c r="Z39" s="2"/>
      <c r="AA39" s="2"/>
      <c r="AB39" s="502"/>
      <c r="AC39" s="500"/>
      <c r="AD39" s="87"/>
      <c r="AE39" s="2"/>
      <c r="AF39" s="2"/>
      <c r="AG39" s="2"/>
      <c r="AH39" s="2"/>
    </row>
    <row r="40" spans="1:34" ht="9" customHeight="1" x14ac:dyDescent="0.4">
      <c r="A40" s="501"/>
      <c r="B40" s="87"/>
      <c r="C40" s="2"/>
      <c r="D40" s="2"/>
      <c r="E40" s="2"/>
      <c r="F40" s="2"/>
      <c r="G40" s="2"/>
      <c r="H40" s="501"/>
      <c r="I40" s="87"/>
      <c r="J40" s="2"/>
      <c r="K40" s="2"/>
      <c r="L40" s="2"/>
      <c r="M40" s="2"/>
      <c r="N40" s="505"/>
      <c r="O40" s="500"/>
      <c r="P40" s="87"/>
      <c r="Q40" s="2"/>
      <c r="R40" s="2"/>
      <c r="S40" s="2"/>
      <c r="T40" s="2"/>
      <c r="U40" s="505"/>
      <c r="V40" s="500"/>
      <c r="W40" s="87"/>
      <c r="X40" s="2"/>
      <c r="Y40" s="2"/>
      <c r="Z40" s="2"/>
      <c r="AA40" s="2"/>
      <c r="AB40" s="505"/>
      <c r="AC40" s="500"/>
      <c r="AD40" s="87"/>
      <c r="AE40" s="2"/>
      <c r="AF40" s="2"/>
      <c r="AG40" s="2"/>
      <c r="AH40" s="2"/>
    </row>
    <row r="41" spans="1:34" ht="9" customHeight="1" x14ac:dyDescent="0.4">
      <c r="A41" s="501"/>
      <c r="B41" s="87"/>
      <c r="C41" s="2"/>
      <c r="D41" s="2"/>
      <c r="E41" s="2"/>
      <c r="F41" s="2"/>
      <c r="G41" s="2"/>
      <c r="H41" s="501"/>
      <c r="I41" s="87"/>
      <c r="J41" s="2"/>
      <c r="K41" s="2"/>
      <c r="L41" s="2"/>
      <c r="M41" s="2"/>
      <c r="N41" s="505"/>
      <c r="O41" s="500"/>
      <c r="P41" s="87"/>
      <c r="Q41" s="2"/>
      <c r="R41" s="2"/>
      <c r="S41" s="2"/>
      <c r="T41" s="2"/>
      <c r="U41" s="505"/>
      <c r="V41" s="500"/>
      <c r="W41" s="87"/>
      <c r="X41" s="2"/>
      <c r="Y41" s="2"/>
      <c r="Z41" s="2"/>
      <c r="AA41" s="2"/>
      <c r="AB41" s="505"/>
      <c r="AC41" s="500"/>
      <c r="AD41" s="87"/>
      <c r="AE41" s="2"/>
      <c r="AF41" s="2"/>
      <c r="AG41" s="2"/>
      <c r="AH41" s="2"/>
    </row>
    <row r="42" spans="1:34" ht="9" customHeight="1" x14ac:dyDescent="0.4">
      <c r="A42" s="501"/>
      <c r="B42" s="87"/>
      <c r="C42" s="2"/>
      <c r="D42" s="2"/>
      <c r="E42" s="2"/>
      <c r="F42" s="2"/>
      <c r="G42" s="2"/>
      <c r="H42" s="501"/>
      <c r="I42" s="87"/>
      <c r="J42" s="2"/>
      <c r="K42" s="2"/>
      <c r="L42" s="2"/>
      <c r="M42" s="2"/>
      <c r="N42" s="502"/>
      <c r="O42" s="500"/>
      <c r="P42" s="87"/>
      <c r="Q42" s="2"/>
      <c r="R42" s="2"/>
      <c r="S42" s="2"/>
      <c r="T42" s="2"/>
      <c r="U42" s="502"/>
      <c r="V42" s="500"/>
      <c r="W42" s="87"/>
      <c r="X42" s="2"/>
      <c r="Y42" s="2"/>
      <c r="Z42" s="2"/>
      <c r="AA42" s="2"/>
      <c r="AB42" s="502"/>
      <c r="AC42" s="500"/>
      <c r="AD42" s="87"/>
      <c r="AE42" s="2"/>
      <c r="AF42" s="2"/>
      <c r="AG42" s="2"/>
      <c r="AH42" s="2"/>
    </row>
    <row r="43" spans="1:34" ht="9" customHeight="1" x14ac:dyDescent="0.4">
      <c r="A43" s="501"/>
      <c r="B43" s="87"/>
      <c r="C43" s="2"/>
      <c r="D43" s="2"/>
      <c r="E43" s="2"/>
      <c r="F43" s="2"/>
      <c r="G43" s="2"/>
      <c r="H43" s="501"/>
      <c r="I43" s="87"/>
      <c r="J43" s="2"/>
      <c r="K43" s="2"/>
      <c r="L43" s="2"/>
      <c r="M43" s="2"/>
      <c r="N43" s="502"/>
      <c r="O43" s="500"/>
      <c r="P43" s="87"/>
      <c r="Q43" s="2"/>
      <c r="R43" s="2"/>
      <c r="S43" s="2"/>
      <c r="T43" s="2"/>
      <c r="U43" s="502"/>
      <c r="V43" s="500"/>
      <c r="W43" s="87"/>
      <c r="X43" s="2"/>
      <c r="Y43" s="2"/>
      <c r="Z43" s="2"/>
      <c r="AA43" s="2"/>
      <c r="AB43" s="502"/>
      <c r="AC43" s="500"/>
      <c r="AD43" s="87"/>
      <c r="AE43" s="2"/>
      <c r="AF43" s="2"/>
      <c r="AG43" s="2"/>
      <c r="AH43" s="2"/>
    </row>
    <row r="44" spans="1:34" ht="9" customHeight="1" x14ac:dyDescent="0.4">
      <c r="A44" s="501"/>
      <c r="B44" s="87"/>
      <c r="C44" s="2"/>
      <c r="D44" s="2"/>
      <c r="E44" s="2"/>
      <c r="F44" s="2"/>
      <c r="G44" s="2"/>
      <c r="H44" s="501"/>
      <c r="I44" s="87"/>
      <c r="J44" s="2"/>
      <c r="K44" s="2"/>
      <c r="L44" s="2"/>
      <c r="M44" s="2"/>
      <c r="N44" s="502"/>
      <c r="O44" s="500"/>
      <c r="P44" s="87"/>
      <c r="Q44" s="2"/>
      <c r="R44" s="2"/>
      <c r="S44" s="2"/>
      <c r="T44" s="2"/>
      <c r="U44" s="502"/>
      <c r="V44" s="500"/>
      <c r="W44" s="87"/>
      <c r="X44" s="2"/>
      <c r="Y44" s="2"/>
      <c r="Z44" s="2"/>
      <c r="AA44" s="2"/>
      <c r="AB44" s="502"/>
      <c r="AC44" s="500"/>
      <c r="AD44" s="87"/>
      <c r="AE44" s="2"/>
      <c r="AF44" s="2"/>
      <c r="AG44" s="2"/>
      <c r="AH44" s="2"/>
    </row>
    <row r="45" spans="1:34" ht="9" customHeight="1" x14ac:dyDescent="0.4">
      <c r="A45" s="501"/>
      <c r="B45" s="87"/>
      <c r="C45" s="2"/>
      <c r="D45" s="2"/>
      <c r="E45" s="2"/>
      <c r="F45" s="2"/>
      <c r="G45" s="2"/>
      <c r="H45" s="501"/>
      <c r="I45" s="87"/>
      <c r="J45" s="2"/>
      <c r="K45" s="2"/>
      <c r="L45" s="2"/>
      <c r="M45" s="2"/>
      <c r="N45" s="502"/>
      <c r="O45" s="500"/>
      <c r="P45" s="87"/>
      <c r="Q45" s="2"/>
      <c r="R45" s="2"/>
      <c r="S45" s="2"/>
      <c r="T45" s="2"/>
      <c r="U45" s="502"/>
      <c r="V45" s="500"/>
      <c r="W45" s="87"/>
      <c r="X45" s="2"/>
      <c r="Y45" s="2"/>
      <c r="Z45" s="2"/>
      <c r="AA45" s="2"/>
      <c r="AB45" s="502"/>
      <c r="AC45" s="500"/>
      <c r="AD45" s="87"/>
      <c r="AE45" s="2"/>
      <c r="AF45" s="2"/>
      <c r="AG45" s="2"/>
      <c r="AH45" s="2"/>
    </row>
    <row r="46" spans="1:34" ht="9" customHeight="1" x14ac:dyDescent="0.4">
      <c r="A46" s="504"/>
      <c r="B46" s="87"/>
      <c r="C46" s="2"/>
      <c r="D46" s="2"/>
      <c r="E46" s="2"/>
      <c r="F46" s="2"/>
      <c r="G46" s="2"/>
      <c r="H46" s="504"/>
      <c r="I46" s="87"/>
      <c r="J46" s="2"/>
      <c r="K46" s="2"/>
      <c r="L46" s="2"/>
      <c r="M46" s="2"/>
      <c r="N46" s="502"/>
      <c r="O46" s="503"/>
      <c r="P46" s="87"/>
      <c r="Q46" s="2"/>
      <c r="R46" s="2"/>
      <c r="S46" s="2"/>
      <c r="T46" s="2"/>
      <c r="U46" s="502"/>
      <c r="V46" s="503"/>
      <c r="W46" s="87"/>
      <c r="X46" s="2"/>
      <c r="Y46" s="2"/>
      <c r="Z46" s="2"/>
      <c r="AA46" s="2"/>
      <c r="AB46" s="502"/>
      <c r="AC46" s="503"/>
      <c r="AD46" s="87"/>
      <c r="AE46" s="2"/>
      <c r="AF46" s="2"/>
      <c r="AG46" s="2"/>
      <c r="AH46" s="2"/>
    </row>
    <row r="47" spans="1:34" ht="9" customHeight="1" x14ac:dyDescent="0.4">
      <c r="A47" s="504"/>
      <c r="B47" s="87"/>
      <c r="C47" s="2"/>
      <c r="D47" s="2"/>
      <c r="E47" s="2"/>
      <c r="F47" s="2"/>
      <c r="G47" s="2"/>
      <c r="H47" s="504"/>
      <c r="I47" s="87"/>
      <c r="J47" s="2"/>
      <c r="K47" s="2"/>
      <c r="L47" s="2"/>
      <c r="M47" s="2"/>
      <c r="N47" s="502"/>
      <c r="O47" s="503"/>
      <c r="P47" s="87"/>
      <c r="Q47" s="2"/>
      <c r="R47" s="2"/>
      <c r="S47" s="2"/>
      <c r="T47" s="2"/>
      <c r="U47" s="502"/>
      <c r="V47" s="503"/>
      <c r="W47" s="87"/>
      <c r="X47" s="2"/>
      <c r="Y47" s="2"/>
      <c r="Z47" s="2"/>
      <c r="AA47" s="2"/>
      <c r="AB47" s="502"/>
      <c r="AC47" s="503"/>
      <c r="AD47" s="87"/>
      <c r="AE47" s="2"/>
      <c r="AF47" s="2"/>
      <c r="AG47" s="2"/>
      <c r="AH47" s="2"/>
    </row>
    <row r="48" spans="1:34" ht="9" customHeight="1" x14ac:dyDescent="0.4">
      <c r="A48" s="501"/>
      <c r="B48" s="87"/>
      <c r="C48" s="2"/>
      <c r="D48" s="2"/>
      <c r="E48" s="2"/>
      <c r="F48" s="2"/>
      <c r="G48" s="2"/>
      <c r="H48" s="501"/>
      <c r="I48" s="87"/>
      <c r="J48" s="2"/>
      <c r="K48" s="2"/>
      <c r="L48" s="2"/>
      <c r="M48" s="2"/>
      <c r="N48" s="502"/>
      <c r="O48" s="500"/>
      <c r="P48" s="87"/>
      <c r="Q48" s="2"/>
      <c r="R48" s="2"/>
      <c r="S48" s="2"/>
      <c r="T48" s="2"/>
      <c r="U48" s="502"/>
      <c r="V48" s="500"/>
      <c r="W48" s="87"/>
      <c r="X48" s="2"/>
      <c r="Y48" s="2"/>
      <c r="Z48" s="2"/>
      <c r="AA48" s="2"/>
      <c r="AB48" s="502"/>
      <c r="AC48" s="500"/>
      <c r="AD48" s="87"/>
      <c r="AE48" s="2"/>
      <c r="AF48" s="2"/>
      <c r="AG48" s="2"/>
      <c r="AH48" s="2"/>
    </row>
    <row r="49" spans="1:34" ht="9" customHeight="1" x14ac:dyDescent="0.4">
      <c r="A49" s="501"/>
      <c r="B49" s="87"/>
      <c r="C49" s="2"/>
      <c r="D49" s="2"/>
      <c r="E49" s="2"/>
      <c r="F49" s="2"/>
      <c r="G49" s="2"/>
      <c r="H49" s="501"/>
      <c r="I49" s="87"/>
      <c r="J49" s="2"/>
      <c r="K49" s="2"/>
      <c r="L49" s="2"/>
      <c r="M49" s="2"/>
      <c r="N49" s="502"/>
      <c r="O49" s="500"/>
      <c r="P49" s="87"/>
      <c r="Q49" s="2"/>
      <c r="R49" s="2"/>
      <c r="S49" s="2"/>
      <c r="T49" s="2"/>
      <c r="U49" s="502"/>
      <c r="V49" s="500"/>
      <c r="W49" s="87"/>
      <c r="X49" s="2"/>
      <c r="Y49" s="2"/>
      <c r="Z49" s="2"/>
      <c r="AA49" s="2"/>
      <c r="AB49" s="502"/>
      <c r="AC49" s="500"/>
      <c r="AD49" s="87"/>
      <c r="AE49" s="2"/>
      <c r="AF49" s="2"/>
      <c r="AG49" s="2"/>
      <c r="AH49" s="2"/>
    </row>
    <row r="50" spans="1:34" ht="9" customHeight="1" x14ac:dyDescent="0.4">
      <c r="A50" s="501"/>
      <c r="B50" s="87"/>
      <c r="C50" s="2"/>
      <c r="D50" s="2"/>
      <c r="E50" s="2"/>
      <c r="F50" s="2"/>
      <c r="G50" s="2"/>
      <c r="H50" s="501"/>
      <c r="I50" s="87"/>
      <c r="J50" s="2"/>
      <c r="K50" s="2"/>
      <c r="L50" s="2"/>
      <c r="M50" s="2"/>
      <c r="N50" s="502"/>
      <c r="O50" s="500"/>
      <c r="P50" s="87"/>
      <c r="Q50" s="2"/>
      <c r="R50" s="2"/>
      <c r="S50" s="2"/>
      <c r="T50" s="2"/>
      <c r="U50" s="502"/>
      <c r="V50" s="500"/>
      <c r="W50" s="87"/>
      <c r="X50" s="2"/>
      <c r="Y50" s="2"/>
      <c r="Z50" s="2"/>
      <c r="AA50" s="2"/>
      <c r="AB50" s="502"/>
      <c r="AC50" s="500"/>
      <c r="AD50" s="87"/>
      <c r="AE50" s="2"/>
      <c r="AF50" s="2"/>
      <c r="AG50" s="2"/>
      <c r="AH50" s="2"/>
    </row>
    <row r="51" spans="1:34" ht="9" customHeight="1" x14ac:dyDescent="0.4">
      <c r="A51" s="501"/>
      <c r="B51" s="87"/>
      <c r="C51" s="2"/>
      <c r="D51" s="2"/>
      <c r="E51" s="2"/>
      <c r="F51" s="2"/>
      <c r="G51" s="2"/>
      <c r="H51" s="501"/>
      <c r="I51" s="87"/>
      <c r="J51" s="2"/>
      <c r="K51" s="2"/>
      <c r="L51" s="2"/>
      <c r="M51" s="2"/>
      <c r="N51" s="502"/>
      <c r="O51" s="500"/>
      <c r="P51" s="87"/>
      <c r="Q51" s="2"/>
      <c r="R51" s="2"/>
      <c r="S51" s="2"/>
      <c r="T51" s="2"/>
      <c r="U51" s="502"/>
      <c r="V51" s="500"/>
      <c r="W51" s="87"/>
      <c r="X51" s="2"/>
      <c r="Y51" s="2"/>
      <c r="Z51" s="2"/>
      <c r="AA51" s="2"/>
      <c r="AB51" s="502"/>
      <c r="AC51" s="500"/>
      <c r="AD51" s="87"/>
      <c r="AE51" s="2"/>
      <c r="AF51" s="2"/>
      <c r="AG51" s="2"/>
      <c r="AH51" s="2"/>
    </row>
    <row r="52" spans="1:34" ht="9" customHeight="1" x14ac:dyDescent="0.4">
      <c r="A52" s="501"/>
      <c r="B52" s="87"/>
      <c r="C52" s="2"/>
      <c r="D52" s="2"/>
      <c r="E52" s="2"/>
      <c r="F52" s="2"/>
      <c r="G52" s="2"/>
      <c r="H52" s="501"/>
      <c r="I52" s="87"/>
      <c r="J52" s="2"/>
      <c r="K52" s="2"/>
      <c r="L52" s="2"/>
      <c r="M52" s="2"/>
      <c r="N52" s="502"/>
      <c r="O52" s="500"/>
      <c r="P52" s="87"/>
      <c r="Q52" s="2"/>
      <c r="R52" s="2"/>
      <c r="S52" s="2"/>
      <c r="T52" s="2"/>
      <c r="U52" s="502"/>
      <c r="V52" s="500"/>
      <c r="W52" s="87"/>
      <c r="X52" s="2"/>
      <c r="Y52" s="2"/>
      <c r="Z52" s="2"/>
      <c r="AA52" s="2"/>
      <c r="AB52" s="502"/>
      <c r="AC52" s="500"/>
      <c r="AD52" s="87"/>
      <c r="AE52" s="2"/>
      <c r="AF52" s="2"/>
      <c r="AG52" s="2"/>
      <c r="AH52" s="2"/>
    </row>
    <row r="53" spans="1:34" ht="9" customHeight="1" x14ac:dyDescent="0.4">
      <c r="A53" s="501"/>
      <c r="B53" s="87"/>
      <c r="C53" s="2"/>
      <c r="D53" s="2"/>
      <c r="E53" s="2"/>
      <c r="F53" s="2"/>
      <c r="G53" s="2"/>
      <c r="H53" s="501"/>
      <c r="I53" s="87"/>
      <c r="J53" s="2"/>
      <c r="K53" s="2"/>
      <c r="L53" s="2"/>
      <c r="M53" s="2"/>
      <c r="N53" s="502"/>
      <c r="O53" s="500"/>
      <c r="P53" s="87"/>
      <c r="Q53" s="2"/>
      <c r="R53" s="2"/>
      <c r="S53" s="2"/>
      <c r="T53" s="2"/>
      <c r="U53" s="502"/>
      <c r="V53" s="500"/>
      <c r="W53" s="87"/>
      <c r="X53" s="2"/>
      <c r="Y53" s="2"/>
      <c r="Z53" s="2"/>
      <c r="AA53" s="2"/>
      <c r="AB53" s="502"/>
      <c r="AC53" s="500"/>
      <c r="AD53" s="87"/>
      <c r="AE53" s="2"/>
      <c r="AF53" s="2"/>
      <c r="AG53" s="2"/>
      <c r="AH53" s="2"/>
    </row>
    <row r="54" spans="1:34" s="250" customFormat="1" ht="16.5" customHeight="1" x14ac:dyDescent="0.25">
      <c r="A54" s="347">
        <f>SUM(B54:F54)</f>
        <v>804</v>
      </c>
      <c r="B54" s="347">
        <f>VLOOKUP(B55,Recap_cde_B!$M$5:$S$57,4,FALSE)</f>
        <v>189</v>
      </c>
      <c r="C54" s="347">
        <f>VLOOKUP(C55,Recap_cde_B!$M$5:$S$57,4,FALSE)</f>
        <v>194</v>
      </c>
      <c r="D54" s="347">
        <f>VLOOKUP(D55,Recap_cde_B!$M$5:$S$57,4,FALSE)</f>
        <v>148</v>
      </c>
      <c r="E54" s="347">
        <f>VLOOKUP(E55,Recap_cde_B!$M$5:$S$57,4,FALSE)</f>
        <v>273</v>
      </c>
      <c r="F54" s="347"/>
      <c r="G54" s="348"/>
      <c r="H54" s="347">
        <f>SUM(I54:M54)</f>
        <v>33</v>
      </c>
      <c r="I54" s="347">
        <f>VLOOKUP(I55,Recap_cde_B!$M$5:$S$57,5,FALSE)</f>
        <v>22</v>
      </c>
      <c r="J54" s="347">
        <f>VLOOKUP(J55,Recap_cde_B!$M$5:$S$57,5,FALSE)</f>
        <v>0</v>
      </c>
      <c r="K54" s="347">
        <f>VLOOKUP(K55,Recap_cde_B!$M$5:$S$57,5,FALSE)</f>
        <v>0</v>
      </c>
      <c r="L54" s="347">
        <f>VLOOKUP(L55,Recap_cde_B!$M$5:$S$57,5,FALSE)</f>
        <v>11</v>
      </c>
      <c r="M54" s="347"/>
      <c r="N54" s="348"/>
      <c r="O54" s="347">
        <f>SUM(P54:T54)</f>
        <v>27</v>
      </c>
      <c r="P54" s="347">
        <f>VLOOKUP(P55,Recap_cde_B!$M$5:$S$57,6,FALSE)</f>
        <v>1</v>
      </c>
      <c r="Q54" s="347">
        <f>VLOOKUP(Q55,Recap_cde_B!$M$5:$S$57,6,FALSE)</f>
        <v>7</v>
      </c>
      <c r="R54" s="347">
        <f>VLOOKUP(R55,Recap_cde_B!$M$5:$S$57,6,FALSE)</f>
        <v>1</v>
      </c>
      <c r="S54" s="347">
        <f>VLOOKUP(S55,Recap_cde_B!$M$5:$S$57,6,FALSE)</f>
        <v>18</v>
      </c>
      <c r="T54" s="347"/>
      <c r="U54" s="348"/>
      <c r="V54" s="347">
        <f>SUM(W54:AA54)</f>
        <v>58</v>
      </c>
      <c r="W54" s="347">
        <f>VLOOKUP(W55,Recap_cde_B!$M$5:$S$57,7,FALSE)</f>
        <v>14</v>
      </c>
      <c r="X54" s="347">
        <f>VLOOKUP(X55,Recap_cde_B!$M$5:$S$57,7,FALSE)</f>
        <v>13</v>
      </c>
      <c r="Y54" s="347">
        <f>VLOOKUP(Y55,Recap_cde_B!$M$5:$S$57,7,FALSE)</f>
        <v>12</v>
      </c>
      <c r="Z54" s="347">
        <f>VLOOKUP(Z55,Recap_cde_B!$M$5:$S$57,7,FALSE)</f>
        <v>19</v>
      </c>
      <c r="AA54" s="347"/>
      <c r="AB54" s="348"/>
      <c r="AC54" s="347">
        <f>SUM(AD54:AH54)</f>
        <v>922</v>
      </c>
      <c r="AD54" s="347">
        <f>SUM(B54,I54,P54,W54)</f>
        <v>226</v>
      </c>
      <c r="AE54" s="347">
        <f t="shared" ref="AE54:AH54" si="0">SUM(C54,J54,Q54,X54)</f>
        <v>214</v>
      </c>
      <c r="AF54" s="347">
        <f t="shared" si="0"/>
        <v>161</v>
      </c>
      <c r="AG54" s="347">
        <f t="shared" si="0"/>
        <v>321</v>
      </c>
      <c r="AH54" s="347">
        <f t="shared" si="0"/>
        <v>0</v>
      </c>
    </row>
    <row r="55" spans="1:34" s="10" customFormat="1" ht="20.25" customHeight="1" x14ac:dyDescent="0.4">
      <c r="A55" s="160"/>
      <c r="B55" s="349">
        <v>6</v>
      </c>
      <c r="C55" s="138">
        <f>+B55+1</f>
        <v>7</v>
      </c>
      <c r="D55" s="138">
        <f t="shared" ref="D55:E55" si="1">+C55+1</f>
        <v>8</v>
      </c>
      <c r="E55" s="138">
        <f t="shared" si="1"/>
        <v>9</v>
      </c>
      <c r="F55" s="138"/>
      <c r="G55" s="156"/>
      <c r="H55" s="160"/>
      <c r="I55" s="138">
        <f>B55</f>
        <v>6</v>
      </c>
      <c r="J55" s="138">
        <f t="shared" ref="J55:M55" si="2">C55</f>
        <v>7</v>
      </c>
      <c r="K55" s="138">
        <f t="shared" si="2"/>
        <v>8</v>
      </c>
      <c r="L55" s="138">
        <f t="shared" si="2"/>
        <v>9</v>
      </c>
      <c r="M55" s="138">
        <f t="shared" si="2"/>
        <v>0</v>
      </c>
      <c r="N55" s="87"/>
      <c r="O55" s="19"/>
      <c r="P55" s="138">
        <f>I55</f>
        <v>6</v>
      </c>
      <c r="Q55" s="138">
        <f t="shared" ref="Q55:T55" si="3">J55</f>
        <v>7</v>
      </c>
      <c r="R55" s="138">
        <f t="shared" si="3"/>
        <v>8</v>
      </c>
      <c r="S55" s="138">
        <f t="shared" si="3"/>
        <v>9</v>
      </c>
      <c r="T55" s="138">
        <f t="shared" si="3"/>
        <v>0</v>
      </c>
      <c r="U55" s="87"/>
      <c r="V55" s="19"/>
      <c r="W55" s="138">
        <f>P55</f>
        <v>6</v>
      </c>
      <c r="X55" s="138">
        <f t="shared" ref="X55:AA55" si="4">Q55</f>
        <v>7</v>
      </c>
      <c r="Y55" s="138">
        <f t="shared" si="4"/>
        <v>8</v>
      </c>
      <c r="Z55" s="138">
        <f t="shared" si="4"/>
        <v>9</v>
      </c>
      <c r="AA55" s="138">
        <f t="shared" si="4"/>
        <v>0</v>
      </c>
      <c r="AB55" s="87"/>
      <c r="AC55" s="19"/>
      <c r="AD55" s="138">
        <f>W55</f>
        <v>6</v>
      </c>
      <c r="AE55" s="138">
        <f t="shared" ref="AE55:AH55" si="5">X55</f>
        <v>7</v>
      </c>
      <c r="AF55" s="138">
        <f t="shared" si="5"/>
        <v>8</v>
      </c>
      <c r="AG55" s="138">
        <f t="shared" si="5"/>
        <v>9</v>
      </c>
      <c r="AH55" s="138">
        <f t="shared" si="5"/>
        <v>0</v>
      </c>
    </row>
    <row r="56" spans="1:34" s="94" customFormat="1" ht="16.5" customHeight="1" x14ac:dyDescent="0.25">
      <c r="A56" s="506" t="s">
        <v>32</v>
      </c>
      <c r="B56" s="507">
        <f ca="1">VLOOKUP(B55,Recap_cde_B!$C$5:$I$57,4,FALSE)</f>
        <v>384</v>
      </c>
      <c r="C56" s="507">
        <f ca="1">VLOOKUP(C55,Recap_cde_B!$C$5:$I$57,4,FALSE)</f>
        <v>356</v>
      </c>
      <c r="D56" s="507">
        <f ca="1">VLOOKUP(D55,Recap_cde_B!$C$5:$I$57,4,FALSE)</f>
        <v>238</v>
      </c>
      <c r="E56" s="507">
        <f ca="1">VLOOKUP(E55,Recap_cde_B!$C$5:$I$57,4,FALSE)</f>
        <v>264</v>
      </c>
      <c r="F56" s="507"/>
      <c r="G56" s="139"/>
      <c r="H56" s="506" t="s">
        <v>38</v>
      </c>
      <c r="I56" s="507">
        <f ca="1">VLOOKUP(I55,Recap_cde_B!$C$5:$I$57,5,FALSE)</f>
        <v>7</v>
      </c>
      <c r="J56" s="507">
        <f ca="1">VLOOKUP(J55,Recap_cde_B!$C$5:$I$57,5,FALSE)</f>
        <v>8</v>
      </c>
      <c r="K56" s="507">
        <f ca="1">VLOOKUP(K55,Recap_cde_B!$C$5:$I$57,5,FALSE)</f>
        <v>0</v>
      </c>
      <c r="L56" s="507">
        <f ca="1">VLOOKUP(L55,Recap_cde_B!$C$5:$I$57,5,FALSE)</f>
        <v>0</v>
      </c>
      <c r="M56" s="507"/>
      <c r="N56" s="140"/>
      <c r="O56" s="506" t="s">
        <v>39</v>
      </c>
      <c r="P56" s="507">
        <f ca="1">VLOOKUP(P55,Recap_cde_B!$C$5:$I$57,6,FALSE)</f>
        <v>15</v>
      </c>
      <c r="Q56" s="507">
        <f ca="1">VLOOKUP(Q55,Recap_cde_B!$C$5:$I$57,6,FALSE)</f>
        <v>17</v>
      </c>
      <c r="R56" s="507">
        <f ca="1">VLOOKUP(R55,Recap_cde_B!$C$5:$I$57,6,FALSE)</f>
        <v>12</v>
      </c>
      <c r="S56" s="507">
        <f ca="1">VLOOKUP(S55,Recap_cde_B!$C$5:$I$57,6,FALSE)</f>
        <v>13</v>
      </c>
      <c r="T56" s="507"/>
      <c r="U56" s="140"/>
      <c r="V56" s="508" t="s">
        <v>80</v>
      </c>
      <c r="W56" s="507">
        <f ca="1">VLOOKUP(W55,Recap_cde_B!$C$5:$I$57,7,FALSE)</f>
        <v>24</v>
      </c>
      <c r="X56" s="507">
        <f ca="1">VLOOKUP(X55,Recap_cde_B!$C$5:$I$57,7,FALSE)</f>
        <v>26</v>
      </c>
      <c r="Y56" s="507">
        <f ca="1">VLOOKUP(Y55,Recap_cde_B!$C$5:$I$57,7,FALSE)</f>
        <v>36</v>
      </c>
      <c r="Z56" s="507">
        <f ca="1">VLOOKUP(Z55,Recap_cde_B!$C$5:$I$57,7,FALSE)</f>
        <v>22</v>
      </c>
      <c r="AA56" s="507"/>
      <c r="AB56" s="140"/>
      <c r="AC56" s="512" t="s">
        <v>37</v>
      </c>
      <c r="AD56" s="511">
        <f ca="1">SUM(B56,I56,P56,W56)</f>
        <v>430</v>
      </c>
      <c r="AE56" s="511">
        <f t="shared" ref="AE56:AH56" ca="1" si="6">SUM(C56,J56,Q56,X56)</f>
        <v>407</v>
      </c>
      <c r="AF56" s="511">
        <f t="shared" ca="1" si="6"/>
        <v>286</v>
      </c>
      <c r="AG56" s="511">
        <f t="shared" ca="1" si="6"/>
        <v>299</v>
      </c>
      <c r="AH56" s="511">
        <f t="shared" si="6"/>
        <v>0</v>
      </c>
    </row>
    <row r="57" spans="1:34" s="91" customFormat="1" ht="16.5" customHeight="1" x14ac:dyDescent="0.25">
      <c r="A57" s="506"/>
      <c r="B57" s="507"/>
      <c r="C57" s="507"/>
      <c r="D57" s="507"/>
      <c r="E57" s="507"/>
      <c r="F57" s="507"/>
      <c r="G57" s="139"/>
      <c r="H57" s="506"/>
      <c r="I57" s="507"/>
      <c r="J57" s="507"/>
      <c r="K57" s="507"/>
      <c r="L57" s="507"/>
      <c r="M57" s="507"/>
      <c r="N57" s="141"/>
      <c r="O57" s="506"/>
      <c r="P57" s="507"/>
      <c r="Q57" s="507"/>
      <c r="R57" s="507"/>
      <c r="S57" s="507"/>
      <c r="T57" s="507"/>
      <c r="U57" s="141"/>
      <c r="V57" s="509"/>
      <c r="W57" s="507"/>
      <c r="X57" s="507"/>
      <c r="Y57" s="507"/>
      <c r="Z57" s="507"/>
      <c r="AA57" s="507"/>
      <c r="AB57" s="141"/>
      <c r="AC57" s="512"/>
      <c r="AD57" s="511"/>
      <c r="AE57" s="511"/>
      <c r="AF57" s="511"/>
      <c r="AG57" s="511"/>
      <c r="AH57" s="511"/>
    </row>
    <row r="58" spans="1:34" s="2" customFormat="1" ht="16.5" customHeight="1" x14ac:dyDescent="0.25">
      <c r="A58" s="510" t="s">
        <v>31</v>
      </c>
      <c r="B58" s="507">
        <f ca="1">+B56</f>
        <v>384</v>
      </c>
      <c r="C58" s="507">
        <f ca="1">+B58+C56</f>
        <v>740</v>
      </c>
      <c r="D58" s="507">
        <f t="shared" ref="D58:E58" ca="1" si="7">+C58+D56</f>
        <v>978</v>
      </c>
      <c r="E58" s="507">
        <f t="shared" ca="1" si="7"/>
        <v>1242</v>
      </c>
      <c r="F58" s="507"/>
      <c r="G58" s="139"/>
      <c r="H58" s="506" t="s">
        <v>31</v>
      </c>
      <c r="I58" s="507">
        <f ca="1">+I56</f>
        <v>7</v>
      </c>
      <c r="J58" s="507">
        <f ca="1">+I58+J56</f>
        <v>15</v>
      </c>
      <c r="K58" s="507">
        <f t="shared" ref="K58:L58" ca="1" si="8">+J58+K56</f>
        <v>15</v>
      </c>
      <c r="L58" s="507">
        <f t="shared" ca="1" si="8"/>
        <v>15</v>
      </c>
      <c r="M58" s="507"/>
      <c r="N58" s="141"/>
      <c r="O58" s="506" t="s">
        <v>31</v>
      </c>
      <c r="P58" s="507">
        <f ca="1">+P56</f>
        <v>15</v>
      </c>
      <c r="Q58" s="507">
        <f ca="1">+P58+Q56</f>
        <v>32</v>
      </c>
      <c r="R58" s="507">
        <f t="shared" ref="R58:S58" ca="1" si="9">+Q58+R56</f>
        <v>44</v>
      </c>
      <c r="S58" s="507">
        <f t="shared" ca="1" si="9"/>
        <v>57</v>
      </c>
      <c r="T58" s="507"/>
      <c r="U58" s="141"/>
      <c r="V58" s="508" t="s">
        <v>31</v>
      </c>
      <c r="W58" s="507">
        <f ca="1">+W56</f>
        <v>24</v>
      </c>
      <c r="X58" s="507">
        <f ca="1">+W58+X56</f>
        <v>50</v>
      </c>
      <c r="Y58" s="507">
        <f t="shared" ref="Y58:Z58" ca="1" si="10">+X58+Y56</f>
        <v>86</v>
      </c>
      <c r="Z58" s="507">
        <f t="shared" ca="1" si="10"/>
        <v>108</v>
      </c>
      <c r="AA58" s="507"/>
      <c r="AB58" s="141"/>
      <c r="AC58" s="512"/>
      <c r="AD58" s="513">
        <f ca="1">+AD56</f>
        <v>430</v>
      </c>
      <c r="AE58" s="513">
        <f ca="1">+AD58+AE56</f>
        <v>837</v>
      </c>
      <c r="AF58" s="513">
        <f t="shared" ref="AF58:AG58" ca="1" si="11">+AE58+AF56</f>
        <v>1123</v>
      </c>
      <c r="AG58" s="513">
        <f t="shared" ca="1" si="11"/>
        <v>1422</v>
      </c>
      <c r="AH58" s="513">
        <f>SUM(F56,M56,T56,AA56,AH56)</f>
        <v>0</v>
      </c>
    </row>
    <row r="59" spans="1:34" s="2" customFormat="1" ht="16.5" customHeight="1" x14ac:dyDescent="0.25">
      <c r="A59" s="510"/>
      <c r="B59" s="507"/>
      <c r="C59" s="507"/>
      <c r="D59" s="507"/>
      <c r="E59" s="507"/>
      <c r="F59" s="507"/>
      <c r="G59" s="139"/>
      <c r="H59" s="506"/>
      <c r="I59" s="507"/>
      <c r="J59" s="507"/>
      <c r="K59" s="507"/>
      <c r="L59" s="507"/>
      <c r="M59" s="507"/>
      <c r="N59" s="141"/>
      <c r="O59" s="506"/>
      <c r="P59" s="507"/>
      <c r="Q59" s="507"/>
      <c r="R59" s="507"/>
      <c r="S59" s="507"/>
      <c r="T59" s="507"/>
      <c r="U59" s="141"/>
      <c r="V59" s="509"/>
      <c r="W59" s="507"/>
      <c r="X59" s="507"/>
      <c r="Y59" s="507"/>
      <c r="Z59" s="507"/>
      <c r="AA59" s="507"/>
      <c r="AB59" s="141"/>
      <c r="AC59" s="512"/>
      <c r="AD59" s="513"/>
      <c r="AE59" s="513"/>
      <c r="AF59" s="513"/>
      <c r="AG59" s="513"/>
      <c r="AH59" s="513"/>
    </row>
    <row r="60" spans="1:34" s="2" customFormat="1" ht="16.5" customHeight="1" x14ac:dyDescent="0.25">
      <c r="A60" s="191"/>
      <c r="B60" s="113"/>
      <c r="C60" s="113"/>
      <c r="D60" s="113"/>
      <c r="E60" s="113"/>
      <c r="F60" s="113"/>
      <c r="G60" s="156"/>
      <c r="H60" s="191"/>
      <c r="I60" s="113"/>
      <c r="J60" s="113"/>
      <c r="K60" s="113"/>
      <c r="L60" s="113"/>
      <c r="M60" s="113"/>
      <c r="O60" s="191"/>
      <c r="P60" s="113"/>
      <c r="Q60" s="113"/>
      <c r="R60" s="113"/>
      <c r="S60" s="113"/>
      <c r="T60" s="113"/>
      <c r="V60" s="191"/>
      <c r="W60" s="113"/>
      <c r="X60" s="113"/>
      <c r="Y60" s="113"/>
      <c r="Z60" s="113"/>
      <c r="AA60" s="113"/>
      <c r="AC60" s="191"/>
      <c r="AD60" s="113"/>
      <c r="AE60" s="113"/>
      <c r="AF60" s="113"/>
      <c r="AG60" s="113"/>
      <c r="AH60" s="113"/>
    </row>
    <row r="61" spans="1:34" s="2" customFormat="1" ht="20.100000000000001" customHeight="1" x14ac:dyDescent="0.25">
      <c r="A61" s="191"/>
      <c r="B61" s="189"/>
      <c r="C61" s="189"/>
      <c r="D61" s="189"/>
      <c r="E61" s="189"/>
      <c r="F61" s="189"/>
      <c r="G61" s="139"/>
      <c r="H61" s="190"/>
      <c r="I61" s="189"/>
      <c r="J61" s="189"/>
      <c r="K61" s="189"/>
      <c r="L61" s="189"/>
      <c r="M61" s="189"/>
      <c r="N61" s="140"/>
      <c r="V61" s="191"/>
      <c r="W61" s="113"/>
      <c r="X61" s="113"/>
      <c r="Y61" s="113"/>
      <c r="Z61" s="113"/>
      <c r="AA61" s="113"/>
    </row>
    <row r="62" spans="1:34" s="2" customFormat="1" ht="20.100000000000001" customHeight="1" x14ac:dyDescent="0.25">
      <c r="A62" s="191"/>
      <c r="B62" s="189"/>
      <c r="C62" s="189"/>
      <c r="D62" s="189"/>
      <c r="E62" s="189"/>
      <c r="F62" s="189"/>
      <c r="G62" s="139"/>
      <c r="H62" s="190"/>
      <c r="I62" s="189"/>
      <c r="J62" s="189"/>
      <c r="K62" s="189"/>
      <c r="L62" s="189"/>
      <c r="M62" s="189"/>
      <c r="N62" s="141"/>
      <c r="V62" s="191"/>
      <c r="W62" s="113"/>
      <c r="X62" s="113"/>
      <c r="Y62" s="113"/>
      <c r="Z62" s="113"/>
      <c r="AA62" s="113"/>
    </row>
    <row r="65" spans="1:34" x14ac:dyDescent="0.35">
      <c r="I65" s="18"/>
      <c r="J65" s="18"/>
      <c r="K65" s="18"/>
      <c r="L65" s="18"/>
      <c r="M65" s="18"/>
      <c r="P65" s="18"/>
      <c r="Q65" s="18"/>
      <c r="R65" s="18"/>
      <c r="S65" s="18"/>
      <c r="T65" s="18"/>
      <c r="W65" s="18"/>
      <c r="X65" s="18"/>
      <c r="Y65" s="18"/>
      <c r="Z65" s="18"/>
      <c r="AA65" s="18"/>
      <c r="AD65" s="18"/>
      <c r="AE65" s="18"/>
      <c r="AF65" s="18"/>
      <c r="AG65" s="18"/>
      <c r="AH65" s="18"/>
    </row>
    <row r="76" spans="1:34" ht="15.95" customHeight="1" x14ac:dyDescent="0.25">
      <c r="A76" s="48"/>
      <c r="B76" s="48"/>
      <c r="C76" s="48"/>
      <c r="D76" s="48"/>
      <c r="E76" s="48"/>
      <c r="F76" s="48"/>
      <c r="G76" s="62"/>
      <c r="H76" s="148"/>
      <c r="I76" s="48"/>
      <c r="J76" s="48"/>
      <c r="K76" s="48"/>
      <c r="L76" s="48"/>
      <c r="M76" s="48"/>
      <c r="N76" s="48"/>
      <c r="O76" s="148"/>
      <c r="P76" s="48"/>
      <c r="Q76" s="48"/>
      <c r="R76" s="48"/>
      <c r="S76" s="48"/>
      <c r="T76" s="48"/>
      <c r="U76" s="48"/>
      <c r="V76" s="148"/>
      <c r="W76" s="48"/>
      <c r="X76" s="48"/>
      <c r="Y76" s="48"/>
      <c r="Z76" s="48"/>
      <c r="AA76" s="48"/>
      <c r="AB76" s="48"/>
      <c r="AC76" s="148"/>
      <c r="AD76" s="48"/>
      <c r="AE76" s="48"/>
      <c r="AF76" s="48"/>
      <c r="AG76" s="48"/>
      <c r="AH76" s="48"/>
    </row>
    <row r="77" spans="1:34" ht="15.95" customHeight="1" x14ac:dyDescent="0.25">
      <c r="A77" s="418" t="s">
        <v>19</v>
      </c>
      <c r="B77" s="418"/>
      <c r="C77" s="418"/>
      <c r="D77" s="418"/>
      <c r="E77" s="418"/>
      <c r="F77" s="418"/>
      <c r="G77" s="464" t="str">
        <f>'Indicateur Cde CCE P'!G78</f>
        <v>FEVRIER</v>
      </c>
      <c r="H77" s="464"/>
      <c r="I77" s="464"/>
      <c r="J77" s="464"/>
      <c r="K77" s="464"/>
      <c r="L77" s="464"/>
      <c r="M77" s="464"/>
      <c r="N77" s="464"/>
      <c r="O77" s="464"/>
      <c r="P77" s="188"/>
      <c r="Q77" s="188"/>
      <c r="R77" s="188"/>
      <c r="S77" s="188"/>
      <c r="T77" s="188"/>
      <c r="U77" s="188"/>
      <c r="V77" s="150"/>
      <c r="W77" s="188"/>
      <c r="X77" s="188"/>
      <c r="Y77" s="188"/>
      <c r="Z77" s="188"/>
      <c r="AA77" s="188"/>
      <c r="AB77" s="188"/>
      <c r="AC77" s="150"/>
      <c r="AD77" s="188"/>
      <c r="AE77" s="188"/>
      <c r="AF77" s="188"/>
      <c r="AG77" s="188"/>
      <c r="AH77" s="188"/>
    </row>
    <row r="78" spans="1:34" ht="15.95" customHeight="1" x14ac:dyDescent="0.25">
      <c r="A78" s="418"/>
      <c r="B78" s="418"/>
      <c r="C78" s="418"/>
      <c r="D78" s="418"/>
      <c r="E78" s="418"/>
      <c r="F78" s="418"/>
      <c r="G78" s="464"/>
      <c r="H78" s="464"/>
      <c r="I78" s="464"/>
      <c r="J78" s="464"/>
      <c r="K78" s="464"/>
      <c r="L78" s="464"/>
      <c r="M78" s="464"/>
      <c r="N78" s="464"/>
      <c r="O78" s="464"/>
      <c r="P78" s="188"/>
      <c r="Q78" s="188"/>
      <c r="R78" s="188"/>
      <c r="S78" s="188"/>
      <c r="T78" s="188"/>
      <c r="U78" s="188"/>
      <c r="V78" s="150"/>
      <c r="W78" s="188"/>
      <c r="X78" s="188"/>
      <c r="Y78" s="188"/>
      <c r="Z78" s="188"/>
      <c r="AA78" s="188"/>
      <c r="AB78" s="188"/>
      <c r="AC78" s="150"/>
      <c r="AD78" s="188"/>
      <c r="AE78" s="188"/>
      <c r="AF78" s="188"/>
      <c r="AG78" s="188"/>
      <c r="AH78" s="188"/>
    </row>
    <row r="79" spans="1:34" ht="15.95" customHeight="1" x14ac:dyDescent="0.25">
      <c r="A79" s="418"/>
      <c r="B79" s="418"/>
      <c r="C79" s="418"/>
      <c r="D79" s="418"/>
      <c r="E79" s="418"/>
      <c r="F79" s="418"/>
      <c r="G79" s="464"/>
      <c r="H79" s="464"/>
      <c r="I79" s="464"/>
      <c r="J79" s="464"/>
      <c r="K79" s="464"/>
      <c r="L79" s="464"/>
      <c r="M79" s="464"/>
      <c r="N79" s="464"/>
      <c r="O79" s="464"/>
      <c r="P79" s="188"/>
      <c r="Q79" s="188"/>
      <c r="R79" s="188"/>
      <c r="S79" s="188"/>
      <c r="T79" s="188"/>
      <c r="U79" s="188"/>
      <c r="V79" s="150"/>
      <c r="W79" s="188"/>
      <c r="X79" s="188"/>
      <c r="Y79" s="188"/>
      <c r="Z79" s="188"/>
      <c r="AA79" s="188"/>
      <c r="AB79" s="188"/>
      <c r="AC79" s="150"/>
      <c r="AD79" s="188"/>
      <c r="AE79" s="188"/>
      <c r="AF79" s="188"/>
      <c r="AG79" s="188"/>
      <c r="AH79" s="188"/>
    </row>
    <row r="80" spans="1:34" ht="15.95" customHeight="1" x14ac:dyDescent="0.25">
      <c r="A80" s="50"/>
      <c r="B80" s="50"/>
      <c r="C80" s="50"/>
      <c r="D80" s="50"/>
      <c r="E80" s="50"/>
      <c r="F80" s="50"/>
      <c r="G80" s="61"/>
      <c r="H80" s="149"/>
      <c r="I80" s="50"/>
      <c r="J80" s="50"/>
      <c r="K80" s="50"/>
      <c r="L80" s="50"/>
      <c r="M80" s="50"/>
      <c r="N80" s="50"/>
      <c r="O80" s="149"/>
      <c r="P80" s="50"/>
      <c r="Q80" s="50"/>
      <c r="R80" s="50"/>
      <c r="S80" s="50"/>
      <c r="T80" s="50"/>
      <c r="U80" s="50"/>
      <c r="V80" s="149"/>
      <c r="W80" s="50"/>
      <c r="X80" s="50"/>
      <c r="Y80" s="50"/>
      <c r="Z80" s="50"/>
      <c r="AA80" s="50"/>
      <c r="AB80" s="50"/>
      <c r="AC80" s="149"/>
      <c r="AD80" s="50"/>
      <c r="AE80" s="50"/>
      <c r="AF80" s="50"/>
      <c r="AG80" s="50"/>
      <c r="AH80" s="50"/>
    </row>
    <row r="81" spans="2:2" ht="16.5" customHeight="1" x14ac:dyDescent="0.35">
      <c r="B81" s="4"/>
    </row>
  </sheetData>
  <mergeCells count="238">
    <mergeCell ref="AE58:AE59"/>
    <mergeCell ref="AF58:AF59"/>
    <mergeCell ref="AG58:AG59"/>
    <mergeCell ref="AH58:AH59"/>
    <mergeCell ref="A77:F79"/>
    <mergeCell ref="G77:O79"/>
    <mergeCell ref="V58:V59"/>
    <mergeCell ref="W58:W59"/>
    <mergeCell ref="X58:X59"/>
    <mergeCell ref="Y58:Y59"/>
    <mergeCell ref="Z58:Z59"/>
    <mergeCell ref="AA58:AA59"/>
    <mergeCell ref="O58:O59"/>
    <mergeCell ref="P58:P59"/>
    <mergeCell ref="Q58:Q59"/>
    <mergeCell ref="R58:R59"/>
    <mergeCell ref="S58:S59"/>
    <mergeCell ref="T58:T59"/>
    <mergeCell ref="H58:H59"/>
    <mergeCell ref="I58:I59"/>
    <mergeCell ref="J58:J59"/>
    <mergeCell ref="K58:K59"/>
    <mergeCell ref="L58:L59"/>
    <mergeCell ref="M58:M59"/>
    <mergeCell ref="AE56:AE57"/>
    <mergeCell ref="AF56:AF57"/>
    <mergeCell ref="AG56:AG57"/>
    <mergeCell ref="AH56:AH57"/>
    <mergeCell ref="A58:A59"/>
    <mergeCell ref="B58:B59"/>
    <mergeCell ref="C58:C59"/>
    <mergeCell ref="D58:D59"/>
    <mergeCell ref="E58:E59"/>
    <mergeCell ref="F58:F59"/>
    <mergeCell ref="X56:X57"/>
    <mergeCell ref="Y56:Y57"/>
    <mergeCell ref="Z56:Z57"/>
    <mergeCell ref="AA56:AA57"/>
    <mergeCell ref="AC56:AC59"/>
    <mergeCell ref="AD56:AD57"/>
    <mergeCell ref="AD58:AD59"/>
    <mergeCell ref="Q56:Q57"/>
    <mergeCell ref="R56:R57"/>
    <mergeCell ref="S56:S57"/>
    <mergeCell ref="T56:T57"/>
    <mergeCell ref="V56:V57"/>
    <mergeCell ref="W56:W57"/>
    <mergeCell ref="J56:J57"/>
    <mergeCell ref="K56:K57"/>
    <mergeCell ref="L56:L57"/>
    <mergeCell ref="M56:M57"/>
    <mergeCell ref="O56:O57"/>
    <mergeCell ref="P56:P57"/>
    <mergeCell ref="A56:A57"/>
    <mergeCell ref="B56:B57"/>
    <mergeCell ref="C56:C57"/>
    <mergeCell ref="D56:D57"/>
    <mergeCell ref="E56:E57"/>
    <mergeCell ref="F56:F57"/>
    <mergeCell ref="H56:H57"/>
    <mergeCell ref="I56:I57"/>
    <mergeCell ref="AB50:AB51"/>
    <mergeCell ref="AC50:AC51"/>
    <mergeCell ref="A52:A53"/>
    <mergeCell ref="H52:H53"/>
    <mergeCell ref="N52:N53"/>
    <mergeCell ref="O52:O53"/>
    <mergeCell ref="U52:U53"/>
    <mergeCell ref="V52:V53"/>
    <mergeCell ref="AB52:AB53"/>
    <mergeCell ref="AC52:AC53"/>
    <mergeCell ref="A50:A51"/>
    <mergeCell ref="H50:H51"/>
    <mergeCell ref="N50:N51"/>
    <mergeCell ref="O50:O51"/>
    <mergeCell ref="U50:U51"/>
    <mergeCell ref="V50:V51"/>
    <mergeCell ref="AB46:AB47"/>
    <mergeCell ref="AC46:AC47"/>
    <mergeCell ref="A48:A49"/>
    <mergeCell ref="H48:H49"/>
    <mergeCell ref="N48:N49"/>
    <mergeCell ref="O48:O49"/>
    <mergeCell ref="U48:U49"/>
    <mergeCell ref="V48:V49"/>
    <mergeCell ref="AB48:AB49"/>
    <mergeCell ref="AC48:AC49"/>
    <mergeCell ref="A46:A47"/>
    <mergeCell ref="H46:H47"/>
    <mergeCell ref="N46:N47"/>
    <mergeCell ref="O46:O47"/>
    <mergeCell ref="U46:U47"/>
    <mergeCell ref="V46:V47"/>
    <mergeCell ref="AB42:AB43"/>
    <mergeCell ref="AC42:AC43"/>
    <mergeCell ref="A44:A45"/>
    <mergeCell ref="H44:H45"/>
    <mergeCell ref="N44:N45"/>
    <mergeCell ref="O44:O45"/>
    <mergeCell ref="U44:U45"/>
    <mergeCell ref="V44:V45"/>
    <mergeCell ref="AB44:AB45"/>
    <mergeCell ref="AC44:AC45"/>
    <mergeCell ref="A42:A43"/>
    <mergeCell ref="H42:H43"/>
    <mergeCell ref="N42:N43"/>
    <mergeCell ref="O42:O43"/>
    <mergeCell ref="U42:U43"/>
    <mergeCell ref="V42:V43"/>
    <mergeCell ref="AB38:AB39"/>
    <mergeCell ref="AC38:AC39"/>
    <mergeCell ref="A40:A41"/>
    <mergeCell ref="H40:H41"/>
    <mergeCell ref="N40:N41"/>
    <mergeCell ref="O40:O41"/>
    <mergeCell ref="U40:U41"/>
    <mergeCell ref="V40:V41"/>
    <mergeCell ref="AB40:AB41"/>
    <mergeCell ref="AC40:AC41"/>
    <mergeCell ref="A38:A39"/>
    <mergeCell ref="H38:H39"/>
    <mergeCell ref="N38:N39"/>
    <mergeCell ref="O38:O39"/>
    <mergeCell ref="U38:U39"/>
    <mergeCell ref="V38:V39"/>
    <mergeCell ref="AB34:AB35"/>
    <mergeCell ref="AC34:AC35"/>
    <mergeCell ref="A36:A37"/>
    <mergeCell ref="H36:H37"/>
    <mergeCell ref="N36:N37"/>
    <mergeCell ref="O36:O37"/>
    <mergeCell ref="U36:U37"/>
    <mergeCell ref="V36:V37"/>
    <mergeCell ref="AB36:AB37"/>
    <mergeCell ref="AC36:AC37"/>
    <mergeCell ref="A34:A35"/>
    <mergeCell ref="H34:H35"/>
    <mergeCell ref="N34:N35"/>
    <mergeCell ref="O34:O35"/>
    <mergeCell ref="U34:U35"/>
    <mergeCell ref="V34:V35"/>
    <mergeCell ref="AB30:AB31"/>
    <mergeCell ref="AC30:AC31"/>
    <mergeCell ref="A32:A33"/>
    <mergeCell ref="H32:H33"/>
    <mergeCell ref="N32:N33"/>
    <mergeCell ref="O32:O33"/>
    <mergeCell ref="U32:U33"/>
    <mergeCell ref="V32:V33"/>
    <mergeCell ref="AB32:AB33"/>
    <mergeCell ref="AC32:AC33"/>
    <mergeCell ref="A30:A31"/>
    <mergeCell ref="H30:H31"/>
    <mergeCell ref="N30:N31"/>
    <mergeCell ref="O30:O31"/>
    <mergeCell ref="U30:U31"/>
    <mergeCell ref="V30:V31"/>
    <mergeCell ref="AB26:AB27"/>
    <mergeCell ref="AC26:AC27"/>
    <mergeCell ref="A28:A29"/>
    <mergeCell ref="H28:H29"/>
    <mergeCell ref="N28:N29"/>
    <mergeCell ref="O28:O29"/>
    <mergeCell ref="U28:U29"/>
    <mergeCell ref="V28:V29"/>
    <mergeCell ref="AB28:AB29"/>
    <mergeCell ref="AC28:AC29"/>
    <mergeCell ref="A26:A27"/>
    <mergeCell ref="H26:H27"/>
    <mergeCell ref="N26:N27"/>
    <mergeCell ref="O26:O27"/>
    <mergeCell ref="U26:U27"/>
    <mergeCell ref="V26:V27"/>
    <mergeCell ref="AB22:AB23"/>
    <mergeCell ref="AC22:AC23"/>
    <mergeCell ref="A24:A25"/>
    <mergeCell ref="H24:H25"/>
    <mergeCell ref="N24:N25"/>
    <mergeCell ref="O24:O25"/>
    <mergeCell ref="U24:U25"/>
    <mergeCell ref="V24:V25"/>
    <mergeCell ref="AB24:AB25"/>
    <mergeCell ref="AC24:AC25"/>
    <mergeCell ref="A22:A23"/>
    <mergeCell ref="H22:H23"/>
    <mergeCell ref="N22:N23"/>
    <mergeCell ref="O22:O23"/>
    <mergeCell ref="U22:U23"/>
    <mergeCell ref="V22:V23"/>
    <mergeCell ref="AB18:AB19"/>
    <mergeCell ref="AC18:AC19"/>
    <mergeCell ref="A20:A21"/>
    <mergeCell ref="H20:H21"/>
    <mergeCell ref="N20:N21"/>
    <mergeCell ref="O20:O21"/>
    <mergeCell ref="U20:U21"/>
    <mergeCell ref="V20:V21"/>
    <mergeCell ref="AB20:AB21"/>
    <mergeCell ref="AC20:AC21"/>
    <mergeCell ref="A18:A19"/>
    <mergeCell ref="H18:H19"/>
    <mergeCell ref="N18:N19"/>
    <mergeCell ref="O18:O19"/>
    <mergeCell ref="U18:U19"/>
    <mergeCell ref="V18:V19"/>
    <mergeCell ref="A12:A13"/>
    <mergeCell ref="H12:H13"/>
    <mergeCell ref="N12:N13"/>
    <mergeCell ref="O12:O13"/>
    <mergeCell ref="U12:U13"/>
    <mergeCell ref="AC14:AC15"/>
    <mergeCell ref="A16:A17"/>
    <mergeCell ref="H16:H17"/>
    <mergeCell ref="O16:O17"/>
    <mergeCell ref="V16:V17"/>
    <mergeCell ref="AC16:AC17"/>
    <mergeCell ref="V12:V13"/>
    <mergeCell ref="AB12:AB13"/>
    <mergeCell ref="AC12:AC13"/>
    <mergeCell ref="A14:A15"/>
    <mergeCell ref="H14:H15"/>
    <mergeCell ref="N14:N15"/>
    <mergeCell ref="O14:O15"/>
    <mergeCell ref="U14:U15"/>
    <mergeCell ref="V14:V15"/>
    <mergeCell ref="AB14:AB15"/>
    <mergeCell ref="A1:AD5"/>
    <mergeCell ref="A7:AH7"/>
    <mergeCell ref="A9:F9"/>
    <mergeCell ref="H9:M9"/>
    <mergeCell ref="O9:T9"/>
    <mergeCell ref="AD9:AH9"/>
    <mergeCell ref="V9:AA9"/>
    <mergeCell ref="A10:A11"/>
    <mergeCell ref="H10:H11"/>
    <mergeCell ref="O10:O11"/>
    <mergeCell ref="V10:V11"/>
    <mergeCell ref="AC10:AC11"/>
  </mergeCells>
  <printOptions horizontalCentered="1" verticalCentered="1"/>
  <pageMargins left="0.19685039370078741" right="0.19685039370078741" top="0" bottom="0" header="0" footer="0"/>
  <pageSetup paperSize="8" scale="7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-0.249977111117893"/>
    <pageSetUpPr fitToPage="1"/>
  </sheetPr>
  <dimension ref="A1:AA168"/>
  <sheetViews>
    <sheetView topLeftCell="A23" zoomScale="57" zoomScaleNormal="57" workbookViewId="0">
      <selection activeCell="AA97" sqref="AA97"/>
    </sheetView>
  </sheetViews>
  <sheetFormatPr baseColWidth="10" defaultRowHeight="15" x14ac:dyDescent="0.25"/>
  <cols>
    <col min="1" max="1" width="15.28515625" customWidth="1"/>
    <col min="2" max="2" width="14.5703125" customWidth="1"/>
    <col min="3" max="14" width="15.7109375" customWidth="1"/>
    <col min="15" max="24" width="10.7109375" customWidth="1"/>
    <col min="236" max="236" width="4.140625" customWidth="1"/>
    <col min="237" max="237" width="4" customWidth="1"/>
    <col min="238" max="238" width="4.140625" customWidth="1"/>
    <col min="239" max="239" width="3.85546875" customWidth="1"/>
    <col min="240" max="248" width="4.140625" customWidth="1"/>
    <col min="249" max="249" width="3.7109375" customWidth="1"/>
    <col min="250" max="280" width="4.42578125" customWidth="1"/>
    <col min="492" max="492" width="4.140625" customWidth="1"/>
    <col min="493" max="493" width="4" customWidth="1"/>
    <col min="494" max="494" width="4.140625" customWidth="1"/>
    <col min="495" max="495" width="3.85546875" customWidth="1"/>
    <col min="496" max="504" width="4.140625" customWidth="1"/>
    <col min="505" max="505" width="3.7109375" customWidth="1"/>
    <col min="506" max="536" width="4.42578125" customWidth="1"/>
    <col min="748" max="748" width="4.140625" customWidth="1"/>
    <col min="749" max="749" width="4" customWidth="1"/>
    <col min="750" max="750" width="4.140625" customWidth="1"/>
    <col min="751" max="751" width="3.85546875" customWidth="1"/>
    <col min="752" max="760" width="4.140625" customWidth="1"/>
    <col min="761" max="761" width="3.7109375" customWidth="1"/>
    <col min="762" max="792" width="4.42578125" customWidth="1"/>
    <col min="1004" max="1004" width="4.140625" customWidth="1"/>
    <col min="1005" max="1005" width="4" customWidth="1"/>
    <col min="1006" max="1006" width="4.140625" customWidth="1"/>
    <col min="1007" max="1007" width="3.85546875" customWidth="1"/>
    <col min="1008" max="1016" width="4.140625" customWidth="1"/>
    <col min="1017" max="1017" width="3.7109375" customWidth="1"/>
    <col min="1018" max="1048" width="4.42578125" customWidth="1"/>
    <col min="1260" max="1260" width="4.140625" customWidth="1"/>
    <col min="1261" max="1261" width="4" customWidth="1"/>
    <col min="1262" max="1262" width="4.140625" customWidth="1"/>
    <col min="1263" max="1263" width="3.85546875" customWidth="1"/>
    <col min="1264" max="1272" width="4.140625" customWidth="1"/>
    <col min="1273" max="1273" width="3.7109375" customWidth="1"/>
    <col min="1274" max="1304" width="4.42578125" customWidth="1"/>
    <col min="1516" max="1516" width="4.140625" customWidth="1"/>
    <col min="1517" max="1517" width="4" customWidth="1"/>
    <col min="1518" max="1518" width="4.140625" customWidth="1"/>
    <col min="1519" max="1519" width="3.85546875" customWidth="1"/>
    <col min="1520" max="1528" width="4.140625" customWidth="1"/>
    <col min="1529" max="1529" width="3.7109375" customWidth="1"/>
    <col min="1530" max="1560" width="4.42578125" customWidth="1"/>
    <col min="1772" max="1772" width="4.140625" customWidth="1"/>
    <col min="1773" max="1773" width="4" customWidth="1"/>
    <col min="1774" max="1774" width="4.140625" customWidth="1"/>
    <col min="1775" max="1775" width="3.85546875" customWidth="1"/>
    <col min="1776" max="1784" width="4.140625" customWidth="1"/>
    <col min="1785" max="1785" width="3.7109375" customWidth="1"/>
    <col min="1786" max="1816" width="4.42578125" customWidth="1"/>
    <col min="2028" max="2028" width="4.140625" customWidth="1"/>
    <col min="2029" max="2029" width="4" customWidth="1"/>
    <col min="2030" max="2030" width="4.140625" customWidth="1"/>
    <col min="2031" max="2031" width="3.85546875" customWidth="1"/>
    <col min="2032" max="2040" width="4.140625" customWidth="1"/>
    <col min="2041" max="2041" width="3.7109375" customWidth="1"/>
    <col min="2042" max="2072" width="4.42578125" customWidth="1"/>
    <col min="2284" max="2284" width="4.140625" customWidth="1"/>
    <col min="2285" max="2285" width="4" customWidth="1"/>
    <col min="2286" max="2286" width="4.140625" customWidth="1"/>
    <col min="2287" max="2287" width="3.85546875" customWidth="1"/>
    <col min="2288" max="2296" width="4.140625" customWidth="1"/>
    <col min="2297" max="2297" width="3.7109375" customWidth="1"/>
    <col min="2298" max="2328" width="4.42578125" customWidth="1"/>
    <col min="2540" max="2540" width="4.140625" customWidth="1"/>
    <col min="2541" max="2541" width="4" customWidth="1"/>
    <col min="2542" max="2542" width="4.140625" customWidth="1"/>
    <col min="2543" max="2543" width="3.85546875" customWidth="1"/>
    <col min="2544" max="2552" width="4.140625" customWidth="1"/>
    <col min="2553" max="2553" width="3.7109375" customWidth="1"/>
    <col min="2554" max="2584" width="4.42578125" customWidth="1"/>
    <col min="2796" max="2796" width="4.140625" customWidth="1"/>
    <col min="2797" max="2797" width="4" customWidth="1"/>
    <col min="2798" max="2798" width="4.140625" customWidth="1"/>
    <col min="2799" max="2799" width="3.85546875" customWidth="1"/>
    <col min="2800" max="2808" width="4.140625" customWidth="1"/>
    <col min="2809" max="2809" width="3.7109375" customWidth="1"/>
    <col min="2810" max="2840" width="4.42578125" customWidth="1"/>
    <col min="3052" max="3052" width="4.140625" customWidth="1"/>
    <col min="3053" max="3053" width="4" customWidth="1"/>
    <col min="3054" max="3054" width="4.140625" customWidth="1"/>
    <col min="3055" max="3055" width="3.85546875" customWidth="1"/>
    <col min="3056" max="3064" width="4.140625" customWidth="1"/>
    <col min="3065" max="3065" width="3.7109375" customWidth="1"/>
    <col min="3066" max="3096" width="4.42578125" customWidth="1"/>
    <col min="3308" max="3308" width="4.140625" customWidth="1"/>
    <col min="3309" max="3309" width="4" customWidth="1"/>
    <col min="3310" max="3310" width="4.140625" customWidth="1"/>
    <col min="3311" max="3311" width="3.85546875" customWidth="1"/>
    <col min="3312" max="3320" width="4.140625" customWidth="1"/>
    <col min="3321" max="3321" width="3.7109375" customWidth="1"/>
    <col min="3322" max="3352" width="4.42578125" customWidth="1"/>
    <col min="3564" max="3564" width="4.140625" customWidth="1"/>
    <col min="3565" max="3565" width="4" customWidth="1"/>
    <col min="3566" max="3566" width="4.140625" customWidth="1"/>
    <col min="3567" max="3567" width="3.85546875" customWidth="1"/>
    <col min="3568" max="3576" width="4.140625" customWidth="1"/>
    <col min="3577" max="3577" width="3.7109375" customWidth="1"/>
    <col min="3578" max="3608" width="4.42578125" customWidth="1"/>
    <col min="3820" max="3820" width="4.140625" customWidth="1"/>
    <col min="3821" max="3821" width="4" customWidth="1"/>
    <col min="3822" max="3822" width="4.140625" customWidth="1"/>
    <col min="3823" max="3823" width="3.85546875" customWidth="1"/>
    <col min="3824" max="3832" width="4.140625" customWidth="1"/>
    <col min="3833" max="3833" width="3.7109375" customWidth="1"/>
    <col min="3834" max="3864" width="4.42578125" customWidth="1"/>
    <col min="4076" max="4076" width="4.140625" customWidth="1"/>
    <col min="4077" max="4077" width="4" customWidth="1"/>
    <col min="4078" max="4078" width="4.140625" customWidth="1"/>
    <col min="4079" max="4079" width="3.85546875" customWidth="1"/>
    <col min="4080" max="4088" width="4.140625" customWidth="1"/>
    <col min="4089" max="4089" width="3.7109375" customWidth="1"/>
    <col min="4090" max="4120" width="4.42578125" customWidth="1"/>
    <col min="4332" max="4332" width="4.140625" customWidth="1"/>
    <col min="4333" max="4333" width="4" customWidth="1"/>
    <col min="4334" max="4334" width="4.140625" customWidth="1"/>
    <col min="4335" max="4335" width="3.85546875" customWidth="1"/>
    <col min="4336" max="4344" width="4.140625" customWidth="1"/>
    <col min="4345" max="4345" width="3.7109375" customWidth="1"/>
    <col min="4346" max="4376" width="4.42578125" customWidth="1"/>
    <col min="4588" max="4588" width="4.140625" customWidth="1"/>
    <col min="4589" max="4589" width="4" customWidth="1"/>
    <col min="4590" max="4590" width="4.140625" customWidth="1"/>
    <col min="4591" max="4591" width="3.85546875" customWidth="1"/>
    <col min="4592" max="4600" width="4.140625" customWidth="1"/>
    <col min="4601" max="4601" width="3.7109375" customWidth="1"/>
    <col min="4602" max="4632" width="4.42578125" customWidth="1"/>
    <col min="4844" max="4844" width="4.140625" customWidth="1"/>
    <col min="4845" max="4845" width="4" customWidth="1"/>
    <col min="4846" max="4846" width="4.140625" customWidth="1"/>
    <col min="4847" max="4847" width="3.85546875" customWidth="1"/>
    <col min="4848" max="4856" width="4.140625" customWidth="1"/>
    <col min="4857" max="4857" width="3.7109375" customWidth="1"/>
    <col min="4858" max="4888" width="4.42578125" customWidth="1"/>
    <col min="5100" max="5100" width="4.140625" customWidth="1"/>
    <col min="5101" max="5101" width="4" customWidth="1"/>
    <col min="5102" max="5102" width="4.140625" customWidth="1"/>
    <col min="5103" max="5103" width="3.85546875" customWidth="1"/>
    <col min="5104" max="5112" width="4.140625" customWidth="1"/>
    <col min="5113" max="5113" width="3.7109375" customWidth="1"/>
    <col min="5114" max="5144" width="4.42578125" customWidth="1"/>
    <col min="5356" max="5356" width="4.140625" customWidth="1"/>
    <col min="5357" max="5357" width="4" customWidth="1"/>
    <col min="5358" max="5358" width="4.140625" customWidth="1"/>
    <col min="5359" max="5359" width="3.85546875" customWidth="1"/>
    <col min="5360" max="5368" width="4.140625" customWidth="1"/>
    <col min="5369" max="5369" width="3.7109375" customWidth="1"/>
    <col min="5370" max="5400" width="4.42578125" customWidth="1"/>
    <col min="5612" max="5612" width="4.140625" customWidth="1"/>
    <col min="5613" max="5613" width="4" customWidth="1"/>
    <col min="5614" max="5614" width="4.140625" customWidth="1"/>
    <col min="5615" max="5615" width="3.85546875" customWidth="1"/>
    <col min="5616" max="5624" width="4.140625" customWidth="1"/>
    <col min="5625" max="5625" width="3.7109375" customWidth="1"/>
    <col min="5626" max="5656" width="4.42578125" customWidth="1"/>
    <col min="5868" max="5868" width="4.140625" customWidth="1"/>
    <col min="5869" max="5869" width="4" customWidth="1"/>
    <col min="5870" max="5870" width="4.140625" customWidth="1"/>
    <col min="5871" max="5871" width="3.85546875" customWidth="1"/>
    <col min="5872" max="5880" width="4.140625" customWidth="1"/>
    <col min="5881" max="5881" width="3.7109375" customWidth="1"/>
    <col min="5882" max="5912" width="4.42578125" customWidth="1"/>
    <col min="6124" max="6124" width="4.140625" customWidth="1"/>
    <col min="6125" max="6125" width="4" customWidth="1"/>
    <col min="6126" max="6126" width="4.140625" customWidth="1"/>
    <col min="6127" max="6127" width="3.85546875" customWidth="1"/>
    <col min="6128" max="6136" width="4.140625" customWidth="1"/>
    <col min="6137" max="6137" width="3.7109375" customWidth="1"/>
    <col min="6138" max="6168" width="4.42578125" customWidth="1"/>
    <col min="6380" max="6380" width="4.140625" customWidth="1"/>
    <col min="6381" max="6381" width="4" customWidth="1"/>
    <col min="6382" max="6382" width="4.140625" customWidth="1"/>
    <col min="6383" max="6383" width="3.85546875" customWidth="1"/>
    <col min="6384" max="6392" width="4.140625" customWidth="1"/>
    <col min="6393" max="6393" width="3.7109375" customWidth="1"/>
    <col min="6394" max="6424" width="4.42578125" customWidth="1"/>
    <col min="6636" max="6636" width="4.140625" customWidth="1"/>
    <col min="6637" max="6637" width="4" customWidth="1"/>
    <col min="6638" max="6638" width="4.140625" customWidth="1"/>
    <col min="6639" max="6639" width="3.85546875" customWidth="1"/>
    <col min="6640" max="6648" width="4.140625" customWidth="1"/>
    <col min="6649" max="6649" width="3.7109375" customWidth="1"/>
    <col min="6650" max="6680" width="4.42578125" customWidth="1"/>
    <col min="6892" max="6892" width="4.140625" customWidth="1"/>
    <col min="6893" max="6893" width="4" customWidth="1"/>
    <col min="6894" max="6894" width="4.140625" customWidth="1"/>
    <col min="6895" max="6895" width="3.85546875" customWidth="1"/>
    <col min="6896" max="6904" width="4.140625" customWidth="1"/>
    <col min="6905" max="6905" width="3.7109375" customWidth="1"/>
    <col min="6906" max="6936" width="4.42578125" customWidth="1"/>
    <col min="7148" max="7148" width="4.140625" customWidth="1"/>
    <col min="7149" max="7149" width="4" customWidth="1"/>
    <col min="7150" max="7150" width="4.140625" customWidth="1"/>
    <col min="7151" max="7151" width="3.85546875" customWidth="1"/>
    <col min="7152" max="7160" width="4.140625" customWidth="1"/>
    <col min="7161" max="7161" width="3.7109375" customWidth="1"/>
    <col min="7162" max="7192" width="4.42578125" customWidth="1"/>
    <col min="7404" max="7404" width="4.140625" customWidth="1"/>
    <col min="7405" max="7405" width="4" customWidth="1"/>
    <col min="7406" max="7406" width="4.140625" customWidth="1"/>
    <col min="7407" max="7407" width="3.85546875" customWidth="1"/>
    <col min="7408" max="7416" width="4.140625" customWidth="1"/>
    <col min="7417" max="7417" width="3.7109375" customWidth="1"/>
    <col min="7418" max="7448" width="4.42578125" customWidth="1"/>
    <col min="7660" max="7660" width="4.140625" customWidth="1"/>
    <col min="7661" max="7661" width="4" customWidth="1"/>
    <col min="7662" max="7662" width="4.140625" customWidth="1"/>
    <col min="7663" max="7663" width="3.85546875" customWidth="1"/>
    <col min="7664" max="7672" width="4.140625" customWidth="1"/>
    <col min="7673" max="7673" width="3.7109375" customWidth="1"/>
    <col min="7674" max="7704" width="4.42578125" customWidth="1"/>
    <col min="7916" max="7916" width="4.140625" customWidth="1"/>
    <col min="7917" max="7917" width="4" customWidth="1"/>
    <col min="7918" max="7918" width="4.140625" customWidth="1"/>
    <col min="7919" max="7919" width="3.85546875" customWidth="1"/>
    <col min="7920" max="7928" width="4.140625" customWidth="1"/>
    <col min="7929" max="7929" width="3.7109375" customWidth="1"/>
    <col min="7930" max="7960" width="4.42578125" customWidth="1"/>
    <col min="8172" max="8172" width="4.140625" customWidth="1"/>
    <col min="8173" max="8173" width="4" customWidth="1"/>
    <col min="8174" max="8174" width="4.140625" customWidth="1"/>
    <col min="8175" max="8175" width="3.85546875" customWidth="1"/>
    <col min="8176" max="8184" width="4.140625" customWidth="1"/>
    <col min="8185" max="8185" width="3.7109375" customWidth="1"/>
    <col min="8186" max="8216" width="4.42578125" customWidth="1"/>
    <col min="8428" max="8428" width="4.140625" customWidth="1"/>
    <col min="8429" max="8429" width="4" customWidth="1"/>
    <col min="8430" max="8430" width="4.140625" customWidth="1"/>
    <col min="8431" max="8431" width="3.85546875" customWidth="1"/>
    <col min="8432" max="8440" width="4.140625" customWidth="1"/>
    <col min="8441" max="8441" width="3.7109375" customWidth="1"/>
    <col min="8442" max="8472" width="4.42578125" customWidth="1"/>
    <col min="8684" max="8684" width="4.140625" customWidth="1"/>
    <col min="8685" max="8685" width="4" customWidth="1"/>
    <col min="8686" max="8686" width="4.140625" customWidth="1"/>
    <col min="8687" max="8687" width="3.85546875" customWidth="1"/>
    <col min="8688" max="8696" width="4.140625" customWidth="1"/>
    <col min="8697" max="8697" width="3.7109375" customWidth="1"/>
    <col min="8698" max="8728" width="4.42578125" customWidth="1"/>
    <col min="8940" max="8940" width="4.140625" customWidth="1"/>
    <col min="8941" max="8941" width="4" customWidth="1"/>
    <col min="8942" max="8942" width="4.140625" customWidth="1"/>
    <col min="8943" max="8943" width="3.85546875" customWidth="1"/>
    <col min="8944" max="8952" width="4.140625" customWidth="1"/>
    <col min="8953" max="8953" width="3.7109375" customWidth="1"/>
    <col min="8954" max="8984" width="4.42578125" customWidth="1"/>
    <col min="9196" max="9196" width="4.140625" customWidth="1"/>
    <col min="9197" max="9197" width="4" customWidth="1"/>
    <col min="9198" max="9198" width="4.140625" customWidth="1"/>
    <col min="9199" max="9199" width="3.85546875" customWidth="1"/>
    <col min="9200" max="9208" width="4.140625" customWidth="1"/>
    <col min="9209" max="9209" width="3.7109375" customWidth="1"/>
    <col min="9210" max="9240" width="4.42578125" customWidth="1"/>
    <col min="9452" max="9452" width="4.140625" customWidth="1"/>
    <col min="9453" max="9453" width="4" customWidth="1"/>
    <col min="9454" max="9454" width="4.140625" customWidth="1"/>
    <col min="9455" max="9455" width="3.85546875" customWidth="1"/>
    <col min="9456" max="9464" width="4.140625" customWidth="1"/>
    <col min="9465" max="9465" width="3.7109375" customWidth="1"/>
    <col min="9466" max="9496" width="4.42578125" customWidth="1"/>
    <col min="9708" max="9708" width="4.140625" customWidth="1"/>
    <col min="9709" max="9709" width="4" customWidth="1"/>
    <col min="9710" max="9710" width="4.140625" customWidth="1"/>
    <col min="9711" max="9711" width="3.85546875" customWidth="1"/>
    <col min="9712" max="9720" width="4.140625" customWidth="1"/>
    <col min="9721" max="9721" width="3.7109375" customWidth="1"/>
    <col min="9722" max="9752" width="4.42578125" customWidth="1"/>
    <col min="9964" max="9964" width="4.140625" customWidth="1"/>
    <col min="9965" max="9965" width="4" customWidth="1"/>
    <col min="9966" max="9966" width="4.140625" customWidth="1"/>
    <col min="9967" max="9967" width="3.85546875" customWidth="1"/>
    <col min="9968" max="9976" width="4.140625" customWidth="1"/>
    <col min="9977" max="9977" width="3.7109375" customWidth="1"/>
    <col min="9978" max="10008" width="4.42578125" customWidth="1"/>
    <col min="10220" max="10220" width="4.140625" customWidth="1"/>
    <col min="10221" max="10221" width="4" customWidth="1"/>
    <col min="10222" max="10222" width="4.140625" customWidth="1"/>
    <col min="10223" max="10223" width="3.85546875" customWidth="1"/>
    <col min="10224" max="10232" width="4.140625" customWidth="1"/>
    <col min="10233" max="10233" width="3.7109375" customWidth="1"/>
    <col min="10234" max="10264" width="4.42578125" customWidth="1"/>
    <col min="10476" max="10476" width="4.140625" customWidth="1"/>
    <col min="10477" max="10477" width="4" customWidth="1"/>
    <col min="10478" max="10478" width="4.140625" customWidth="1"/>
    <col min="10479" max="10479" width="3.85546875" customWidth="1"/>
    <col min="10480" max="10488" width="4.140625" customWidth="1"/>
    <col min="10489" max="10489" width="3.7109375" customWidth="1"/>
    <col min="10490" max="10520" width="4.42578125" customWidth="1"/>
    <col min="10732" max="10732" width="4.140625" customWidth="1"/>
    <col min="10733" max="10733" width="4" customWidth="1"/>
    <col min="10734" max="10734" width="4.140625" customWidth="1"/>
    <col min="10735" max="10735" width="3.85546875" customWidth="1"/>
    <col min="10736" max="10744" width="4.140625" customWidth="1"/>
    <col min="10745" max="10745" width="3.7109375" customWidth="1"/>
    <col min="10746" max="10776" width="4.42578125" customWidth="1"/>
    <col min="10988" max="10988" width="4.140625" customWidth="1"/>
    <col min="10989" max="10989" width="4" customWidth="1"/>
    <col min="10990" max="10990" width="4.140625" customWidth="1"/>
    <col min="10991" max="10991" width="3.85546875" customWidth="1"/>
    <col min="10992" max="11000" width="4.140625" customWidth="1"/>
    <col min="11001" max="11001" width="3.7109375" customWidth="1"/>
    <col min="11002" max="11032" width="4.42578125" customWidth="1"/>
    <col min="11244" max="11244" width="4.140625" customWidth="1"/>
    <col min="11245" max="11245" width="4" customWidth="1"/>
    <col min="11246" max="11246" width="4.140625" customWidth="1"/>
    <col min="11247" max="11247" width="3.85546875" customWidth="1"/>
    <col min="11248" max="11256" width="4.140625" customWidth="1"/>
    <col min="11257" max="11257" width="3.7109375" customWidth="1"/>
    <col min="11258" max="11288" width="4.42578125" customWidth="1"/>
    <col min="11500" max="11500" width="4.140625" customWidth="1"/>
    <col min="11501" max="11501" width="4" customWidth="1"/>
    <col min="11502" max="11502" width="4.140625" customWidth="1"/>
    <col min="11503" max="11503" width="3.85546875" customWidth="1"/>
    <col min="11504" max="11512" width="4.140625" customWidth="1"/>
    <col min="11513" max="11513" width="3.7109375" customWidth="1"/>
    <col min="11514" max="11544" width="4.42578125" customWidth="1"/>
    <col min="11756" max="11756" width="4.140625" customWidth="1"/>
    <col min="11757" max="11757" width="4" customWidth="1"/>
    <col min="11758" max="11758" width="4.140625" customWidth="1"/>
    <col min="11759" max="11759" width="3.85546875" customWidth="1"/>
    <col min="11760" max="11768" width="4.140625" customWidth="1"/>
    <col min="11769" max="11769" width="3.7109375" customWidth="1"/>
    <col min="11770" max="11800" width="4.42578125" customWidth="1"/>
    <col min="12012" max="12012" width="4.140625" customWidth="1"/>
    <col min="12013" max="12013" width="4" customWidth="1"/>
    <col min="12014" max="12014" width="4.140625" customWidth="1"/>
    <col min="12015" max="12015" width="3.85546875" customWidth="1"/>
    <col min="12016" max="12024" width="4.140625" customWidth="1"/>
    <col min="12025" max="12025" width="3.7109375" customWidth="1"/>
    <col min="12026" max="12056" width="4.42578125" customWidth="1"/>
    <col min="12268" max="12268" width="4.140625" customWidth="1"/>
    <col min="12269" max="12269" width="4" customWidth="1"/>
    <col min="12270" max="12270" width="4.140625" customWidth="1"/>
    <col min="12271" max="12271" width="3.85546875" customWidth="1"/>
    <col min="12272" max="12280" width="4.140625" customWidth="1"/>
    <col min="12281" max="12281" width="3.7109375" customWidth="1"/>
    <col min="12282" max="12312" width="4.42578125" customWidth="1"/>
    <col min="12524" max="12524" width="4.140625" customWidth="1"/>
    <col min="12525" max="12525" width="4" customWidth="1"/>
    <col min="12526" max="12526" width="4.140625" customWidth="1"/>
    <col min="12527" max="12527" width="3.85546875" customWidth="1"/>
    <col min="12528" max="12536" width="4.140625" customWidth="1"/>
    <col min="12537" max="12537" width="3.7109375" customWidth="1"/>
    <col min="12538" max="12568" width="4.42578125" customWidth="1"/>
    <col min="12780" max="12780" width="4.140625" customWidth="1"/>
    <col min="12781" max="12781" width="4" customWidth="1"/>
    <col min="12782" max="12782" width="4.140625" customWidth="1"/>
    <col min="12783" max="12783" width="3.85546875" customWidth="1"/>
    <col min="12784" max="12792" width="4.140625" customWidth="1"/>
    <col min="12793" max="12793" width="3.7109375" customWidth="1"/>
    <col min="12794" max="12824" width="4.42578125" customWidth="1"/>
    <col min="13036" max="13036" width="4.140625" customWidth="1"/>
    <col min="13037" max="13037" width="4" customWidth="1"/>
    <col min="13038" max="13038" width="4.140625" customWidth="1"/>
    <col min="13039" max="13039" width="3.85546875" customWidth="1"/>
    <col min="13040" max="13048" width="4.140625" customWidth="1"/>
    <col min="13049" max="13049" width="3.7109375" customWidth="1"/>
    <col min="13050" max="13080" width="4.42578125" customWidth="1"/>
    <col min="13292" max="13292" width="4.140625" customWidth="1"/>
    <col min="13293" max="13293" width="4" customWidth="1"/>
    <col min="13294" max="13294" width="4.140625" customWidth="1"/>
    <col min="13295" max="13295" width="3.85546875" customWidth="1"/>
    <col min="13296" max="13304" width="4.140625" customWidth="1"/>
    <col min="13305" max="13305" width="3.7109375" customWidth="1"/>
    <col min="13306" max="13336" width="4.42578125" customWidth="1"/>
    <col min="13548" max="13548" width="4.140625" customWidth="1"/>
    <col min="13549" max="13549" width="4" customWidth="1"/>
    <col min="13550" max="13550" width="4.140625" customWidth="1"/>
    <col min="13551" max="13551" width="3.85546875" customWidth="1"/>
    <col min="13552" max="13560" width="4.140625" customWidth="1"/>
    <col min="13561" max="13561" width="3.7109375" customWidth="1"/>
    <col min="13562" max="13592" width="4.42578125" customWidth="1"/>
    <col min="13804" max="13804" width="4.140625" customWidth="1"/>
    <col min="13805" max="13805" width="4" customWidth="1"/>
    <col min="13806" max="13806" width="4.140625" customWidth="1"/>
    <col min="13807" max="13807" width="3.85546875" customWidth="1"/>
    <col min="13808" max="13816" width="4.140625" customWidth="1"/>
    <col min="13817" max="13817" width="3.7109375" customWidth="1"/>
    <col min="13818" max="13848" width="4.42578125" customWidth="1"/>
    <col min="14060" max="14060" width="4.140625" customWidth="1"/>
    <col min="14061" max="14061" width="4" customWidth="1"/>
    <col min="14062" max="14062" width="4.140625" customWidth="1"/>
    <col min="14063" max="14063" width="3.85546875" customWidth="1"/>
    <col min="14064" max="14072" width="4.140625" customWidth="1"/>
    <col min="14073" max="14073" width="3.7109375" customWidth="1"/>
    <col min="14074" max="14104" width="4.42578125" customWidth="1"/>
    <col min="14316" max="14316" width="4.140625" customWidth="1"/>
    <col min="14317" max="14317" width="4" customWidth="1"/>
    <col min="14318" max="14318" width="4.140625" customWidth="1"/>
    <col min="14319" max="14319" width="3.85546875" customWidth="1"/>
    <col min="14320" max="14328" width="4.140625" customWidth="1"/>
    <col min="14329" max="14329" width="3.7109375" customWidth="1"/>
    <col min="14330" max="14360" width="4.42578125" customWidth="1"/>
    <col min="14572" max="14572" width="4.140625" customWidth="1"/>
    <col min="14573" max="14573" width="4" customWidth="1"/>
    <col min="14574" max="14574" width="4.140625" customWidth="1"/>
    <col min="14575" max="14575" width="3.85546875" customWidth="1"/>
    <col min="14576" max="14584" width="4.140625" customWidth="1"/>
    <col min="14585" max="14585" width="3.7109375" customWidth="1"/>
    <col min="14586" max="14616" width="4.42578125" customWidth="1"/>
    <col min="14828" max="14828" width="4.140625" customWidth="1"/>
    <col min="14829" max="14829" width="4" customWidth="1"/>
    <col min="14830" max="14830" width="4.140625" customWidth="1"/>
    <col min="14831" max="14831" width="3.85546875" customWidth="1"/>
    <col min="14832" max="14840" width="4.140625" customWidth="1"/>
    <col min="14841" max="14841" width="3.7109375" customWidth="1"/>
    <col min="14842" max="14872" width="4.42578125" customWidth="1"/>
    <col min="15084" max="15084" width="4.140625" customWidth="1"/>
    <col min="15085" max="15085" width="4" customWidth="1"/>
    <col min="15086" max="15086" width="4.140625" customWidth="1"/>
    <col min="15087" max="15087" width="3.85546875" customWidth="1"/>
    <col min="15088" max="15096" width="4.140625" customWidth="1"/>
    <col min="15097" max="15097" width="3.7109375" customWidth="1"/>
    <col min="15098" max="15128" width="4.42578125" customWidth="1"/>
    <col min="15340" max="15340" width="4.140625" customWidth="1"/>
    <col min="15341" max="15341" width="4" customWidth="1"/>
    <col min="15342" max="15342" width="4.140625" customWidth="1"/>
    <col min="15343" max="15343" width="3.85546875" customWidth="1"/>
    <col min="15344" max="15352" width="4.140625" customWidth="1"/>
    <col min="15353" max="15353" width="3.7109375" customWidth="1"/>
    <col min="15354" max="15384" width="4.42578125" customWidth="1"/>
    <col min="15596" max="15596" width="4.140625" customWidth="1"/>
    <col min="15597" max="15597" width="4" customWidth="1"/>
    <col min="15598" max="15598" width="4.140625" customWidth="1"/>
    <col min="15599" max="15599" width="3.85546875" customWidth="1"/>
    <col min="15600" max="15608" width="4.140625" customWidth="1"/>
    <col min="15609" max="15609" width="3.7109375" customWidth="1"/>
    <col min="15610" max="15640" width="4.42578125" customWidth="1"/>
    <col min="15852" max="15852" width="4.140625" customWidth="1"/>
    <col min="15853" max="15853" width="4" customWidth="1"/>
    <col min="15854" max="15854" width="4.140625" customWidth="1"/>
    <col min="15855" max="15855" width="3.85546875" customWidth="1"/>
    <col min="15856" max="15864" width="4.140625" customWidth="1"/>
    <col min="15865" max="15865" width="3.7109375" customWidth="1"/>
    <col min="15866" max="15896" width="4.42578125" customWidth="1"/>
    <col min="16108" max="16108" width="4.140625" customWidth="1"/>
    <col min="16109" max="16109" width="4" customWidth="1"/>
    <col min="16110" max="16110" width="4.140625" customWidth="1"/>
    <col min="16111" max="16111" width="3.85546875" customWidth="1"/>
    <col min="16112" max="16120" width="4.140625" customWidth="1"/>
    <col min="16121" max="16121" width="3.7109375" customWidth="1"/>
    <col min="16122" max="16152" width="4.42578125" customWidth="1"/>
  </cols>
  <sheetData>
    <row r="1" spans="1:27" ht="15.9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</row>
    <row r="2" spans="1:27" ht="15.9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</row>
    <row r="3" spans="1:27" ht="15.9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</row>
    <row r="4" spans="1:27" ht="15.9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</row>
    <row r="5" spans="1:27" ht="15.9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</row>
    <row r="6" spans="1:27" s="1" customFormat="1" ht="15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7" s="1" customFormat="1" ht="38.450000000000003" customHeight="1" x14ac:dyDescent="0.25">
      <c r="A7" s="481" t="s">
        <v>78</v>
      </c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3"/>
    </row>
    <row r="8" spans="1:27" s="1" customFormat="1" ht="1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8"/>
      <c r="N8" s="8"/>
      <c r="O8" s="8"/>
      <c r="P8" s="8"/>
      <c r="Q8" s="5"/>
      <c r="R8" s="5"/>
      <c r="S8" s="5"/>
      <c r="T8" s="5"/>
      <c r="U8" s="5"/>
      <c r="V8" s="5"/>
      <c r="W8" s="5"/>
      <c r="X8" s="5"/>
    </row>
    <row r="9" spans="1:27" ht="21.75" customHeight="1" x14ac:dyDescent="0.35">
      <c r="B9" s="7"/>
      <c r="C9" s="423" t="s">
        <v>79</v>
      </c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423"/>
      <c r="O9" s="19"/>
      <c r="P9" s="423" t="s">
        <v>214</v>
      </c>
      <c r="Q9" s="423"/>
      <c r="R9" s="423"/>
      <c r="S9" s="423"/>
      <c r="T9" s="423"/>
      <c r="U9" s="423"/>
      <c r="V9" s="423"/>
      <c r="W9" s="423"/>
      <c r="X9" s="215"/>
      <c r="Y9" s="215"/>
      <c r="Z9" s="215"/>
      <c r="AA9" s="215"/>
    </row>
    <row r="10" spans="1:27" ht="15.6" customHeight="1" x14ac:dyDescent="0.25">
      <c r="B10" s="105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2"/>
      <c r="P10" s="3"/>
      <c r="Q10" s="2"/>
      <c r="R10" s="2"/>
      <c r="S10" s="104"/>
      <c r="T10" s="5"/>
      <c r="U10" s="5"/>
      <c r="V10" s="5"/>
      <c r="W10" s="5"/>
      <c r="X10" s="2"/>
    </row>
    <row r="11" spans="1:27" ht="9" customHeight="1" x14ac:dyDescent="0.4">
      <c r="B11" s="129"/>
      <c r="C11" s="7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1"/>
      <c r="P11" s="111"/>
      <c r="Q11" s="2"/>
      <c r="R11" s="187"/>
      <c r="S11" s="87"/>
      <c r="T11" s="2"/>
      <c r="U11" s="2"/>
      <c r="V11" s="2"/>
      <c r="W11" s="187"/>
      <c r="X11" s="2"/>
    </row>
    <row r="12" spans="1:27" ht="9" customHeight="1" x14ac:dyDescent="0.4">
      <c r="B12" s="129"/>
      <c r="C12" s="76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1"/>
      <c r="P12" s="111"/>
      <c r="Q12" s="2"/>
      <c r="R12" s="187"/>
      <c r="S12" s="87"/>
      <c r="T12" s="2"/>
      <c r="U12" s="2"/>
      <c r="V12" s="2"/>
      <c r="W12" s="187"/>
      <c r="X12" s="2"/>
    </row>
    <row r="13" spans="1:27" ht="9" customHeight="1" x14ac:dyDescent="0.4">
      <c r="B13" s="129"/>
      <c r="C13" s="74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1"/>
      <c r="P13" s="111"/>
      <c r="Q13" s="2"/>
      <c r="R13" s="187"/>
      <c r="S13" s="87"/>
      <c r="T13" s="2"/>
      <c r="U13" s="2"/>
      <c r="V13" s="2"/>
      <c r="W13" s="187"/>
      <c r="X13" s="2"/>
    </row>
    <row r="14" spans="1:27" ht="9" customHeight="1" x14ac:dyDescent="0.4">
      <c r="B14" s="129"/>
      <c r="C14" s="76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1"/>
      <c r="P14" s="111"/>
      <c r="Q14" s="2"/>
      <c r="R14" s="187"/>
      <c r="S14" s="87"/>
      <c r="T14" s="2"/>
      <c r="U14" s="2"/>
      <c r="V14" s="2"/>
      <c r="W14" s="187"/>
      <c r="X14" s="2"/>
    </row>
    <row r="15" spans="1:27" ht="9" customHeight="1" x14ac:dyDescent="0.4">
      <c r="B15" s="129"/>
      <c r="C15" s="74"/>
      <c r="D15" s="75"/>
      <c r="E15" s="75"/>
      <c r="F15" s="75"/>
      <c r="G15" s="75"/>
      <c r="H15" s="75"/>
      <c r="I15" s="75"/>
      <c r="J15" s="75"/>
      <c r="K15" s="75"/>
      <c r="L15" s="79"/>
      <c r="M15" s="75"/>
      <c r="N15" s="75"/>
      <c r="O15" s="1"/>
      <c r="P15" s="55"/>
      <c r="Q15" s="2"/>
      <c r="R15" s="187"/>
      <c r="S15" s="87"/>
      <c r="T15" s="2"/>
      <c r="U15" s="2"/>
      <c r="V15" s="2"/>
      <c r="W15" s="186"/>
      <c r="X15" s="2"/>
    </row>
    <row r="16" spans="1:27" ht="9" customHeight="1" x14ac:dyDescent="0.4">
      <c r="B16" s="129"/>
      <c r="C16" s="76"/>
      <c r="D16" s="77"/>
      <c r="E16" s="77"/>
      <c r="F16" s="77"/>
      <c r="G16" s="77"/>
      <c r="H16" s="77"/>
      <c r="I16" s="77"/>
      <c r="J16" s="77"/>
      <c r="K16" s="77"/>
      <c r="L16" s="79"/>
      <c r="M16" s="77"/>
      <c r="N16" s="77"/>
      <c r="O16" s="1"/>
      <c r="P16" s="55"/>
      <c r="Q16" s="2"/>
      <c r="R16" s="187"/>
      <c r="S16" s="87"/>
      <c r="T16" s="2"/>
      <c r="U16" s="2"/>
      <c r="V16" s="2"/>
      <c r="W16" s="186"/>
      <c r="X16" s="2"/>
    </row>
    <row r="17" spans="2:24" ht="9" customHeight="1" x14ac:dyDescent="0.4">
      <c r="B17" s="129"/>
      <c r="C17" s="74"/>
      <c r="D17" s="75"/>
      <c r="E17" s="75"/>
      <c r="F17" s="75"/>
      <c r="G17" s="75"/>
      <c r="H17" s="75"/>
      <c r="I17" s="75"/>
      <c r="J17" s="75"/>
      <c r="K17" s="80"/>
      <c r="L17" s="114"/>
      <c r="M17" s="82"/>
      <c r="N17" s="75"/>
      <c r="O17" s="1"/>
      <c r="P17" s="111"/>
      <c r="Q17" s="2"/>
      <c r="R17" s="187"/>
      <c r="S17" s="87"/>
      <c r="T17" s="2"/>
      <c r="U17" s="2"/>
      <c r="V17" s="2"/>
      <c r="W17" s="187"/>
      <c r="X17" s="2"/>
    </row>
    <row r="18" spans="2:24" ht="9" customHeight="1" x14ac:dyDescent="0.4">
      <c r="B18" s="129"/>
      <c r="C18" s="76"/>
      <c r="D18" s="77"/>
      <c r="E18" s="77"/>
      <c r="F18" s="77"/>
      <c r="G18" s="77"/>
      <c r="H18" s="77"/>
      <c r="I18" s="77"/>
      <c r="J18" s="77"/>
      <c r="K18" s="81"/>
      <c r="L18" s="115"/>
      <c r="M18" s="83"/>
      <c r="N18" s="77"/>
      <c r="O18" s="1"/>
      <c r="P18" s="111"/>
      <c r="Q18" s="2"/>
      <c r="R18" s="187"/>
      <c r="S18" s="87"/>
      <c r="T18" s="2"/>
      <c r="U18" s="2"/>
      <c r="V18" s="2"/>
      <c r="W18" s="187"/>
      <c r="X18" s="2"/>
    </row>
    <row r="19" spans="2:24" ht="9" customHeight="1" x14ac:dyDescent="0.4">
      <c r="B19" s="129"/>
      <c r="C19" s="74"/>
      <c r="D19" s="75"/>
      <c r="E19" s="75"/>
      <c r="F19" s="75"/>
      <c r="G19" s="75"/>
      <c r="H19" s="75"/>
      <c r="I19" s="75"/>
      <c r="J19" s="75"/>
      <c r="K19" s="80"/>
      <c r="L19" s="116"/>
      <c r="M19" s="82"/>
      <c r="N19" s="75"/>
      <c r="O19" s="1"/>
      <c r="P19" s="111"/>
      <c r="Q19" s="2"/>
      <c r="R19" s="187"/>
      <c r="S19" s="87"/>
      <c r="T19" s="2"/>
      <c r="U19" s="2"/>
      <c r="V19" s="2"/>
      <c r="W19" s="187"/>
      <c r="X19" s="2"/>
    </row>
    <row r="20" spans="2:24" ht="9" customHeight="1" x14ac:dyDescent="0.4">
      <c r="B20" s="129"/>
      <c r="C20" s="76"/>
      <c r="D20" s="77"/>
      <c r="E20" s="77"/>
      <c r="F20" s="77"/>
      <c r="G20" s="77"/>
      <c r="H20" s="77"/>
      <c r="I20" s="77"/>
      <c r="J20" s="77"/>
      <c r="K20" s="81"/>
      <c r="L20" s="115"/>
      <c r="M20" s="83"/>
      <c r="N20" s="77"/>
      <c r="O20" s="1"/>
      <c r="P20" s="111"/>
      <c r="Q20" s="2"/>
      <c r="R20" s="187"/>
      <c r="S20" s="87"/>
      <c r="T20" s="2"/>
      <c r="U20" s="2"/>
      <c r="V20" s="2"/>
      <c r="W20" s="187"/>
      <c r="X20" s="2"/>
    </row>
    <row r="21" spans="2:24" ht="9" customHeight="1" x14ac:dyDescent="0.4">
      <c r="B21" s="129"/>
      <c r="C21" s="74"/>
      <c r="D21" s="75"/>
      <c r="E21" s="75"/>
      <c r="F21" s="75"/>
      <c r="G21" s="75"/>
      <c r="H21" s="75"/>
      <c r="I21" s="75"/>
      <c r="J21" s="75"/>
      <c r="K21" s="80"/>
      <c r="L21" s="116"/>
      <c r="M21" s="82"/>
      <c r="N21" s="75"/>
      <c r="O21" s="1"/>
      <c r="P21" s="111"/>
      <c r="Q21" s="2"/>
      <c r="R21" s="187"/>
      <c r="S21" s="87"/>
      <c r="T21" s="2"/>
      <c r="U21" s="2"/>
      <c r="V21" s="2"/>
      <c r="W21" s="187"/>
      <c r="X21" s="2"/>
    </row>
    <row r="22" spans="2:24" ht="9" customHeight="1" x14ac:dyDescent="0.4">
      <c r="B22" s="129"/>
      <c r="C22" s="76"/>
      <c r="D22" s="77"/>
      <c r="E22" s="77"/>
      <c r="F22" s="77"/>
      <c r="G22" s="77"/>
      <c r="H22" s="77"/>
      <c r="I22" s="77"/>
      <c r="J22" s="77"/>
      <c r="K22" s="81"/>
      <c r="L22" s="115"/>
      <c r="M22" s="83"/>
      <c r="N22" s="77"/>
      <c r="O22" s="1"/>
      <c r="P22" s="111"/>
      <c r="Q22" s="2"/>
      <c r="R22" s="187"/>
      <c r="S22" s="87"/>
      <c r="T22" s="2"/>
      <c r="U22" s="2"/>
      <c r="V22" s="2"/>
      <c r="W22" s="187"/>
      <c r="X22" s="2"/>
    </row>
    <row r="23" spans="2:24" ht="9" customHeight="1" x14ac:dyDescent="0.4">
      <c r="B23" s="129"/>
      <c r="C23" s="74"/>
      <c r="D23" s="75"/>
      <c r="E23" s="75"/>
      <c r="F23" s="75"/>
      <c r="G23" s="75"/>
      <c r="H23" s="75"/>
      <c r="I23" s="75"/>
      <c r="J23" s="75"/>
      <c r="K23" s="80"/>
      <c r="L23" s="116"/>
      <c r="M23" s="82"/>
      <c r="N23" s="75"/>
      <c r="O23" s="1"/>
      <c r="P23" s="111"/>
      <c r="Q23" s="2"/>
      <c r="R23" s="187"/>
      <c r="S23" s="87"/>
      <c r="T23" s="2"/>
      <c r="U23" s="2"/>
      <c r="V23" s="2"/>
      <c r="W23" s="187"/>
      <c r="X23" s="2"/>
    </row>
    <row r="24" spans="2:24" ht="9" customHeight="1" x14ac:dyDescent="0.4">
      <c r="B24" s="129"/>
      <c r="C24" s="76"/>
      <c r="D24" s="77"/>
      <c r="E24" s="77"/>
      <c r="F24" s="77"/>
      <c r="G24" s="77"/>
      <c r="H24" s="77"/>
      <c r="I24" s="77"/>
      <c r="J24" s="77"/>
      <c r="K24" s="81"/>
      <c r="L24" s="117"/>
      <c r="M24" s="83"/>
      <c r="N24" s="77"/>
      <c r="O24" s="1"/>
      <c r="P24" s="111"/>
      <c r="Q24" s="2"/>
      <c r="R24" s="187"/>
      <c r="S24" s="87"/>
      <c r="T24" s="2"/>
      <c r="U24" s="2"/>
      <c r="V24" s="2"/>
      <c r="W24" s="187"/>
      <c r="X24" s="2"/>
    </row>
    <row r="25" spans="2:24" ht="9" customHeight="1" x14ac:dyDescent="0.4">
      <c r="B25" s="129"/>
      <c r="C25" s="74"/>
      <c r="D25" s="75"/>
      <c r="E25" s="75"/>
      <c r="F25" s="75"/>
      <c r="G25" s="75"/>
      <c r="H25" s="75"/>
      <c r="I25" s="75"/>
      <c r="J25" s="75"/>
      <c r="K25" s="80"/>
      <c r="L25" s="114"/>
      <c r="M25" s="82"/>
      <c r="N25" s="75"/>
      <c r="O25" s="1"/>
      <c r="P25" s="55"/>
      <c r="Q25" s="2"/>
      <c r="R25" s="187"/>
      <c r="S25" s="87"/>
      <c r="T25" s="2"/>
      <c r="U25" s="2"/>
      <c r="V25" s="2"/>
      <c r="W25" s="186"/>
      <c r="X25" s="2"/>
    </row>
    <row r="26" spans="2:24" ht="9" customHeight="1" x14ac:dyDescent="0.4">
      <c r="B26" s="129"/>
      <c r="C26" s="76"/>
      <c r="D26" s="77"/>
      <c r="E26" s="77"/>
      <c r="F26" s="77"/>
      <c r="G26" s="77"/>
      <c r="H26" s="77"/>
      <c r="I26" s="77"/>
      <c r="J26" s="77"/>
      <c r="K26" s="81"/>
      <c r="L26" s="115"/>
      <c r="M26" s="83"/>
      <c r="N26" s="77"/>
      <c r="O26" s="1"/>
      <c r="P26" s="55"/>
      <c r="Q26" s="2"/>
      <c r="R26" s="187"/>
      <c r="S26" s="87"/>
      <c r="T26" s="2"/>
      <c r="U26" s="2"/>
      <c r="V26" s="2"/>
      <c r="W26" s="186"/>
      <c r="X26" s="2"/>
    </row>
    <row r="27" spans="2:24" ht="9" customHeight="1" x14ac:dyDescent="0.4">
      <c r="B27" s="129"/>
      <c r="C27" s="74"/>
      <c r="D27" s="75"/>
      <c r="E27" s="75"/>
      <c r="F27" s="75"/>
      <c r="G27" s="80"/>
      <c r="H27" s="114"/>
      <c r="I27" s="82"/>
      <c r="J27" s="75"/>
      <c r="K27" s="80"/>
      <c r="L27" s="116"/>
      <c r="M27" s="82"/>
      <c r="N27" s="75"/>
      <c r="O27" s="1"/>
      <c r="P27" s="111"/>
      <c r="Q27" s="2"/>
      <c r="R27" s="187"/>
      <c r="S27" s="87"/>
      <c r="T27" s="2"/>
      <c r="U27" s="2"/>
      <c r="V27" s="2"/>
      <c r="W27" s="187"/>
      <c r="X27" s="2"/>
    </row>
    <row r="28" spans="2:24" ht="9" customHeight="1" x14ac:dyDescent="0.4">
      <c r="B28" s="129"/>
      <c r="C28" s="76"/>
      <c r="D28" s="77"/>
      <c r="E28" s="77"/>
      <c r="F28" s="77"/>
      <c r="G28" s="81"/>
      <c r="H28" s="115"/>
      <c r="I28" s="83"/>
      <c r="J28" s="77"/>
      <c r="K28" s="81"/>
      <c r="L28" s="115"/>
      <c r="M28" s="83"/>
      <c r="N28" s="77"/>
      <c r="O28" s="1"/>
      <c r="P28" s="111"/>
      <c r="Q28" s="2"/>
      <c r="R28" s="187"/>
      <c r="S28" s="87"/>
      <c r="T28" s="2"/>
      <c r="U28" s="2"/>
      <c r="V28" s="2"/>
      <c r="W28" s="187"/>
      <c r="X28" s="2"/>
    </row>
    <row r="29" spans="2:24" ht="9" customHeight="1" x14ac:dyDescent="0.4">
      <c r="B29" s="129"/>
      <c r="C29" s="74"/>
      <c r="D29" s="75"/>
      <c r="E29" s="75"/>
      <c r="F29" s="75"/>
      <c r="G29" s="80"/>
      <c r="H29" s="116"/>
      <c r="I29" s="82"/>
      <c r="J29" s="75"/>
      <c r="K29" s="118"/>
      <c r="L29" s="116"/>
      <c r="M29" s="82"/>
      <c r="N29" s="75"/>
      <c r="O29" s="1"/>
      <c r="P29" s="111"/>
      <c r="Q29" s="2"/>
      <c r="R29" s="187"/>
      <c r="S29" s="87"/>
      <c r="T29" s="2"/>
      <c r="U29" s="2"/>
      <c r="V29" s="2"/>
      <c r="W29" s="187"/>
      <c r="X29" s="2"/>
    </row>
    <row r="30" spans="2:24" ht="9" customHeight="1" x14ac:dyDescent="0.4">
      <c r="B30" s="129"/>
      <c r="C30" s="76"/>
      <c r="D30" s="77"/>
      <c r="E30" s="77"/>
      <c r="F30" s="77"/>
      <c r="G30" s="81"/>
      <c r="H30" s="115"/>
      <c r="I30" s="83"/>
      <c r="J30" s="81"/>
      <c r="K30" s="119"/>
      <c r="L30" s="115"/>
      <c r="M30" s="83"/>
      <c r="N30" s="77"/>
      <c r="O30" s="1"/>
      <c r="P30" s="111"/>
      <c r="Q30" s="2"/>
      <c r="R30" s="187"/>
      <c r="S30" s="87"/>
      <c r="T30" s="2"/>
      <c r="U30" s="2"/>
      <c r="V30" s="2"/>
      <c r="W30" s="187"/>
      <c r="X30" s="2"/>
    </row>
    <row r="31" spans="2:24" ht="9" customHeight="1" x14ac:dyDescent="0.4">
      <c r="B31" s="129"/>
      <c r="C31" s="78"/>
      <c r="D31" s="75"/>
      <c r="E31" s="75"/>
      <c r="F31" s="75"/>
      <c r="G31" s="80"/>
      <c r="H31" s="116"/>
      <c r="I31" s="114"/>
      <c r="J31" s="107"/>
      <c r="K31" s="120"/>
      <c r="L31" s="116"/>
      <c r="M31" s="85"/>
      <c r="N31" s="75"/>
      <c r="O31" s="1"/>
      <c r="P31" s="111"/>
      <c r="Q31" s="2"/>
      <c r="R31" s="187"/>
      <c r="S31" s="87"/>
      <c r="T31" s="2"/>
      <c r="U31" s="2"/>
      <c r="V31" s="2"/>
      <c r="W31" s="187"/>
      <c r="X31" s="2"/>
    </row>
    <row r="32" spans="2:24" ht="9" customHeight="1" x14ac:dyDescent="0.4">
      <c r="B32" s="129"/>
      <c r="C32" s="121"/>
      <c r="D32" s="83"/>
      <c r="E32" s="77"/>
      <c r="F32" s="77"/>
      <c r="G32" s="81"/>
      <c r="H32" s="115"/>
      <c r="I32" s="115"/>
      <c r="J32" s="108"/>
      <c r="K32" s="122"/>
      <c r="L32" s="115"/>
      <c r="M32" s="85"/>
      <c r="N32" s="77"/>
      <c r="O32" s="1"/>
      <c r="P32" s="111"/>
      <c r="Q32" s="2"/>
      <c r="R32" s="187"/>
      <c r="S32" s="87"/>
      <c r="T32" s="2"/>
      <c r="U32" s="2"/>
      <c r="V32" s="2"/>
      <c r="W32" s="187"/>
      <c r="X32" s="2"/>
    </row>
    <row r="33" spans="1:24" ht="9" customHeight="1" x14ac:dyDescent="0.4">
      <c r="B33" s="129"/>
      <c r="C33" s="116"/>
      <c r="D33" s="107"/>
      <c r="E33" s="121"/>
      <c r="F33" s="82"/>
      <c r="G33" s="84"/>
      <c r="H33" s="116"/>
      <c r="I33" s="116"/>
      <c r="J33" s="107"/>
      <c r="K33" s="123"/>
      <c r="L33" s="116"/>
      <c r="M33" s="114"/>
      <c r="N33" s="82"/>
      <c r="O33" s="1"/>
      <c r="P33" s="111"/>
      <c r="Q33" s="2"/>
      <c r="R33" s="187"/>
      <c r="S33" s="87"/>
      <c r="T33" s="2"/>
      <c r="U33" s="2"/>
      <c r="V33" s="2"/>
      <c r="W33" s="187"/>
      <c r="X33" s="2"/>
    </row>
    <row r="34" spans="1:24" ht="9" customHeight="1" x14ac:dyDescent="0.4">
      <c r="B34" s="129"/>
      <c r="C34" s="115"/>
      <c r="D34" s="108"/>
      <c r="E34" s="121"/>
      <c r="F34" s="108"/>
      <c r="G34" s="121"/>
      <c r="H34" s="115"/>
      <c r="I34" s="115"/>
      <c r="J34" s="108"/>
      <c r="K34" s="122"/>
      <c r="L34" s="115"/>
      <c r="M34" s="115"/>
      <c r="N34" s="83"/>
      <c r="O34" s="1"/>
      <c r="P34" s="111"/>
      <c r="Q34" s="2"/>
      <c r="R34" s="187"/>
      <c r="S34" s="87"/>
      <c r="T34" s="2"/>
      <c r="U34" s="2"/>
      <c r="V34" s="2"/>
      <c r="W34" s="187"/>
      <c r="X34" s="2"/>
    </row>
    <row r="35" spans="1:24" ht="9" customHeight="1" x14ac:dyDescent="0.4">
      <c r="B35" s="129"/>
      <c r="C35" s="116"/>
      <c r="D35" s="107"/>
      <c r="E35" s="116"/>
      <c r="F35" s="124"/>
      <c r="G35" s="116"/>
      <c r="H35" s="125"/>
      <c r="I35" s="116"/>
      <c r="J35" s="107"/>
      <c r="K35" s="123"/>
      <c r="L35" s="116"/>
      <c r="M35" s="116"/>
      <c r="N35" s="82"/>
      <c r="O35" s="1"/>
      <c r="P35" s="111"/>
      <c r="Q35" s="2"/>
      <c r="R35" s="187"/>
      <c r="S35" s="87"/>
      <c r="T35" s="2"/>
      <c r="U35" s="2"/>
      <c r="V35" s="2"/>
      <c r="W35" s="187"/>
      <c r="X35" s="2"/>
    </row>
    <row r="36" spans="1:24" ht="9" customHeight="1" x14ac:dyDescent="0.4">
      <c r="B36" s="129"/>
      <c r="C36" s="115"/>
      <c r="D36" s="108"/>
      <c r="E36" s="115"/>
      <c r="F36" s="108"/>
      <c r="G36" s="115"/>
      <c r="H36" s="125"/>
      <c r="I36" s="115"/>
      <c r="J36" s="108"/>
      <c r="K36" s="122"/>
      <c r="L36" s="115"/>
      <c r="M36" s="115"/>
      <c r="N36" s="83"/>
      <c r="O36" s="1"/>
      <c r="P36" s="111"/>
      <c r="Q36" s="2"/>
      <c r="R36" s="187"/>
      <c r="S36" s="87"/>
      <c r="T36" s="2"/>
      <c r="U36" s="2"/>
      <c r="V36" s="2"/>
      <c r="W36" s="187"/>
      <c r="X36" s="2"/>
    </row>
    <row r="37" spans="1:24" ht="9" customHeight="1" x14ac:dyDescent="0.4">
      <c r="B37" s="129"/>
      <c r="C37" s="116"/>
      <c r="D37" s="107"/>
      <c r="E37" s="116"/>
      <c r="F37" s="107"/>
      <c r="G37" s="116"/>
      <c r="H37" s="114"/>
      <c r="I37" s="116"/>
      <c r="J37" s="107"/>
      <c r="K37" s="123"/>
      <c r="L37" s="116"/>
      <c r="M37" s="126"/>
      <c r="N37" s="82"/>
      <c r="O37" s="1"/>
      <c r="P37" s="111"/>
      <c r="Q37" s="2"/>
      <c r="R37" s="187"/>
      <c r="S37" s="87"/>
      <c r="T37" s="2"/>
      <c r="U37" s="2"/>
      <c r="V37" s="2"/>
      <c r="W37" s="187"/>
      <c r="X37" s="2"/>
    </row>
    <row r="38" spans="1:24" ht="9" customHeight="1" x14ac:dyDescent="0.4">
      <c r="B38" s="129"/>
      <c r="C38" s="115"/>
      <c r="D38" s="108"/>
      <c r="E38" s="115"/>
      <c r="F38" s="108"/>
      <c r="G38" s="117"/>
      <c r="H38" s="115"/>
      <c r="I38" s="115"/>
      <c r="J38" s="108"/>
      <c r="K38" s="122"/>
      <c r="L38" s="115"/>
      <c r="M38" s="121"/>
      <c r="N38" s="83"/>
      <c r="O38" s="1"/>
      <c r="P38" s="111"/>
      <c r="Q38" s="2"/>
      <c r="R38" s="187"/>
      <c r="S38" s="87"/>
      <c r="T38" s="2"/>
      <c r="U38" s="2"/>
      <c r="V38" s="2"/>
      <c r="W38" s="187"/>
      <c r="X38" s="2"/>
    </row>
    <row r="39" spans="1:24" ht="9" customHeight="1" x14ac:dyDescent="0.4">
      <c r="B39" s="129"/>
      <c r="C39" s="116"/>
      <c r="D39" s="107"/>
      <c r="E39" s="116"/>
      <c r="F39" s="107"/>
      <c r="G39" s="120"/>
      <c r="H39" s="116"/>
      <c r="I39" s="116"/>
      <c r="J39" s="107"/>
      <c r="K39" s="123"/>
      <c r="L39" s="116"/>
      <c r="M39" s="116"/>
      <c r="N39" s="82"/>
      <c r="O39" s="1"/>
      <c r="P39" s="111"/>
      <c r="Q39" s="2"/>
      <c r="R39" s="187"/>
      <c r="S39" s="87"/>
      <c r="T39" s="2"/>
      <c r="U39" s="2"/>
      <c r="V39" s="2"/>
      <c r="W39" s="187"/>
      <c r="X39" s="2"/>
    </row>
    <row r="40" spans="1:24" ht="9" customHeight="1" x14ac:dyDescent="0.4">
      <c r="B40" s="129"/>
      <c r="C40" s="115"/>
      <c r="D40" s="108"/>
      <c r="E40" s="115"/>
      <c r="F40" s="108"/>
      <c r="G40" s="122"/>
      <c r="H40" s="115"/>
      <c r="I40" s="115"/>
      <c r="J40" s="108"/>
      <c r="K40" s="122"/>
      <c r="L40" s="115"/>
      <c r="M40" s="115"/>
      <c r="N40" s="83"/>
      <c r="O40" s="1"/>
      <c r="P40" s="111"/>
      <c r="Q40" s="2"/>
      <c r="R40" s="187"/>
      <c r="S40" s="87"/>
      <c r="T40" s="2"/>
      <c r="U40" s="2"/>
      <c r="V40" s="2"/>
      <c r="W40" s="187"/>
      <c r="X40" s="2"/>
    </row>
    <row r="41" spans="1:24" ht="9" customHeight="1" x14ac:dyDescent="0.4">
      <c r="B41" s="129"/>
      <c r="C41" s="116"/>
      <c r="D41" s="2"/>
      <c r="E41" s="116"/>
      <c r="F41" s="2"/>
      <c r="G41" s="123"/>
      <c r="H41" s="116"/>
      <c r="I41" s="116"/>
      <c r="J41" s="107"/>
      <c r="K41" s="123"/>
      <c r="L41" s="116"/>
      <c r="M41" s="116"/>
      <c r="N41" s="82"/>
      <c r="O41" s="1"/>
      <c r="P41" s="55"/>
      <c r="Q41" s="2"/>
      <c r="R41" s="187"/>
      <c r="S41" s="87"/>
      <c r="T41" s="2"/>
      <c r="U41" s="2"/>
      <c r="V41" s="2"/>
      <c r="W41" s="186"/>
      <c r="X41" s="2"/>
    </row>
    <row r="42" spans="1:24" ht="9" customHeight="1" x14ac:dyDescent="0.4">
      <c r="B42" s="129"/>
      <c r="C42" s="115"/>
      <c r="D42" s="2"/>
      <c r="E42" s="115"/>
      <c r="F42" s="121"/>
      <c r="G42" s="122"/>
      <c r="H42" s="115"/>
      <c r="I42" s="115"/>
      <c r="J42" s="108"/>
      <c r="K42" s="122"/>
      <c r="L42" s="115"/>
      <c r="M42" s="115"/>
      <c r="N42" s="83"/>
      <c r="O42" s="1"/>
      <c r="P42" s="55"/>
      <c r="Q42" s="2"/>
      <c r="R42" s="187"/>
      <c r="S42" s="87"/>
      <c r="T42" s="2"/>
      <c r="U42" s="97"/>
      <c r="V42" s="2"/>
      <c r="W42" s="186"/>
      <c r="X42" s="2"/>
    </row>
    <row r="43" spans="1:24" ht="9" customHeight="1" x14ac:dyDescent="0.4">
      <c r="B43" s="129"/>
      <c r="C43" s="125"/>
      <c r="D43" s="114"/>
      <c r="E43" s="116"/>
      <c r="F43" s="116"/>
      <c r="G43" s="123"/>
      <c r="H43" s="116"/>
      <c r="I43" s="116"/>
      <c r="J43" s="107"/>
      <c r="K43" s="123"/>
      <c r="L43" s="116"/>
      <c r="M43" s="116"/>
      <c r="N43" s="82"/>
      <c r="O43" s="1"/>
      <c r="P43" s="111"/>
      <c r="Q43" s="2"/>
      <c r="R43" s="187"/>
      <c r="S43" s="87"/>
      <c r="T43" s="2"/>
      <c r="U43" s="97"/>
      <c r="V43" s="2"/>
      <c r="W43" s="187"/>
      <c r="X43" s="2"/>
    </row>
    <row r="44" spans="1:24" ht="9" customHeight="1" x14ac:dyDescent="0.4">
      <c r="B44" s="129"/>
      <c r="C44" s="125"/>
      <c r="D44" s="115"/>
      <c r="E44" s="115"/>
      <c r="F44" s="115"/>
      <c r="G44" s="122"/>
      <c r="H44" s="115"/>
      <c r="I44" s="115"/>
      <c r="J44" s="108"/>
      <c r="K44" s="122"/>
      <c r="L44" s="115"/>
      <c r="M44" s="115"/>
      <c r="N44" s="83"/>
      <c r="O44" s="1"/>
      <c r="P44" s="111"/>
      <c r="Q44" s="2"/>
      <c r="R44" s="187"/>
      <c r="S44" s="87"/>
      <c r="T44" s="2"/>
      <c r="U44" s="97"/>
      <c r="V44" s="2"/>
      <c r="W44" s="187"/>
      <c r="X44" s="2"/>
    </row>
    <row r="45" spans="1:24" ht="9" customHeight="1" x14ac:dyDescent="0.4">
      <c r="A45" s="3"/>
      <c r="B45" s="18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11"/>
      <c r="Q45" s="2"/>
      <c r="R45" s="187"/>
      <c r="S45" s="87"/>
      <c r="T45" s="2"/>
      <c r="U45" s="97"/>
      <c r="V45" s="2"/>
      <c r="W45" s="187"/>
      <c r="X45" s="2"/>
    </row>
    <row r="46" spans="1:24" ht="9" customHeight="1" x14ac:dyDescent="0.4">
      <c r="A46" s="3"/>
      <c r="B46" s="18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11"/>
      <c r="Q46" s="2"/>
      <c r="R46" s="187"/>
      <c r="S46" s="87"/>
      <c r="T46" s="2"/>
      <c r="U46" s="97"/>
      <c r="V46" s="2"/>
      <c r="W46" s="187"/>
      <c r="X46" s="2"/>
    </row>
    <row r="47" spans="1:24" ht="9" customHeight="1" x14ac:dyDescent="0.4">
      <c r="A47" s="3"/>
      <c r="B47" s="18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111"/>
      <c r="Q47" s="2"/>
      <c r="R47" s="187"/>
      <c r="S47" s="87"/>
      <c r="T47" s="2"/>
      <c r="U47" s="97"/>
      <c r="V47" s="2"/>
      <c r="W47" s="187"/>
      <c r="X47" s="2"/>
    </row>
    <row r="48" spans="1:24" ht="9" customHeight="1" x14ac:dyDescent="0.4">
      <c r="A48" s="3"/>
      <c r="B48" s="18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11"/>
      <c r="Q48" s="2"/>
      <c r="R48" s="187"/>
      <c r="S48" s="87"/>
      <c r="T48" s="2"/>
      <c r="U48" s="97"/>
      <c r="V48" s="2"/>
      <c r="W48" s="187"/>
      <c r="X48" s="2"/>
    </row>
    <row r="49" spans="1:24" ht="9" customHeight="1" x14ac:dyDescent="0.4">
      <c r="A49" s="3"/>
      <c r="B49" s="18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111"/>
      <c r="Q49" s="2"/>
      <c r="R49" s="187"/>
      <c r="S49" s="87"/>
      <c r="T49" s="2"/>
      <c r="U49" s="97"/>
      <c r="V49" s="2"/>
      <c r="W49" s="187"/>
      <c r="X49" s="2"/>
    </row>
    <row r="50" spans="1:24" ht="9" customHeight="1" x14ac:dyDescent="0.4">
      <c r="A50" s="3"/>
      <c r="B50" s="18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11"/>
      <c r="Q50" s="2"/>
      <c r="R50" s="187"/>
      <c r="S50" s="87"/>
      <c r="T50" s="2"/>
      <c r="U50" s="97"/>
      <c r="V50" s="2"/>
      <c r="W50" s="187"/>
      <c r="X50" s="2"/>
    </row>
    <row r="51" spans="1:24" ht="9" customHeight="1" x14ac:dyDescent="0.4">
      <c r="A51" s="3"/>
      <c r="B51" s="18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111"/>
      <c r="Q51" s="2"/>
      <c r="R51" s="187"/>
      <c r="S51" s="87"/>
      <c r="T51" s="2"/>
      <c r="U51" s="97"/>
      <c r="V51" s="2"/>
      <c r="W51" s="187"/>
      <c r="X51" s="2"/>
    </row>
    <row r="52" spans="1:24" ht="9" customHeight="1" x14ac:dyDescent="0.4">
      <c r="A52" s="3"/>
      <c r="B52" s="18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11"/>
      <c r="Q52" s="2"/>
      <c r="R52" s="187"/>
      <c r="S52" s="87"/>
      <c r="T52" s="2"/>
      <c r="U52" s="97"/>
      <c r="V52" s="2"/>
      <c r="W52" s="187"/>
      <c r="X52" s="2"/>
    </row>
    <row r="53" spans="1:24" ht="9" customHeight="1" x14ac:dyDescent="0.4">
      <c r="A53" s="3"/>
      <c r="B53" s="18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11"/>
      <c r="Q53" s="2"/>
      <c r="R53" s="187"/>
      <c r="S53" s="87"/>
      <c r="T53" s="2"/>
      <c r="U53" s="97"/>
      <c r="V53" s="2"/>
      <c r="W53" s="187"/>
      <c r="X53" s="2"/>
    </row>
    <row r="54" spans="1:24" ht="9" customHeight="1" x14ac:dyDescent="0.4">
      <c r="A54" s="3"/>
      <c r="B54" s="18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111"/>
      <c r="Q54" s="2"/>
      <c r="R54" s="187"/>
      <c r="S54" s="87"/>
      <c r="T54" s="2"/>
      <c r="U54" s="97"/>
      <c r="V54" s="2"/>
      <c r="W54" s="187"/>
      <c r="X54" s="2"/>
    </row>
    <row r="55" spans="1:24" ht="9" customHeight="1" x14ac:dyDescent="0.4">
      <c r="A55" s="3"/>
      <c r="B55" s="18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11"/>
      <c r="Q55" s="2"/>
      <c r="R55" s="187"/>
      <c r="S55" s="87"/>
      <c r="T55" s="2"/>
      <c r="U55" s="97"/>
      <c r="V55" s="2"/>
      <c r="W55" s="187"/>
      <c r="X55" s="2"/>
    </row>
    <row r="56" spans="1:24" ht="9" customHeight="1" x14ac:dyDescent="0.4">
      <c r="A56" s="3"/>
      <c r="B56" s="18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111"/>
      <c r="Q56" s="2"/>
      <c r="R56" s="187"/>
      <c r="S56" s="87"/>
      <c r="T56" s="2"/>
      <c r="U56" s="97"/>
      <c r="V56" s="2"/>
      <c r="W56" s="187"/>
      <c r="X56" s="2"/>
    </row>
    <row r="57" spans="1:24" ht="9" customHeight="1" x14ac:dyDescent="0.4">
      <c r="A57" s="3"/>
      <c r="B57" s="18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27"/>
      <c r="P57" s="185"/>
      <c r="Q57" s="2"/>
      <c r="R57" s="187"/>
      <c r="S57" s="87"/>
      <c r="T57" s="2"/>
      <c r="U57" s="97"/>
      <c r="V57" s="2"/>
      <c r="W57" s="186"/>
      <c r="X57" s="2"/>
    </row>
    <row r="58" spans="1:24" ht="9" customHeight="1" x14ac:dyDescent="0.4">
      <c r="A58" s="3"/>
      <c r="B58" s="18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28"/>
      <c r="P58" s="185"/>
      <c r="Q58" s="2"/>
      <c r="R58" s="187"/>
      <c r="S58" s="87"/>
      <c r="T58" s="2"/>
      <c r="U58" s="97"/>
      <c r="V58" s="2"/>
      <c r="W58" s="186"/>
      <c r="X58" s="2"/>
    </row>
    <row r="59" spans="1:24" ht="9" customHeight="1" x14ac:dyDescent="0.4">
      <c r="A59" s="3"/>
      <c r="B59" s="18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28"/>
      <c r="P59" s="185"/>
      <c r="Q59" s="2"/>
      <c r="R59" s="187"/>
      <c r="S59" s="87"/>
      <c r="T59" s="2"/>
      <c r="U59" s="2"/>
      <c r="V59" s="2"/>
      <c r="W59" s="187"/>
      <c r="X59" s="2"/>
    </row>
    <row r="60" spans="1:24" ht="9" customHeight="1" x14ac:dyDescent="0.4">
      <c r="A60" s="3"/>
      <c r="B60" s="18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28"/>
      <c r="P60" s="185"/>
      <c r="Q60" s="2"/>
      <c r="R60" s="187"/>
      <c r="S60" s="87"/>
      <c r="T60" s="2"/>
      <c r="U60" s="2"/>
      <c r="V60" s="2"/>
      <c r="W60" s="187"/>
      <c r="X60" s="2"/>
    </row>
    <row r="61" spans="1:24" ht="9" customHeight="1" x14ac:dyDescent="0.4">
      <c r="A61" s="3"/>
      <c r="B61" s="18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28"/>
      <c r="P61" s="185"/>
      <c r="Q61" s="2"/>
      <c r="R61" s="187"/>
      <c r="S61" s="87"/>
      <c r="T61" s="2"/>
      <c r="U61" s="2"/>
      <c r="V61" s="2"/>
      <c r="W61" s="187"/>
      <c r="X61" s="2"/>
    </row>
    <row r="62" spans="1:24" ht="9" customHeight="1" x14ac:dyDescent="0.4">
      <c r="A62" s="3"/>
      <c r="B62" s="18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28"/>
      <c r="P62" s="185"/>
      <c r="Q62" s="2"/>
      <c r="R62" s="187"/>
      <c r="S62" s="87"/>
      <c r="T62" s="2"/>
      <c r="U62" s="2"/>
      <c r="V62" s="2"/>
      <c r="W62" s="187"/>
      <c r="X62" s="2"/>
    </row>
    <row r="63" spans="1:24" ht="9" customHeight="1" x14ac:dyDescent="0.4">
      <c r="A63" s="3"/>
      <c r="B63" s="18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28"/>
      <c r="P63" s="185"/>
      <c r="Q63" s="2"/>
      <c r="R63" s="187"/>
      <c r="S63" s="87"/>
      <c r="T63" s="2"/>
      <c r="U63" s="2"/>
      <c r="V63" s="2"/>
      <c r="W63" s="187"/>
      <c r="X63" s="2"/>
    </row>
    <row r="64" spans="1:24" ht="9" customHeight="1" x14ac:dyDescent="0.4">
      <c r="A64" s="3"/>
      <c r="B64" s="18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28"/>
      <c r="P64" s="185"/>
      <c r="Q64" s="2"/>
      <c r="R64" s="187"/>
      <c r="S64" s="87"/>
      <c r="T64" s="2"/>
      <c r="U64" s="2"/>
      <c r="V64" s="2"/>
      <c r="W64" s="187"/>
      <c r="X64" s="2"/>
    </row>
    <row r="65" spans="1:24" ht="9" customHeight="1" x14ac:dyDescent="0.4">
      <c r="A65" s="3"/>
      <c r="B65" s="18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28"/>
      <c r="P65" s="185"/>
      <c r="Q65" s="2"/>
      <c r="R65" s="187"/>
      <c r="S65" s="87"/>
      <c r="T65" s="2"/>
      <c r="U65" s="2"/>
      <c r="V65" s="2"/>
      <c r="W65" s="187"/>
      <c r="X65" s="2"/>
    </row>
    <row r="66" spans="1:24" ht="9" customHeight="1" x14ac:dyDescent="0.4">
      <c r="A66" s="3"/>
      <c r="B66" s="18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11"/>
      <c r="Q66" s="2"/>
      <c r="R66" s="187"/>
      <c r="S66" s="87"/>
      <c r="T66" s="2"/>
      <c r="U66" s="2"/>
      <c r="V66" s="2"/>
      <c r="W66" s="187"/>
      <c r="X66" s="2"/>
    </row>
    <row r="67" spans="1:24" ht="9" customHeight="1" x14ac:dyDescent="0.4">
      <c r="A67" s="3"/>
      <c r="B67" s="18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111"/>
      <c r="Q67" s="2"/>
      <c r="R67" s="187"/>
      <c r="S67" s="87"/>
      <c r="T67" s="2"/>
      <c r="U67" s="2"/>
      <c r="V67" s="2"/>
      <c r="W67" s="187"/>
      <c r="X67" s="2"/>
    </row>
    <row r="68" spans="1:24" ht="9" customHeight="1" x14ac:dyDescent="0.4">
      <c r="A68" s="3"/>
      <c r="B68" s="18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111"/>
      <c r="Q68" s="2"/>
      <c r="R68" s="187"/>
      <c r="S68" s="87"/>
      <c r="T68" s="2"/>
      <c r="U68" s="2"/>
      <c r="V68" s="2"/>
      <c r="W68" s="187"/>
      <c r="X68" s="2"/>
    </row>
    <row r="69" spans="1:24" ht="9" customHeight="1" x14ac:dyDescent="0.4">
      <c r="A69" s="3"/>
      <c r="B69" s="18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11"/>
      <c r="Q69" s="2"/>
      <c r="R69" s="187"/>
      <c r="S69" s="87"/>
      <c r="T69" s="2"/>
      <c r="U69" s="2"/>
      <c r="V69" s="2"/>
      <c r="W69" s="187"/>
      <c r="X69" s="2"/>
    </row>
    <row r="70" spans="1:24" ht="9" customHeight="1" x14ac:dyDescent="0.4">
      <c r="A70" s="3"/>
      <c r="B70" s="18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11"/>
      <c r="Q70" s="2"/>
      <c r="R70" s="187"/>
      <c r="S70" s="87"/>
      <c r="T70" s="2"/>
      <c r="U70" s="2"/>
      <c r="V70" s="2"/>
      <c r="W70" s="187"/>
      <c r="X70" s="2"/>
    </row>
    <row r="71" spans="1:24" ht="9" customHeight="1" x14ac:dyDescent="0.4">
      <c r="A71" s="3"/>
      <c r="B71" s="18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11"/>
      <c r="Q71" s="2"/>
      <c r="R71" s="187"/>
      <c r="S71" s="87"/>
      <c r="T71" s="2"/>
      <c r="U71" s="2"/>
      <c r="V71" s="2"/>
      <c r="W71" s="187"/>
      <c r="X71" s="2"/>
    </row>
    <row r="72" spans="1:24" ht="9" customHeight="1" x14ac:dyDescent="0.4">
      <c r="A72" s="3"/>
      <c r="B72" s="18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11"/>
      <c r="Q72" s="2"/>
      <c r="R72" s="187"/>
      <c r="S72" s="87"/>
      <c r="T72" s="2"/>
      <c r="U72" s="2"/>
      <c r="V72" s="2"/>
      <c r="W72" s="187"/>
      <c r="X72" s="2"/>
    </row>
    <row r="73" spans="1:24" ht="9" customHeight="1" x14ac:dyDescent="0.4">
      <c r="A73" s="3"/>
      <c r="B73" s="18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5"/>
      <c r="Q73" s="2"/>
      <c r="R73" s="187"/>
      <c r="S73" s="87"/>
      <c r="T73" s="2"/>
      <c r="U73" s="2"/>
      <c r="V73" s="2"/>
      <c r="W73" s="186"/>
      <c r="X73" s="2"/>
    </row>
    <row r="74" spans="1:24" ht="9" customHeight="1" x14ac:dyDescent="0.4">
      <c r="A74" s="3"/>
      <c r="B74" s="18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5"/>
      <c r="Q74" s="2"/>
      <c r="R74" s="187"/>
      <c r="S74" s="87"/>
      <c r="T74" s="2"/>
      <c r="U74" s="2"/>
      <c r="V74" s="2"/>
      <c r="W74" s="186"/>
      <c r="X74" s="2"/>
    </row>
    <row r="75" spans="1:24" ht="9" customHeight="1" x14ac:dyDescent="0.4">
      <c r="A75" s="3"/>
      <c r="B75" s="18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11"/>
      <c r="Q75" s="2"/>
      <c r="R75" s="187"/>
      <c r="S75" s="87"/>
      <c r="T75" s="2"/>
      <c r="U75" s="2"/>
      <c r="V75" s="2"/>
      <c r="W75" s="187"/>
      <c r="X75" s="2"/>
    </row>
    <row r="76" spans="1:24" ht="9" customHeight="1" x14ac:dyDescent="0.4">
      <c r="A76" s="3"/>
      <c r="B76" s="18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11"/>
      <c r="Q76" s="2"/>
      <c r="R76" s="187"/>
      <c r="S76" s="87"/>
      <c r="T76" s="2"/>
      <c r="U76" s="2"/>
      <c r="V76" s="2"/>
      <c r="W76" s="187"/>
      <c r="X76" s="2"/>
    </row>
    <row r="77" spans="1:24" ht="9" customHeight="1" x14ac:dyDescent="0.4">
      <c r="A77" s="3"/>
      <c r="B77" s="18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11"/>
      <c r="Q77" s="2"/>
      <c r="R77" s="187"/>
      <c r="S77" s="87"/>
      <c r="T77" s="2"/>
      <c r="U77" s="2"/>
      <c r="V77" s="2"/>
      <c r="W77" s="187"/>
      <c r="X77" s="2"/>
    </row>
    <row r="78" spans="1:24" ht="9" customHeight="1" x14ac:dyDescent="0.4">
      <c r="A78" s="3"/>
      <c r="B78" s="18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11"/>
      <c r="Q78" s="2"/>
      <c r="R78" s="187"/>
      <c r="S78" s="87"/>
      <c r="T78" s="2"/>
      <c r="U78" s="2"/>
      <c r="V78" s="2"/>
      <c r="W78" s="187"/>
      <c r="X78" s="2"/>
    </row>
    <row r="79" spans="1:24" ht="9" customHeight="1" x14ac:dyDescent="0.4">
      <c r="A79" s="3"/>
      <c r="B79" s="18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11"/>
      <c r="Q79" s="2"/>
      <c r="R79" s="187"/>
      <c r="S79" s="87"/>
      <c r="T79" s="2"/>
      <c r="U79" s="2"/>
      <c r="V79" s="2"/>
      <c r="W79" s="187"/>
      <c r="X79" s="2"/>
    </row>
    <row r="80" spans="1:24" ht="9" customHeight="1" x14ac:dyDescent="0.4">
      <c r="A80" s="3"/>
      <c r="B80" s="18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11"/>
      <c r="Q80" s="2"/>
      <c r="R80" s="187"/>
      <c r="S80" s="87"/>
      <c r="T80" s="2"/>
      <c r="U80" s="2"/>
      <c r="V80" s="2"/>
      <c r="W80" s="187"/>
      <c r="X80" s="2"/>
    </row>
    <row r="81" spans="1:25" ht="9" customHeight="1" x14ac:dyDescent="0.4">
      <c r="A81" s="3"/>
      <c r="B81" s="18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11"/>
      <c r="Q81" s="2"/>
      <c r="R81" s="187"/>
      <c r="S81" s="87"/>
      <c r="T81" s="2"/>
      <c r="U81" s="2"/>
      <c r="V81" s="2"/>
      <c r="W81" s="187"/>
      <c r="X81" s="2"/>
    </row>
    <row r="82" spans="1:25" ht="9" customHeight="1" x14ac:dyDescent="0.4">
      <c r="A82" s="3"/>
      <c r="B82" s="18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11"/>
      <c r="Q82" s="2"/>
      <c r="R82" s="187"/>
      <c r="S82" s="87"/>
      <c r="T82" s="2"/>
      <c r="U82" s="2"/>
      <c r="V82" s="2"/>
      <c r="W82" s="187"/>
      <c r="X82" s="2"/>
    </row>
    <row r="83" spans="1:25" ht="9" customHeight="1" x14ac:dyDescent="0.4">
      <c r="A83" s="3"/>
      <c r="B83" s="18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11"/>
      <c r="Q83" s="2"/>
      <c r="R83" s="187"/>
      <c r="S83" s="87"/>
      <c r="T83" s="2"/>
      <c r="U83" s="2"/>
      <c r="V83" s="2"/>
      <c r="W83" s="187"/>
      <c r="X83" s="2"/>
    </row>
    <row r="84" spans="1:25" ht="9" customHeight="1" x14ac:dyDescent="0.4">
      <c r="A84" s="3"/>
      <c r="B84" s="18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11"/>
      <c r="Q84" s="2"/>
      <c r="R84" s="187"/>
      <c r="S84" s="87"/>
      <c r="T84" s="2"/>
      <c r="U84" s="2"/>
      <c r="V84" s="2"/>
      <c r="W84" s="187"/>
      <c r="X84" s="2"/>
    </row>
    <row r="85" spans="1:25" ht="9" customHeight="1" x14ac:dyDescent="0.4">
      <c r="A85" s="3"/>
      <c r="B85" s="18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11"/>
      <c r="Q85" s="2"/>
      <c r="R85" s="187"/>
      <c r="S85" s="87"/>
      <c r="T85" s="2"/>
      <c r="U85" s="2"/>
      <c r="V85" s="2"/>
      <c r="W85" s="187"/>
      <c r="X85" s="2"/>
    </row>
    <row r="86" spans="1:25" ht="9" customHeight="1" x14ac:dyDescent="0.4">
      <c r="A86" s="3"/>
      <c r="B86" s="18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11"/>
      <c r="Q86" s="2"/>
      <c r="R86" s="187"/>
      <c r="S86" s="87"/>
      <c r="T86" s="2"/>
      <c r="U86" s="2"/>
      <c r="V86" s="2"/>
      <c r="W86" s="187"/>
      <c r="X86" s="2"/>
    </row>
    <row r="87" spans="1:25" ht="9" customHeight="1" x14ac:dyDescent="0.4">
      <c r="A87" s="3"/>
      <c r="B87" s="18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11"/>
      <c r="Q87" s="2"/>
      <c r="R87" s="187"/>
      <c r="S87" s="87"/>
      <c r="T87" s="2"/>
      <c r="U87" s="2"/>
      <c r="V87" s="2"/>
      <c r="W87" s="187"/>
      <c r="X87" s="2"/>
    </row>
    <row r="88" spans="1:25" ht="9" customHeight="1" x14ac:dyDescent="0.4">
      <c r="A88" s="3"/>
      <c r="B88" s="18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11"/>
      <c r="Q88" s="2"/>
      <c r="R88" s="187"/>
      <c r="S88" s="87"/>
      <c r="T88" s="2"/>
      <c r="U88" s="2"/>
      <c r="V88" s="2"/>
      <c r="W88" s="187"/>
      <c r="X88" s="2"/>
    </row>
    <row r="89" spans="1:25" s="10" customFormat="1" ht="20.25" customHeight="1" x14ac:dyDescent="0.4">
      <c r="A89" s="101"/>
      <c r="B89" s="87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"/>
      <c r="P89" s="163">
        <v>49</v>
      </c>
      <c r="Q89" s="23"/>
      <c r="R89" s="87"/>
      <c r="S89" s="156"/>
      <c r="T89" s="156"/>
      <c r="U89" s="156"/>
      <c r="V89" s="156"/>
      <c r="W89" s="87"/>
      <c r="X89" s="23"/>
    </row>
    <row r="90" spans="1:25" ht="16.5" customHeight="1" x14ac:dyDescent="0.25">
      <c r="A90" s="3"/>
      <c r="B90" s="179"/>
      <c r="C90" s="2"/>
      <c r="D90" s="2"/>
      <c r="E90" s="2"/>
      <c r="F90" s="2"/>
      <c r="G90" s="2"/>
      <c r="H90" s="2"/>
      <c r="I90" s="2"/>
      <c r="J90" s="23"/>
      <c r="K90" s="23"/>
      <c r="L90" s="23"/>
      <c r="M90" s="23"/>
      <c r="N90" s="23"/>
      <c r="O90" s="2"/>
      <c r="Q90" s="2"/>
      <c r="R90" s="2"/>
      <c r="S90" s="23"/>
      <c r="T90" s="23"/>
      <c r="U90" s="23"/>
      <c r="V90" s="23"/>
      <c r="W90" s="2"/>
      <c r="X90" s="2"/>
    </row>
    <row r="91" spans="1:25" s="94" customFormat="1" ht="16.5" customHeight="1" x14ac:dyDescent="0.2">
      <c r="B91" s="98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</row>
    <row r="92" spans="1:25" s="91" customFormat="1" ht="16.5" customHeight="1" x14ac:dyDescent="0.25">
      <c r="B92" s="93"/>
      <c r="C92" s="130">
        <v>0</v>
      </c>
      <c r="D92" s="130">
        <v>0</v>
      </c>
      <c r="E92" s="130">
        <v>0</v>
      </c>
      <c r="F92" s="130">
        <v>0</v>
      </c>
      <c r="G92" s="130">
        <v>0</v>
      </c>
      <c r="H92" s="130">
        <v>0</v>
      </c>
      <c r="I92" s="130">
        <v>0</v>
      </c>
      <c r="J92" s="130">
        <v>0</v>
      </c>
      <c r="K92" s="130">
        <v>0</v>
      </c>
      <c r="L92" s="130">
        <v>0</v>
      </c>
      <c r="M92" s="130">
        <v>0</v>
      </c>
      <c r="N92" s="130">
        <v>0</v>
      </c>
      <c r="O92" s="2"/>
      <c r="P92" s="92"/>
      <c r="S92" s="201"/>
      <c r="T92" s="201"/>
      <c r="U92" s="201"/>
      <c r="V92" s="201"/>
      <c r="W92" s="201"/>
    </row>
    <row r="93" spans="1:25" s="2" customFormat="1" ht="16.5" customHeight="1" x14ac:dyDescent="0.25">
      <c r="B93" s="499" t="s">
        <v>46</v>
      </c>
      <c r="C93" s="499"/>
      <c r="D93" s="499"/>
      <c r="E93" s="499"/>
      <c r="F93" s="96"/>
      <c r="G93" s="96"/>
      <c r="H93" s="96"/>
      <c r="I93" s="96"/>
      <c r="J93" s="96"/>
      <c r="K93" s="96"/>
      <c r="L93" s="96"/>
      <c r="M93" s="96"/>
      <c r="N93" s="96"/>
      <c r="P93" s="89"/>
      <c r="S93" s="201"/>
      <c r="T93" s="201"/>
      <c r="U93" s="201"/>
      <c r="V93" s="201"/>
      <c r="W93" s="201"/>
    </row>
    <row r="94" spans="1:25" s="2" customFormat="1" ht="16.5" customHeight="1" x14ac:dyDescent="0.3">
      <c r="B94" s="499"/>
      <c r="C94" s="499"/>
      <c r="D94" s="499"/>
      <c r="E94" s="499"/>
      <c r="F94" s="93"/>
      <c r="G94" s="93"/>
      <c r="H94" s="93"/>
      <c r="I94" s="93"/>
      <c r="J94" s="93"/>
      <c r="K94" s="93"/>
      <c r="L94" s="93"/>
      <c r="M94" s="93"/>
      <c r="N94" s="93"/>
      <c r="P94" s="88"/>
      <c r="Q94" s="88"/>
      <c r="R94" s="88"/>
      <c r="S94" s="88"/>
      <c r="T94" s="88"/>
      <c r="U94" s="88"/>
      <c r="V94" s="88"/>
      <c r="W94" s="88"/>
      <c r="X94" s="88"/>
      <c r="Y94" s="88"/>
    </row>
    <row r="95" spans="1:25" s="2" customFormat="1" ht="16.5" customHeight="1" x14ac:dyDescent="0.3">
      <c r="B95" s="90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P95" s="88"/>
      <c r="Q95" s="484" t="str">
        <f>+'Indicateur Cde P'!Q95:T97</f>
        <v>CUMULE 2020</v>
      </c>
      <c r="R95" s="485"/>
      <c r="S95" s="485"/>
      <c r="T95" s="486"/>
      <c r="U95" s="471">
        <f ca="1">+'Indicateur graph cde_glob'!J69</f>
        <v>2676</v>
      </c>
      <c r="V95" s="472"/>
      <c r="W95" s="493">
        <f ca="1">U95/U98-1</f>
        <v>-8.3247687564234285E-2</v>
      </c>
      <c r="X95" s="494"/>
      <c r="Y95" s="88"/>
    </row>
    <row r="96" spans="1:25" s="2" customFormat="1" ht="16.5" customHeight="1" x14ac:dyDescent="0.25">
      <c r="A96" s="86" t="s">
        <v>47</v>
      </c>
      <c r="B96" s="374" t="s">
        <v>48</v>
      </c>
      <c r="C96" s="202">
        <v>43831</v>
      </c>
      <c r="D96" s="202">
        <v>43862</v>
      </c>
      <c r="E96" s="202">
        <v>43891</v>
      </c>
      <c r="F96" s="202">
        <v>43922</v>
      </c>
      <c r="G96" s="202">
        <v>43952</v>
      </c>
      <c r="H96" s="202">
        <v>43983</v>
      </c>
      <c r="I96" s="202">
        <v>44013</v>
      </c>
      <c r="J96" s="202">
        <v>44044</v>
      </c>
      <c r="K96" s="202">
        <v>44075</v>
      </c>
      <c r="L96" s="202">
        <v>44105</v>
      </c>
      <c r="M96" s="202">
        <v>44136</v>
      </c>
      <c r="N96" s="202">
        <v>44166</v>
      </c>
      <c r="P96"/>
      <c r="Q96" s="487"/>
      <c r="R96" s="488"/>
      <c r="S96" s="488"/>
      <c r="T96" s="489"/>
      <c r="U96" s="473"/>
      <c r="V96" s="474"/>
      <c r="W96" s="495"/>
      <c r="X96" s="496"/>
      <c r="Y96"/>
    </row>
    <row r="97" spans="1:25" s="88" customFormat="1" ht="11.25" customHeight="1" x14ac:dyDescent="0.3">
      <c r="B97" s="375"/>
      <c r="P97"/>
      <c r="Q97" s="490"/>
      <c r="R97" s="491"/>
      <c r="S97" s="491"/>
      <c r="T97" s="492"/>
      <c r="U97" s="475"/>
      <c r="V97" s="476"/>
      <c r="W97" s="497"/>
      <c r="X97" s="498"/>
      <c r="Y97"/>
    </row>
    <row r="98" spans="1:25" s="88" customFormat="1" ht="24.95" customHeight="1" x14ac:dyDescent="0.35">
      <c r="B98" s="376"/>
      <c r="C98" s="180"/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Q98" s="465" t="str">
        <f>+'Indicateur Cde P'!Q98:T99</f>
        <v>CUMULE 2019</v>
      </c>
      <c r="R98" s="466"/>
      <c r="S98" s="466"/>
      <c r="T98" s="467"/>
      <c r="U98" s="477">
        <f>+'Indicateur graph cde_glob'!K69</f>
        <v>2919</v>
      </c>
      <c r="V98" s="478"/>
      <c r="W98" s="172"/>
      <c r="X98" s="172"/>
    </row>
    <row r="99" spans="1:25" ht="24.95" customHeight="1" x14ac:dyDescent="0.35">
      <c r="A99" s="88"/>
      <c r="B99" s="376"/>
      <c r="C99" s="180"/>
      <c r="D99" s="180"/>
      <c r="E99" s="180"/>
      <c r="F99" s="180"/>
      <c r="G99" s="180"/>
      <c r="H99" s="180"/>
      <c r="I99" s="180"/>
      <c r="J99" s="180"/>
      <c r="K99" s="180"/>
      <c r="L99" s="180"/>
      <c r="M99" s="180"/>
      <c r="N99" s="180"/>
      <c r="P99" s="88"/>
      <c r="Q99" s="468"/>
      <c r="R99" s="469"/>
      <c r="S99" s="469"/>
      <c r="T99" s="470"/>
      <c r="U99" s="479"/>
      <c r="V99" s="480"/>
      <c r="W99" s="173"/>
      <c r="X99" s="173"/>
      <c r="Y99" s="73"/>
    </row>
    <row r="100" spans="1:25" ht="24.95" customHeight="1" x14ac:dyDescent="0.3">
      <c r="B100" s="377"/>
      <c r="P100" s="88"/>
      <c r="Q100" s="203"/>
      <c r="R100" s="203"/>
      <c r="S100" s="203"/>
      <c r="T100" s="203"/>
      <c r="U100" s="204"/>
      <c r="V100" s="204"/>
      <c r="W100" s="173"/>
      <c r="X100" s="173"/>
      <c r="Y100" s="73"/>
    </row>
    <row r="101" spans="1:25" s="88" customFormat="1" ht="24.95" customHeight="1" x14ac:dyDescent="0.3">
      <c r="B101" s="375"/>
      <c r="P101" s="207"/>
      <c r="Q101" s="205"/>
      <c r="R101" s="205"/>
      <c r="S101" s="205"/>
      <c r="T101" s="205"/>
      <c r="U101" s="206"/>
      <c r="V101" s="206"/>
      <c r="W101" s="173"/>
      <c r="X101" s="173"/>
      <c r="Y101" s="73"/>
    </row>
    <row r="102" spans="1:25" s="73" customFormat="1" ht="15" customHeight="1" x14ac:dyDescent="0.3">
      <c r="P102" s="89"/>
      <c r="Q102" s="113"/>
      <c r="R102" s="113"/>
      <c r="S102" s="113"/>
      <c r="T102" s="194"/>
      <c r="U102" s="178"/>
      <c r="V102" s="178"/>
      <c r="W102" s="2"/>
      <c r="X102" s="2"/>
      <c r="Y102" s="2"/>
    </row>
    <row r="103" spans="1:25" s="73" customFormat="1" ht="15" customHeight="1" x14ac:dyDescent="0.3">
      <c r="B103" s="10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</row>
    <row r="104" spans="1:25" ht="15.95" customHeight="1" x14ac:dyDescent="0.25">
      <c r="A104" s="196"/>
      <c r="B104" s="19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62"/>
      <c r="N104" s="62"/>
      <c r="O104" s="48"/>
      <c r="P104" s="48"/>
      <c r="Q104" s="48"/>
      <c r="R104" s="48"/>
      <c r="S104" s="48"/>
      <c r="T104" s="48"/>
      <c r="U104" s="48"/>
      <c r="V104" s="48"/>
      <c r="W104" s="48"/>
      <c r="X104" s="174"/>
    </row>
    <row r="105" spans="1:25" ht="15.95" customHeight="1" x14ac:dyDescent="0.25">
      <c r="A105" s="198"/>
      <c r="B105" s="418" t="s">
        <v>42</v>
      </c>
      <c r="C105" s="418"/>
      <c r="D105" s="418"/>
      <c r="E105" s="464">
        <f>+'Indicateur Cde P'!$E$105</f>
        <v>2020</v>
      </c>
      <c r="F105" s="464"/>
      <c r="G105" s="464"/>
      <c r="H105" s="464"/>
      <c r="I105" s="109"/>
      <c r="J105" s="109"/>
      <c r="K105" s="109"/>
      <c r="L105" s="109"/>
      <c r="M105" s="195"/>
      <c r="N105" s="195"/>
      <c r="O105" s="195"/>
      <c r="P105" s="195"/>
      <c r="Q105" s="195"/>
      <c r="R105" s="195"/>
      <c r="S105" s="195"/>
      <c r="T105" s="188"/>
      <c r="U105" s="188"/>
      <c r="V105" s="188"/>
      <c r="W105" s="188"/>
      <c r="X105" s="175"/>
    </row>
    <row r="106" spans="1:25" ht="15.95" customHeight="1" x14ac:dyDescent="0.25">
      <c r="A106" s="198"/>
      <c r="B106" s="418"/>
      <c r="C106" s="418"/>
      <c r="D106" s="418"/>
      <c r="E106" s="464"/>
      <c r="F106" s="464"/>
      <c r="G106" s="464"/>
      <c r="H106" s="464"/>
      <c r="I106" s="109"/>
      <c r="J106" s="109"/>
      <c r="K106" s="109"/>
      <c r="L106" s="109"/>
      <c r="M106" s="195"/>
      <c r="N106" s="195"/>
      <c r="O106" s="195"/>
      <c r="P106" s="195"/>
      <c r="Q106" s="195"/>
      <c r="R106" s="195"/>
      <c r="S106" s="195"/>
      <c r="T106" s="188"/>
      <c r="U106" s="188"/>
      <c r="V106" s="188"/>
      <c r="W106" s="188"/>
      <c r="X106" s="175"/>
    </row>
    <row r="107" spans="1:25" ht="15.95" customHeight="1" x14ac:dyDescent="0.25">
      <c r="A107" s="198"/>
      <c r="B107" s="418"/>
      <c r="C107" s="418"/>
      <c r="D107" s="418"/>
      <c r="E107" s="464"/>
      <c r="F107" s="464"/>
      <c r="G107" s="464"/>
      <c r="H107" s="464"/>
      <c r="I107" s="109"/>
      <c r="J107" s="109"/>
      <c r="K107" s="109"/>
      <c r="L107" s="109"/>
      <c r="M107" s="195"/>
      <c r="N107" s="195"/>
      <c r="O107" s="195"/>
      <c r="P107" s="195"/>
      <c r="Q107" s="195"/>
      <c r="R107" s="195"/>
      <c r="S107" s="195"/>
      <c r="T107" s="188"/>
      <c r="U107" s="188"/>
      <c r="V107" s="188"/>
      <c r="W107" s="188"/>
      <c r="X107" s="175"/>
    </row>
    <row r="108" spans="1:25" ht="15.95" customHeight="1" x14ac:dyDescent="0.25">
      <c r="A108" s="199"/>
      <c r="B108" s="20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61"/>
      <c r="N108" s="61"/>
      <c r="O108" s="50"/>
      <c r="P108" s="50"/>
      <c r="Q108" s="50"/>
      <c r="R108" s="50"/>
      <c r="S108" s="50"/>
      <c r="T108" s="50"/>
      <c r="U108" s="50"/>
      <c r="V108" s="50"/>
      <c r="W108" s="50"/>
      <c r="X108" s="176"/>
    </row>
    <row r="109" spans="1:25" ht="16.5" customHeight="1" x14ac:dyDescent="0.25">
      <c r="P109" s="4"/>
    </row>
    <row r="112" spans="1:25" x14ac:dyDescent="0.25">
      <c r="T112" s="18"/>
      <c r="W112" s="18"/>
      <c r="X112" s="18"/>
    </row>
    <row r="168" spans="13:14" x14ac:dyDescent="0.25">
      <c r="M168" s="10"/>
      <c r="N168" s="10"/>
    </row>
  </sheetData>
  <mergeCells count="12">
    <mergeCell ref="Q98:T99"/>
    <mergeCell ref="U98:V99"/>
    <mergeCell ref="B105:D107"/>
    <mergeCell ref="E105:H107"/>
    <mergeCell ref="A1:X5"/>
    <mergeCell ref="A7:X7"/>
    <mergeCell ref="C9:N9"/>
    <mergeCell ref="B93:E94"/>
    <mergeCell ref="Q95:T97"/>
    <mergeCell ref="U95:V97"/>
    <mergeCell ref="W95:X97"/>
    <mergeCell ref="P9:W9"/>
  </mergeCells>
  <printOptions horizontalCentered="1" verticalCentered="1"/>
  <pageMargins left="0.19685039370078741" right="0.19685039370078741" top="0" bottom="0" header="0" footer="0"/>
  <pageSetup paperSize="8" scale="6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  <pageSetUpPr fitToPage="1"/>
  </sheetPr>
  <dimension ref="A1:AH81"/>
  <sheetViews>
    <sheetView topLeftCell="A7" zoomScale="57" zoomScaleNormal="57" workbookViewId="0">
      <selection activeCell="F56" sqref="F56:F57"/>
    </sheetView>
  </sheetViews>
  <sheetFormatPr baseColWidth="10" defaultRowHeight="21" x14ac:dyDescent="0.35"/>
  <cols>
    <col min="1" max="1" width="11.140625" style="147" bestFit="1" customWidth="1"/>
    <col min="2" max="6" width="6.7109375" customWidth="1"/>
    <col min="7" max="7" width="3.28515625" customWidth="1"/>
    <col min="8" max="8" width="11.140625" style="147" bestFit="1" customWidth="1"/>
    <col min="9" max="13" width="6.7109375" customWidth="1"/>
    <col min="14" max="14" width="3.28515625" customWidth="1"/>
    <col min="15" max="15" width="11.140625" style="147" bestFit="1" customWidth="1"/>
    <col min="16" max="20" width="6.7109375" customWidth="1"/>
    <col min="21" max="21" width="3.28515625" customWidth="1"/>
    <col min="22" max="22" width="11.140625" style="147" bestFit="1" customWidth="1"/>
    <col min="23" max="27" width="6.7109375" customWidth="1"/>
    <col min="28" max="28" width="3.28515625" customWidth="1"/>
    <col min="29" max="29" width="11.140625" style="147" bestFit="1" customWidth="1"/>
    <col min="30" max="33" width="8.7109375" bestFit="1" customWidth="1"/>
    <col min="34" max="34" width="7.28515625" customWidth="1"/>
    <col min="246" max="246" width="4.140625" customWidth="1"/>
    <col min="247" max="247" width="4" customWidth="1"/>
    <col min="248" max="248" width="4.140625" customWidth="1"/>
    <col min="249" max="249" width="3.85546875" customWidth="1"/>
    <col min="250" max="258" width="4.140625" customWidth="1"/>
    <col min="259" max="259" width="3.7109375" customWidth="1"/>
    <col min="260" max="290" width="4.42578125" customWidth="1"/>
    <col min="502" max="502" width="4.140625" customWidth="1"/>
    <col min="503" max="503" width="4" customWidth="1"/>
    <col min="504" max="504" width="4.140625" customWidth="1"/>
    <col min="505" max="505" width="3.85546875" customWidth="1"/>
    <col min="506" max="514" width="4.140625" customWidth="1"/>
    <col min="515" max="515" width="3.7109375" customWidth="1"/>
    <col min="516" max="546" width="4.42578125" customWidth="1"/>
    <col min="758" max="758" width="4.140625" customWidth="1"/>
    <col min="759" max="759" width="4" customWidth="1"/>
    <col min="760" max="760" width="4.140625" customWidth="1"/>
    <col min="761" max="761" width="3.85546875" customWidth="1"/>
    <col min="762" max="770" width="4.140625" customWidth="1"/>
    <col min="771" max="771" width="3.7109375" customWidth="1"/>
    <col min="772" max="802" width="4.42578125" customWidth="1"/>
    <col min="1014" max="1014" width="4.140625" customWidth="1"/>
    <col min="1015" max="1015" width="4" customWidth="1"/>
    <col min="1016" max="1016" width="4.140625" customWidth="1"/>
    <col min="1017" max="1017" width="3.85546875" customWidth="1"/>
    <col min="1018" max="1026" width="4.140625" customWidth="1"/>
    <col min="1027" max="1027" width="3.7109375" customWidth="1"/>
    <col min="1028" max="1058" width="4.42578125" customWidth="1"/>
    <col min="1270" max="1270" width="4.140625" customWidth="1"/>
    <col min="1271" max="1271" width="4" customWidth="1"/>
    <col min="1272" max="1272" width="4.140625" customWidth="1"/>
    <col min="1273" max="1273" width="3.85546875" customWidth="1"/>
    <col min="1274" max="1282" width="4.140625" customWidth="1"/>
    <col min="1283" max="1283" width="3.7109375" customWidth="1"/>
    <col min="1284" max="1314" width="4.42578125" customWidth="1"/>
    <col min="1526" max="1526" width="4.140625" customWidth="1"/>
    <col min="1527" max="1527" width="4" customWidth="1"/>
    <col min="1528" max="1528" width="4.140625" customWidth="1"/>
    <col min="1529" max="1529" width="3.85546875" customWidth="1"/>
    <col min="1530" max="1538" width="4.140625" customWidth="1"/>
    <col min="1539" max="1539" width="3.7109375" customWidth="1"/>
    <col min="1540" max="1570" width="4.42578125" customWidth="1"/>
    <col min="1782" max="1782" width="4.140625" customWidth="1"/>
    <col min="1783" max="1783" width="4" customWidth="1"/>
    <col min="1784" max="1784" width="4.140625" customWidth="1"/>
    <col min="1785" max="1785" width="3.85546875" customWidth="1"/>
    <col min="1786" max="1794" width="4.140625" customWidth="1"/>
    <col min="1795" max="1795" width="3.7109375" customWidth="1"/>
    <col min="1796" max="1826" width="4.42578125" customWidth="1"/>
    <col min="2038" max="2038" width="4.140625" customWidth="1"/>
    <col min="2039" max="2039" width="4" customWidth="1"/>
    <col min="2040" max="2040" width="4.140625" customWidth="1"/>
    <col min="2041" max="2041" width="3.85546875" customWidth="1"/>
    <col min="2042" max="2050" width="4.140625" customWidth="1"/>
    <col min="2051" max="2051" width="3.7109375" customWidth="1"/>
    <col min="2052" max="2082" width="4.42578125" customWidth="1"/>
    <col min="2294" max="2294" width="4.140625" customWidth="1"/>
    <col min="2295" max="2295" width="4" customWidth="1"/>
    <col min="2296" max="2296" width="4.140625" customWidth="1"/>
    <col min="2297" max="2297" width="3.85546875" customWidth="1"/>
    <col min="2298" max="2306" width="4.140625" customWidth="1"/>
    <col min="2307" max="2307" width="3.7109375" customWidth="1"/>
    <col min="2308" max="2338" width="4.42578125" customWidth="1"/>
    <col min="2550" max="2550" width="4.140625" customWidth="1"/>
    <col min="2551" max="2551" width="4" customWidth="1"/>
    <col min="2552" max="2552" width="4.140625" customWidth="1"/>
    <col min="2553" max="2553" width="3.85546875" customWidth="1"/>
    <col min="2554" max="2562" width="4.140625" customWidth="1"/>
    <col min="2563" max="2563" width="3.7109375" customWidth="1"/>
    <col min="2564" max="2594" width="4.42578125" customWidth="1"/>
    <col min="2806" max="2806" width="4.140625" customWidth="1"/>
    <col min="2807" max="2807" width="4" customWidth="1"/>
    <col min="2808" max="2808" width="4.140625" customWidth="1"/>
    <col min="2809" max="2809" width="3.85546875" customWidth="1"/>
    <col min="2810" max="2818" width="4.140625" customWidth="1"/>
    <col min="2819" max="2819" width="3.7109375" customWidth="1"/>
    <col min="2820" max="2850" width="4.42578125" customWidth="1"/>
    <col min="3062" max="3062" width="4.140625" customWidth="1"/>
    <col min="3063" max="3063" width="4" customWidth="1"/>
    <col min="3064" max="3064" width="4.140625" customWidth="1"/>
    <col min="3065" max="3065" width="3.85546875" customWidth="1"/>
    <col min="3066" max="3074" width="4.140625" customWidth="1"/>
    <col min="3075" max="3075" width="3.7109375" customWidth="1"/>
    <col min="3076" max="3106" width="4.42578125" customWidth="1"/>
    <col min="3318" max="3318" width="4.140625" customWidth="1"/>
    <col min="3319" max="3319" width="4" customWidth="1"/>
    <col min="3320" max="3320" width="4.140625" customWidth="1"/>
    <col min="3321" max="3321" width="3.85546875" customWidth="1"/>
    <col min="3322" max="3330" width="4.140625" customWidth="1"/>
    <col min="3331" max="3331" width="3.7109375" customWidth="1"/>
    <col min="3332" max="3362" width="4.42578125" customWidth="1"/>
    <col min="3574" max="3574" width="4.140625" customWidth="1"/>
    <col min="3575" max="3575" width="4" customWidth="1"/>
    <col min="3576" max="3576" width="4.140625" customWidth="1"/>
    <col min="3577" max="3577" width="3.85546875" customWidth="1"/>
    <col min="3578" max="3586" width="4.140625" customWidth="1"/>
    <col min="3587" max="3587" width="3.7109375" customWidth="1"/>
    <col min="3588" max="3618" width="4.42578125" customWidth="1"/>
    <col min="3830" max="3830" width="4.140625" customWidth="1"/>
    <col min="3831" max="3831" width="4" customWidth="1"/>
    <col min="3832" max="3832" width="4.140625" customWidth="1"/>
    <col min="3833" max="3833" width="3.85546875" customWidth="1"/>
    <col min="3834" max="3842" width="4.140625" customWidth="1"/>
    <col min="3843" max="3843" width="3.7109375" customWidth="1"/>
    <col min="3844" max="3874" width="4.42578125" customWidth="1"/>
    <col min="4086" max="4086" width="4.140625" customWidth="1"/>
    <col min="4087" max="4087" width="4" customWidth="1"/>
    <col min="4088" max="4088" width="4.140625" customWidth="1"/>
    <col min="4089" max="4089" width="3.85546875" customWidth="1"/>
    <col min="4090" max="4098" width="4.140625" customWidth="1"/>
    <col min="4099" max="4099" width="3.7109375" customWidth="1"/>
    <col min="4100" max="4130" width="4.42578125" customWidth="1"/>
    <col min="4342" max="4342" width="4.140625" customWidth="1"/>
    <col min="4343" max="4343" width="4" customWidth="1"/>
    <col min="4344" max="4344" width="4.140625" customWidth="1"/>
    <col min="4345" max="4345" width="3.85546875" customWidth="1"/>
    <col min="4346" max="4354" width="4.140625" customWidth="1"/>
    <col min="4355" max="4355" width="3.7109375" customWidth="1"/>
    <col min="4356" max="4386" width="4.42578125" customWidth="1"/>
    <col min="4598" max="4598" width="4.140625" customWidth="1"/>
    <col min="4599" max="4599" width="4" customWidth="1"/>
    <col min="4600" max="4600" width="4.140625" customWidth="1"/>
    <col min="4601" max="4601" width="3.85546875" customWidth="1"/>
    <col min="4602" max="4610" width="4.140625" customWidth="1"/>
    <col min="4611" max="4611" width="3.7109375" customWidth="1"/>
    <col min="4612" max="4642" width="4.42578125" customWidth="1"/>
    <col min="4854" max="4854" width="4.140625" customWidth="1"/>
    <col min="4855" max="4855" width="4" customWidth="1"/>
    <col min="4856" max="4856" width="4.140625" customWidth="1"/>
    <col min="4857" max="4857" width="3.85546875" customWidth="1"/>
    <col min="4858" max="4866" width="4.140625" customWidth="1"/>
    <col min="4867" max="4867" width="3.7109375" customWidth="1"/>
    <col min="4868" max="4898" width="4.42578125" customWidth="1"/>
    <col min="5110" max="5110" width="4.140625" customWidth="1"/>
    <col min="5111" max="5111" width="4" customWidth="1"/>
    <col min="5112" max="5112" width="4.140625" customWidth="1"/>
    <col min="5113" max="5113" width="3.85546875" customWidth="1"/>
    <col min="5114" max="5122" width="4.140625" customWidth="1"/>
    <col min="5123" max="5123" width="3.7109375" customWidth="1"/>
    <col min="5124" max="5154" width="4.42578125" customWidth="1"/>
    <col min="5366" max="5366" width="4.140625" customWidth="1"/>
    <col min="5367" max="5367" width="4" customWidth="1"/>
    <col min="5368" max="5368" width="4.140625" customWidth="1"/>
    <col min="5369" max="5369" width="3.85546875" customWidth="1"/>
    <col min="5370" max="5378" width="4.140625" customWidth="1"/>
    <col min="5379" max="5379" width="3.7109375" customWidth="1"/>
    <col min="5380" max="5410" width="4.42578125" customWidth="1"/>
    <col min="5622" max="5622" width="4.140625" customWidth="1"/>
    <col min="5623" max="5623" width="4" customWidth="1"/>
    <col min="5624" max="5624" width="4.140625" customWidth="1"/>
    <col min="5625" max="5625" width="3.85546875" customWidth="1"/>
    <col min="5626" max="5634" width="4.140625" customWidth="1"/>
    <col min="5635" max="5635" width="3.7109375" customWidth="1"/>
    <col min="5636" max="5666" width="4.42578125" customWidth="1"/>
    <col min="5878" max="5878" width="4.140625" customWidth="1"/>
    <col min="5879" max="5879" width="4" customWidth="1"/>
    <col min="5880" max="5880" width="4.140625" customWidth="1"/>
    <col min="5881" max="5881" width="3.85546875" customWidth="1"/>
    <col min="5882" max="5890" width="4.140625" customWidth="1"/>
    <col min="5891" max="5891" width="3.7109375" customWidth="1"/>
    <col min="5892" max="5922" width="4.42578125" customWidth="1"/>
    <col min="6134" max="6134" width="4.140625" customWidth="1"/>
    <col min="6135" max="6135" width="4" customWidth="1"/>
    <col min="6136" max="6136" width="4.140625" customWidth="1"/>
    <col min="6137" max="6137" width="3.85546875" customWidth="1"/>
    <col min="6138" max="6146" width="4.140625" customWidth="1"/>
    <col min="6147" max="6147" width="3.7109375" customWidth="1"/>
    <col min="6148" max="6178" width="4.42578125" customWidth="1"/>
    <col min="6390" max="6390" width="4.140625" customWidth="1"/>
    <col min="6391" max="6391" width="4" customWidth="1"/>
    <col min="6392" max="6392" width="4.140625" customWidth="1"/>
    <col min="6393" max="6393" width="3.85546875" customWidth="1"/>
    <col min="6394" max="6402" width="4.140625" customWidth="1"/>
    <col min="6403" max="6403" width="3.7109375" customWidth="1"/>
    <col min="6404" max="6434" width="4.42578125" customWidth="1"/>
    <col min="6646" max="6646" width="4.140625" customWidth="1"/>
    <col min="6647" max="6647" width="4" customWidth="1"/>
    <col min="6648" max="6648" width="4.140625" customWidth="1"/>
    <col min="6649" max="6649" width="3.85546875" customWidth="1"/>
    <col min="6650" max="6658" width="4.140625" customWidth="1"/>
    <col min="6659" max="6659" width="3.7109375" customWidth="1"/>
    <col min="6660" max="6690" width="4.42578125" customWidth="1"/>
    <col min="6902" max="6902" width="4.140625" customWidth="1"/>
    <col min="6903" max="6903" width="4" customWidth="1"/>
    <col min="6904" max="6904" width="4.140625" customWidth="1"/>
    <col min="6905" max="6905" width="3.85546875" customWidth="1"/>
    <col min="6906" max="6914" width="4.140625" customWidth="1"/>
    <col min="6915" max="6915" width="3.7109375" customWidth="1"/>
    <col min="6916" max="6946" width="4.42578125" customWidth="1"/>
    <col min="7158" max="7158" width="4.140625" customWidth="1"/>
    <col min="7159" max="7159" width="4" customWidth="1"/>
    <col min="7160" max="7160" width="4.140625" customWidth="1"/>
    <col min="7161" max="7161" width="3.85546875" customWidth="1"/>
    <col min="7162" max="7170" width="4.140625" customWidth="1"/>
    <col min="7171" max="7171" width="3.7109375" customWidth="1"/>
    <col min="7172" max="7202" width="4.42578125" customWidth="1"/>
    <col min="7414" max="7414" width="4.140625" customWidth="1"/>
    <col min="7415" max="7415" width="4" customWidth="1"/>
    <col min="7416" max="7416" width="4.140625" customWidth="1"/>
    <col min="7417" max="7417" width="3.85546875" customWidth="1"/>
    <col min="7418" max="7426" width="4.140625" customWidth="1"/>
    <col min="7427" max="7427" width="3.7109375" customWidth="1"/>
    <col min="7428" max="7458" width="4.42578125" customWidth="1"/>
    <col min="7670" max="7670" width="4.140625" customWidth="1"/>
    <col min="7671" max="7671" width="4" customWidth="1"/>
    <col min="7672" max="7672" width="4.140625" customWidth="1"/>
    <col min="7673" max="7673" width="3.85546875" customWidth="1"/>
    <col min="7674" max="7682" width="4.140625" customWidth="1"/>
    <col min="7683" max="7683" width="3.7109375" customWidth="1"/>
    <col min="7684" max="7714" width="4.42578125" customWidth="1"/>
    <col min="7926" max="7926" width="4.140625" customWidth="1"/>
    <col min="7927" max="7927" width="4" customWidth="1"/>
    <col min="7928" max="7928" width="4.140625" customWidth="1"/>
    <col min="7929" max="7929" width="3.85546875" customWidth="1"/>
    <col min="7930" max="7938" width="4.140625" customWidth="1"/>
    <col min="7939" max="7939" width="3.7109375" customWidth="1"/>
    <col min="7940" max="7970" width="4.42578125" customWidth="1"/>
    <col min="8182" max="8182" width="4.140625" customWidth="1"/>
    <col min="8183" max="8183" width="4" customWidth="1"/>
    <col min="8184" max="8184" width="4.140625" customWidth="1"/>
    <col min="8185" max="8185" width="3.85546875" customWidth="1"/>
    <col min="8186" max="8194" width="4.140625" customWidth="1"/>
    <col min="8195" max="8195" width="3.7109375" customWidth="1"/>
    <col min="8196" max="8226" width="4.42578125" customWidth="1"/>
    <col min="8438" max="8438" width="4.140625" customWidth="1"/>
    <col min="8439" max="8439" width="4" customWidth="1"/>
    <col min="8440" max="8440" width="4.140625" customWidth="1"/>
    <col min="8441" max="8441" width="3.85546875" customWidth="1"/>
    <col min="8442" max="8450" width="4.140625" customWidth="1"/>
    <col min="8451" max="8451" width="3.7109375" customWidth="1"/>
    <col min="8452" max="8482" width="4.42578125" customWidth="1"/>
    <col min="8694" max="8694" width="4.140625" customWidth="1"/>
    <col min="8695" max="8695" width="4" customWidth="1"/>
    <col min="8696" max="8696" width="4.140625" customWidth="1"/>
    <col min="8697" max="8697" width="3.85546875" customWidth="1"/>
    <col min="8698" max="8706" width="4.140625" customWidth="1"/>
    <col min="8707" max="8707" width="3.7109375" customWidth="1"/>
    <col min="8708" max="8738" width="4.42578125" customWidth="1"/>
    <col min="8950" max="8950" width="4.140625" customWidth="1"/>
    <col min="8951" max="8951" width="4" customWidth="1"/>
    <col min="8952" max="8952" width="4.140625" customWidth="1"/>
    <col min="8953" max="8953" width="3.85546875" customWidth="1"/>
    <col min="8954" max="8962" width="4.140625" customWidth="1"/>
    <col min="8963" max="8963" width="3.7109375" customWidth="1"/>
    <col min="8964" max="8994" width="4.42578125" customWidth="1"/>
    <col min="9206" max="9206" width="4.140625" customWidth="1"/>
    <col min="9207" max="9207" width="4" customWidth="1"/>
    <col min="9208" max="9208" width="4.140625" customWidth="1"/>
    <col min="9209" max="9209" width="3.85546875" customWidth="1"/>
    <col min="9210" max="9218" width="4.140625" customWidth="1"/>
    <col min="9219" max="9219" width="3.7109375" customWidth="1"/>
    <col min="9220" max="9250" width="4.42578125" customWidth="1"/>
    <col min="9462" max="9462" width="4.140625" customWidth="1"/>
    <col min="9463" max="9463" width="4" customWidth="1"/>
    <col min="9464" max="9464" width="4.140625" customWidth="1"/>
    <col min="9465" max="9465" width="3.85546875" customWidth="1"/>
    <col min="9466" max="9474" width="4.140625" customWidth="1"/>
    <col min="9475" max="9475" width="3.7109375" customWidth="1"/>
    <col min="9476" max="9506" width="4.42578125" customWidth="1"/>
    <col min="9718" max="9718" width="4.140625" customWidth="1"/>
    <col min="9719" max="9719" width="4" customWidth="1"/>
    <col min="9720" max="9720" width="4.140625" customWidth="1"/>
    <col min="9721" max="9721" width="3.85546875" customWidth="1"/>
    <col min="9722" max="9730" width="4.140625" customWidth="1"/>
    <col min="9731" max="9731" width="3.7109375" customWidth="1"/>
    <col min="9732" max="9762" width="4.42578125" customWidth="1"/>
    <col min="9974" max="9974" width="4.140625" customWidth="1"/>
    <col min="9975" max="9975" width="4" customWidth="1"/>
    <col min="9976" max="9976" width="4.140625" customWidth="1"/>
    <col min="9977" max="9977" width="3.85546875" customWidth="1"/>
    <col min="9978" max="9986" width="4.140625" customWidth="1"/>
    <col min="9987" max="9987" width="3.7109375" customWidth="1"/>
    <col min="9988" max="10018" width="4.42578125" customWidth="1"/>
    <col min="10230" max="10230" width="4.140625" customWidth="1"/>
    <col min="10231" max="10231" width="4" customWidth="1"/>
    <col min="10232" max="10232" width="4.140625" customWidth="1"/>
    <col min="10233" max="10233" width="3.85546875" customWidth="1"/>
    <col min="10234" max="10242" width="4.140625" customWidth="1"/>
    <col min="10243" max="10243" width="3.7109375" customWidth="1"/>
    <col min="10244" max="10274" width="4.42578125" customWidth="1"/>
    <col min="10486" max="10486" width="4.140625" customWidth="1"/>
    <col min="10487" max="10487" width="4" customWidth="1"/>
    <col min="10488" max="10488" width="4.140625" customWidth="1"/>
    <col min="10489" max="10489" width="3.85546875" customWidth="1"/>
    <col min="10490" max="10498" width="4.140625" customWidth="1"/>
    <col min="10499" max="10499" width="3.7109375" customWidth="1"/>
    <col min="10500" max="10530" width="4.42578125" customWidth="1"/>
    <col min="10742" max="10742" width="4.140625" customWidth="1"/>
    <col min="10743" max="10743" width="4" customWidth="1"/>
    <col min="10744" max="10744" width="4.140625" customWidth="1"/>
    <col min="10745" max="10745" width="3.85546875" customWidth="1"/>
    <col min="10746" max="10754" width="4.140625" customWidth="1"/>
    <col min="10755" max="10755" width="3.7109375" customWidth="1"/>
    <col min="10756" max="10786" width="4.42578125" customWidth="1"/>
    <col min="10998" max="10998" width="4.140625" customWidth="1"/>
    <col min="10999" max="10999" width="4" customWidth="1"/>
    <col min="11000" max="11000" width="4.140625" customWidth="1"/>
    <col min="11001" max="11001" width="3.85546875" customWidth="1"/>
    <col min="11002" max="11010" width="4.140625" customWidth="1"/>
    <col min="11011" max="11011" width="3.7109375" customWidth="1"/>
    <col min="11012" max="11042" width="4.42578125" customWidth="1"/>
    <col min="11254" max="11254" width="4.140625" customWidth="1"/>
    <col min="11255" max="11255" width="4" customWidth="1"/>
    <col min="11256" max="11256" width="4.140625" customWidth="1"/>
    <col min="11257" max="11257" width="3.85546875" customWidth="1"/>
    <col min="11258" max="11266" width="4.140625" customWidth="1"/>
    <col min="11267" max="11267" width="3.7109375" customWidth="1"/>
    <col min="11268" max="11298" width="4.42578125" customWidth="1"/>
    <col min="11510" max="11510" width="4.140625" customWidth="1"/>
    <col min="11511" max="11511" width="4" customWidth="1"/>
    <col min="11512" max="11512" width="4.140625" customWidth="1"/>
    <col min="11513" max="11513" width="3.85546875" customWidth="1"/>
    <col min="11514" max="11522" width="4.140625" customWidth="1"/>
    <col min="11523" max="11523" width="3.7109375" customWidth="1"/>
    <col min="11524" max="11554" width="4.42578125" customWidth="1"/>
    <col min="11766" max="11766" width="4.140625" customWidth="1"/>
    <col min="11767" max="11767" width="4" customWidth="1"/>
    <col min="11768" max="11768" width="4.140625" customWidth="1"/>
    <col min="11769" max="11769" width="3.85546875" customWidth="1"/>
    <col min="11770" max="11778" width="4.140625" customWidth="1"/>
    <col min="11779" max="11779" width="3.7109375" customWidth="1"/>
    <col min="11780" max="11810" width="4.42578125" customWidth="1"/>
    <col min="12022" max="12022" width="4.140625" customWidth="1"/>
    <col min="12023" max="12023" width="4" customWidth="1"/>
    <col min="12024" max="12024" width="4.140625" customWidth="1"/>
    <col min="12025" max="12025" width="3.85546875" customWidth="1"/>
    <col min="12026" max="12034" width="4.140625" customWidth="1"/>
    <col min="12035" max="12035" width="3.7109375" customWidth="1"/>
    <col min="12036" max="12066" width="4.42578125" customWidth="1"/>
    <col min="12278" max="12278" width="4.140625" customWidth="1"/>
    <col min="12279" max="12279" width="4" customWidth="1"/>
    <col min="12280" max="12280" width="4.140625" customWidth="1"/>
    <col min="12281" max="12281" width="3.85546875" customWidth="1"/>
    <col min="12282" max="12290" width="4.140625" customWidth="1"/>
    <col min="12291" max="12291" width="3.7109375" customWidth="1"/>
    <col min="12292" max="12322" width="4.42578125" customWidth="1"/>
    <col min="12534" max="12534" width="4.140625" customWidth="1"/>
    <col min="12535" max="12535" width="4" customWidth="1"/>
    <col min="12536" max="12536" width="4.140625" customWidth="1"/>
    <col min="12537" max="12537" width="3.85546875" customWidth="1"/>
    <col min="12538" max="12546" width="4.140625" customWidth="1"/>
    <col min="12547" max="12547" width="3.7109375" customWidth="1"/>
    <col min="12548" max="12578" width="4.42578125" customWidth="1"/>
    <col min="12790" max="12790" width="4.140625" customWidth="1"/>
    <col min="12791" max="12791" width="4" customWidth="1"/>
    <col min="12792" max="12792" width="4.140625" customWidth="1"/>
    <col min="12793" max="12793" width="3.85546875" customWidth="1"/>
    <col min="12794" max="12802" width="4.140625" customWidth="1"/>
    <col min="12803" max="12803" width="3.7109375" customWidth="1"/>
    <col min="12804" max="12834" width="4.42578125" customWidth="1"/>
    <col min="13046" max="13046" width="4.140625" customWidth="1"/>
    <col min="13047" max="13047" width="4" customWidth="1"/>
    <col min="13048" max="13048" width="4.140625" customWidth="1"/>
    <col min="13049" max="13049" width="3.85546875" customWidth="1"/>
    <col min="13050" max="13058" width="4.140625" customWidth="1"/>
    <col min="13059" max="13059" width="3.7109375" customWidth="1"/>
    <col min="13060" max="13090" width="4.42578125" customWidth="1"/>
    <col min="13302" max="13302" width="4.140625" customWidth="1"/>
    <col min="13303" max="13303" width="4" customWidth="1"/>
    <col min="13304" max="13304" width="4.140625" customWidth="1"/>
    <col min="13305" max="13305" width="3.85546875" customWidth="1"/>
    <col min="13306" max="13314" width="4.140625" customWidth="1"/>
    <col min="13315" max="13315" width="3.7109375" customWidth="1"/>
    <col min="13316" max="13346" width="4.42578125" customWidth="1"/>
    <col min="13558" max="13558" width="4.140625" customWidth="1"/>
    <col min="13559" max="13559" width="4" customWidth="1"/>
    <col min="13560" max="13560" width="4.140625" customWidth="1"/>
    <col min="13561" max="13561" width="3.85546875" customWidth="1"/>
    <col min="13562" max="13570" width="4.140625" customWidth="1"/>
    <col min="13571" max="13571" width="3.7109375" customWidth="1"/>
    <col min="13572" max="13602" width="4.42578125" customWidth="1"/>
    <col min="13814" max="13814" width="4.140625" customWidth="1"/>
    <col min="13815" max="13815" width="4" customWidth="1"/>
    <col min="13816" max="13816" width="4.140625" customWidth="1"/>
    <col min="13817" max="13817" width="3.85546875" customWidth="1"/>
    <col min="13818" max="13826" width="4.140625" customWidth="1"/>
    <col min="13827" max="13827" width="3.7109375" customWidth="1"/>
    <col min="13828" max="13858" width="4.42578125" customWidth="1"/>
    <col min="14070" max="14070" width="4.140625" customWidth="1"/>
    <col min="14071" max="14071" width="4" customWidth="1"/>
    <col min="14072" max="14072" width="4.140625" customWidth="1"/>
    <col min="14073" max="14073" width="3.85546875" customWidth="1"/>
    <col min="14074" max="14082" width="4.140625" customWidth="1"/>
    <col min="14083" max="14083" width="3.7109375" customWidth="1"/>
    <col min="14084" max="14114" width="4.42578125" customWidth="1"/>
    <col min="14326" max="14326" width="4.140625" customWidth="1"/>
    <col min="14327" max="14327" width="4" customWidth="1"/>
    <col min="14328" max="14328" width="4.140625" customWidth="1"/>
    <col min="14329" max="14329" width="3.85546875" customWidth="1"/>
    <col min="14330" max="14338" width="4.140625" customWidth="1"/>
    <col min="14339" max="14339" width="3.7109375" customWidth="1"/>
    <col min="14340" max="14370" width="4.42578125" customWidth="1"/>
    <col min="14582" max="14582" width="4.140625" customWidth="1"/>
    <col min="14583" max="14583" width="4" customWidth="1"/>
    <col min="14584" max="14584" width="4.140625" customWidth="1"/>
    <col min="14585" max="14585" width="3.85546875" customWidth="1"/>
    <col min="14586" max="14594" width="4.140625" customWidth="1"/>
    <col min="14595" max="14595" width="3.7109375" customWidth="1"/>
    <col min="14596" max="14626" width="4.42578125" customWidth="1"/>
    <col min="14838" max="14838" width="4.140625" customWidth="1"/>
    <col min="14839" max="14839" width="4" customWidth="1"/>
    <col min="14840" max="14840" width="4.140625" customWidth="1"/>
    <col min="14841" max="14841" width="3.85546875" customWidth="1"/>
    <col min="14842" max="14850" width="4.140625" customWidth="1"/>
    <col min="14851" max="14851" width="3.7109375" customWidth="1"/>
    <col min="14852" max="14882" width="4.42578125" customWidth="1"/>
    <col min="15094" max="15094" width="4.140625" customWidth="1"/>
    <col min="15095" max="15095" width="4" customWidth="1"/>
    <col min="15096" max="15096" width="4.140625" customWidth="1"/>
    <col min="15097" max="15097" width="3.85546875" customWidth="1"/>
    <col min="15098" max="15106" width="4.140625" customWidth="1"/>
    <col min="15107" max="15107" width="3.7109375" customWidth="1"/>
    <col min="15108" max="15138" width="4.42578125" customWidth="1"/>
    <col min="15350" max="15350" width="4.140625" customWidth="1"/>
    <col min="15351" max="15351" width="4" customWidth="1"/>
    <col min="15352" max="15352" width="4.140625" customWidth="1"/>
    <col min="15353" max="15353" width="3.85546875" customWidth="1"/>
    <col min="15354" max="15362" width="4.140625" customWidth="1"/>
    <col min="15363" max="15363" width="3.7109375" customWidth="1"/>
    <col min="15364" max="15394" width="4.42578125" customWidth="1"/>
    <col min="15606" max="15606" width="4.140625" customWidth="1"/>
    <col min="15607" max="15607" width="4" customWidth="1"/>
    <col min="15608" max="15608" width="4.140625" customWidth="1"/>
    <col min="15609" max="15609" width="3.85546875" customWidth="1"/>
    <col min="15610" max="15618" width="4.140625" customWidth="1"/>
    <col min="15619" max="15619" width="3.7109375" customWidth="1"/>
    <col min="15620" max="15650" width="4.42578125" customWidth="1"/>
    <col min="15862" max="15862" width="4.140625" customWidth="1"/>
    <col min="15863" max="15863" width="4" customWidth="1"/>
    <col min="15864" max="15864" width="4.140625" customWidth="1"/>
    <col min="15865" max="15865" width="3.85546875" customWidth="1"/>
    <col min="15866" max="15874" width="4.140625" customWidth="1"/>
    <col min="15875" max="15875" width="3.7109375" customWidth="1"/>
    <col min="15876" max="15906" width="4.42578125" customWidth="1"/>
    <col min="16118" max="16118" width="4.140625" customWidth="1"/>
    <col min="16119" max="16119" width="4" customWidth="1"/>
    <col min="16120" max="16120" width="4.140625" customWidth="1"/>
    <col min="16121" max="16121" width="3.85546875" customWidth="1"/>
    <col min="16122" max="16130" width="4.140625" customWidth="1"/>
    <col min="16131" max="16131" width="3.7109375" customWidth="1"/>
    <col min="16132" max="16162" width="4.42578125" customWidth="1"/>
  </cols>
  <sheetData>
    <row r="1" spans="1:34" ht="15.95" customHeight="1" x14ac:dyDescent="0.25">
      <c r="A1" s="415" t="s">
        <v>27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182"/>
      <c r="AF1" s="182"/>
      <c r="AG1" s="182"/>
      <c r="AH1" s="142"/>
    </row>
    <row r="2" spans="1:34" ht="15.95" customHeight="1" x14ac:dyDescent="0.25">
      <c r="A2" s="417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181"/>
      <c r="AF2" s="181"/>
      <c r="AG2" s="181"/>
      <c r="AH2" s="143"/>
    </row>
    <row r="3" spans="1:34" ht="15.95" customHeight="1" x14ac:dyDescent="0.25">
      <c r="A3" s="417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8"/>
      <c r="AD3" s="418"/>
      <c r="AE3" s="181"/>
      <c r="AF3" s="181"/>
      <c r="AG3" s="181"/>
      <c r="AH3" s="143"/>
    </row>
    <row r="4" spans="1:34" ht="15.95" customHeight="1" x14ac:dyDescent="0.2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8"/>
      <c r="AD4" s="418"/>
      <c r="AE4" s="181"/>
      <c r="AF4" s="181"/>
      <c r="AG4" s="181"/>
      <c r="AH4" s="143"/>
    </row>
    <row r="5" spans="1:34" ht="15.95" customHeight="1" x14ac:dyDescent="0.25">
      <c r="A5" s="419"/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183"/>
      <c r="AF5" s="183"/>
      <c r="AG5" s="183"/>
      <c r="AH5" s="144"/>
    </row>
    <row r="6" spans="1:34" s="1" customFormat="1" ht="15" customHeight="1" x14ac:dyDescent="0.25">
      <c r="A6" s="145"/>
      <c r="B6" s="8"/>
      <c r="C6" s="8"/>
      <c r="D6" s="8"/>
      <c r="E6" s="8"/>
      <c r="F6" s="8"/>
      <c r="G6" s="8"/>
      <c r="H6" s="145"/>
      <c r="I6" s="8"/>
      <c r="J6" s="8"/>
      <c r="K6" s="8"/>
      <c r="L6" s="8"/>
      <c r="M6" s="8"/>
      <c r="N6" s="8"/>
      <c r="O6" s="145"/>
      <c r="P6" s="8"/>
      <c r="Q6" s="8"/>
      <c r="R6" s="8"/>
      <c r="S6" s="8"/>
      <c r="T6" s="8"/>
      <c r="U6" s="8"/>
      <c r="V6" s="145"/>
      <c r="W6" s="8"/>
      <c r="X6" s="8"/>
      <c r="Y6" s="8"/>
      <c r="Z6" s="8"/>
      <c r="AA6" s="8"/>
      <c r="AB6" s="8"/>
      <c r="AC6" s="145"/>
      <c r="AD6" s="8"/>
      <c r="AE6" s="8"/>
      <c r="AF6" s="8"/>
      <c r="AG6" s="8"/>
      <c r="AH6" s="8"/>
    </row>
    <row r="7" spans="1:34" s="1" customFormat="1" ht="38.450000000000003" customHeight="1" x14ac:dyDescent="0.25">
      <c r="A7" s="514" t="s">
        <v>216</v>
      </c>
      <c r="B7" s="514"/>
      <c r="C7" s="514"/>
      <c r="D7" s="514"/>
      <c r="E7" s="514"/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  <c r="AF7" s="514"/>
      <c r="AG7" s="514"/>
      <c r="AH7" s="514"/>
    </row>
    <row r="8" spans="1:34" s="1" customFormat="1" ht="15" customHeight="1" x14ac:dyDescent="0.25">
      <c r="A8" s="145"/>
      <c r="B8" s="8"/>
      <c r="C8" s="5"/>
      <c r="D8" s="5"/>
      <c r="E8" s="5"/>
      <c r="F8" s="5"/>
      <c r="G8" s="5"/>
      <c r="H8" s="56"/>
      <c r="I8" s="5"/>
      <c r="J8" s="5"/>
      <c r="K8" s="5"/>
      <c r="L8" s="5"/>
      <c r="M8" s="5"/>
      <c r="N8" s="5"/>
      <c r="O8" s="56"/>
      <c r="P8" s="5"/>
      <c r="Q8" s="5"/>
      <c r="R8" s="5"/>
      <c r="S8" s="5"/>
      <c r="T8" s="5"/>
      <c r="U8" s="5"/>
      <c r="V8" s="56"/>
      <c r="W8" s="5"/>
      <c r="X8" s="5"/>
      <c r="Y8" s="5"/>
      <c r="Z8" s="5"/>
      <c r="AA8" s="5"/>
      <c r="AB8" s="5"/>
      <c r="AC8" s="56"/>
      <c r="AD8" s="5"/>
      <c r="AE8" s="5"/>
      <c r="AF8" s="5"/>
      <c r="AG8" s="5"/>
      <c r="AH8" s="5"/>
    </row>
    <row r="9" spans="1:34" ht="21.75" customHeight="1" x14ac:dyDescent="0.35">
      <c r="A9" s="424" t="s">
        <v>52</v>
      </c>
      <c r="B9" s="424"/>
      <c r="C9" s="424"/>
      <c r="D9" s="424"/>
      <c r="E9" s="424"/>
      <c r="F9" s="424"/>
      <c r="G9" s="184"/>
      <c r="H9" s="424" t="s">
        <v>35</v>
      </c>
      <c r="I9" s="424"/>
      <c r="J9" s="424"/>
      <c r="K9" s="424"/>
      <c r="L9" s="424"/>
      <c r="M9" s="424"/>
      <c r="N9" s="56"/>
      <c r="O9" s="424" t="s">
        <v>36</v>
      </c>
      <c r="P9" s="424"/>
      <c r="Q9" s="424"/>
      <c r="R9" s="424"/>
      <c r="S9" s="424"/>
      <c r="T9" s="424"/>
      <c r="U9" s="184"/>
      <c r="V9" s="424" t="s">
        <v>51</v>
      </c>
      <c r="W9" s="424"/>
      <c r="X9" s="424"/>
      <c r="Y9" s="424"/>
      <c r="Z9" s="424"/>
      <c r="AA9" s="424"/>
      <c r="AB9" s="56"/>
      <c r="AC9" s="19"/>
      <c r="AD9" s="424" t="s">
        <v>84</v>
      </c>
      <c r="AE9" s="424"/>
      <c r="AF9" s="424"/>
      <c r="AG9" s="424"/>
      <c r="AH9" s="424"/>
    </row>
    <row r="10" spans="1:34" ht="9" customHeight="1" x14ac:dyDescent="0.4">
      <c r="A10" s="501"/>
      <c r="B10" s="87"/>
      <c r="C10" s="2"/>
      <c r="D10" s="2"/>
      <c r="E10" s="2"/>
      <c r="F10" s="2"/>
      <c r="G10" s="2"/>
      <c r="H10" s="501"/>
      <c r="I10" s="87"/>
      <c r="J10" s="2"/>
      <c r="K10" s="2"/>
      <c r="L10" s="2"/>
      <c r="M10" s="2"/>
      <c r="N10" s="56"/>
      <c r="O10" s="500"/>
      <c r="P10" s="87"/>
      <c r="Q10" s="2"/>
      <c r="R10" s="2"/>
      <c r="S10" s="2"/>
      <c r="T10" s="2"/>
      <c r="U10" s="184"/>
      <c r="V10" s="500"/>
      <c r="W10" s="87"/>
      <c r="X10" s="2"/>
      <c r="Y10" s="2"/>
      <c r="Z10" s="2"/>
      <c r="AA10" s="2"/>
      <c r="AB10" s="56"/>
      <c r="AC10" s="500"/>
      <c r="AD10" s="87"/>
      <c r="AE10" s="2"/>
      <c r="AF10" s="2"/>
      <c r="AG10" s="2"/>
      <c r="AH10" s="2"/>
    </row>
    <row r="11" spans="1:34" ht="9" customHeight="1" x14ac:dyDescent="0.4">
      <c r="A11" s="501"/>
      <c r="B11" s="87"/>
      <c r="C11" s="2"/>
      <c r="D11" s="2"/>
      <c r="E11" s="2"/>
      <c r="F11" s="2"/>
      <c r="G11" s="2"/>
      <c r="H11" s="501"/>
      <c r="I11" s="87"/>
      <c r="J11" s="2"/>
      <c r="K11" s="2"/>
      <c r="L11" s="2"/>
      <c r="M11" s="2"/>
      <c r="N11" s="187"/>
      <c r="O11" s="500"/>
      <c r="P11" s="87"/>
      <c r="Q11" s="2"/>
      <c r="R11" s="2"/>
      <c r="S11" s="2"/>
      <c r="T11" s="2"/>
      <c r="U11" s="187"/>
      <c r="V11" s="500"/>
      <c r="W11" s="87"/>
      <c r="X11" s="2"/>
      <c r="Y11" s="2"/>
      <c r="Z11" s="2"/>
      <c r="AA11" s="2"/>
      <c r="AB11" s="187"/>
      <c r="AC11" s="500"/>
      <c r="AD11" s="87"/>
      <c r="AE11" s="2"/>
      <c r="AF11" s="2"/>
      <c r="AG11" s="2"/>
      <c r="AH11" s="2"/>
    </row>
    <row r="12" spans="1:34" ht="9" customHeight="1" x14ac:dyDescent="0.4">
      <c r="A12" s="501"/>
      <c r="B12" s="87"/>
      <c r="C12" s="2"/>
      <c r="D12" s="2"/>
      <c r="E12" s="2"/>
      <c r="F12" s="2"/>
      <c r="G12" s="2"/>
      <c r="H12" s="501"/>
      <c r="I12" s="87"/>
      <c r="J12" s="2"/>
      <c r="K12" s="2"/>
      <c r="L12" s="2"/>
      <c r="M12" s="2"/>
      <c r="N12" s="502"/>
      <c r="O12" s="500"/>
      <c r="P12" s="87"/>
      <c r="Q12" s="2"/>
      <c r="R12" s="2"/>
      <c r="S12" s="2"/>
      <c r="T12" s="2"/>
      <c r="U12" s="502"/>
      <c r="V12" s="500"/>
      <c r="W12" s="87"/>
      <c r="X12" s="2"/>
      <c r="Y12" s="2"/>
      <c r="Z12" s="2"/>
      <c r="AA12" s="2"/>
      <c r="AB12" s="502"/>
      <c r="AC12" s="500"/>
      <c r="AD12" s="87"/>
      <c r="AE12" s="2"/>
      <c r="AF12" s="2"/>
      <c r="AG12" s="2"/>
      <c r="AH12" s="2"/>
    </row>
    <row r="13" spans="1:34" ht="9" customHeight="1" x14ac:dyDescent="0.4">
      <c r="A13" s="501"/>
      <c r="B13" s="87"/>
      <c r="C13" s="2"/>
      <c r="D13" s="2"/>
      <c r="E13" s="97"/>
      <c r="F13" s="2"/>
      <c r="G13" s="2"/>
      <c r="H13" s="501"/>
      <c r="I13" s="87"/>
      <c r="J13" s="2"/>
      <c r="K13" s="2"/>
      <c r="L13" s="97"/>
      <c r="M13" s="2"/>
      <c r="N13" s="502"/>
      <c r="O13" s="500"/>
      <c r="P13" s="87"/>
      <c r="Q13" s="2"/>
      <c r="R13" s="2"/>
      <c r="S13" s="97"/>
      <c r="T13" s="2"/>
      <c r="U13" s="502"/>
      <c r="V13" s="500"/>
      <c r="W13" s="87"/>
      <c r="X13" s="2"/>
      <c r="Y13" s="2"/>
      <c r="Z13" s="97"/>
      <c r="AA13" s="2"/>
      <c r="AB13" s="502"/>
      <c r="AC13" s="500"/>
      <c r="AD13" s="87"/>
      <c r="AE13" s="2"/>
      <c r="AF13" s="2"/>
      <c r="AG13" s="97"/>
      <c r="AH13" s="2"/>
    </row>
    <row r="14" spans="1:34" ht="9" customHeight="1" x14ac:dyDescent="0.4">
      <c r="A14" s="501"/>
      <c r="B14" s="87"/>
      <c r="C14" s="2"/>
      <c r="D14" s="2"/>
      <c r="E14" s="97"/>
      <c r="F14" s="2"/>
      <c r="G14" s="2"/>
      <c r="H14" s="501"/>
      <c r="I14" s="87"/>
      <c r="J14" s="2"/>
      <c r="K14" s="2"/>
      <c r="L14" s="97"/>
      <c r="M14" s="2"/>
      <c r="N14" s="502"/>
      <c r="O14" s="500"/>
      <c r="P14" s="87"/>
      <c r="Q14" s="2"/>
      <c r="R14" s="2"/>
      <c r="S14" s="97"/>
      <c r="T14" s="2"/>
      <c r="U14" s="502"/>
      <c r="V14" s="500"/>
      <c r="W14" s="87"/>
      <c r="X14" s="2"/>
      <c r="Y14" s="2"/>
      <c r="Z14" s="97"/>
      <c r="AA14" s="2"/>
      <c r="AB14" s="502"/>
      <c r="AC14" s="500"/>
      <c r="AD14" s="87"/>
      <c r="AE14" s="2"/>
      <c r="AF14" s="2"/>
      <c r="AG14" s="97"/>
      <c r="AH14" s="2"/>
    </row>
    <row r="15" spans="1:34" ht="9" customHeight="1" x14ac:dyDescent="0.4">
      <c r="A15" s="501"/>
      <c r="B15" s="87"/>
      <c r="C15" s="2"/>
      <c r="D15" s="2"/>
      <c r="E15" s="97"/>
      <c r="F15" s="2"/>
      <c r="G15" s="2"/>
      <c r="H15" s="501"/>
      <c r="I15" s="87"/>
      <c r="J15" s="2"/>
      <c r="K15" s="2"/>
      <c r="L15" s="97"/>
      <c r="M15" s="2"/>
      <c r="N15" s="502"/>
      <c r="O15" s="500"/>
      <c r="P15" s="87"/>
      <c r="Q15" s="2"/>
      <c r="R15" s="2"/>
      <c r="S15" s="97"/>
      <c r="T15" s="2"/>
      <c r="U15" s="502"/>
      <c r="V15" s="500"/>
      <c r="W15" s="87"/>
      <c r="X15" s="2"/>
      <c r="Y15" s="2"/>
      <c r="Z15" s="97"/>
      <c r="AA15" s="2"/>
      <c r="AB15" s="502"/>
      <c r="AC15" s="500"/>
      <c r="AD15" s="87"/>
      <c r="AE15" s="2"/>
      <c r="AF15" s="2"/>
      <c r="AG15" s="97"/>
      <c r="AH15" s="2"/>
    </row>
    <row r="16" spans="1:34" ht="9" customHeight="1" x14ac:dyDescent="0.4">
      <c r="A16" s="504"/>
      <c r="B16" s="87"/>
      <c r="C16" s="2"/>
      <c r="D16" s="2"/>
      <c r="E16" s="2"/>
      <c r="F16" s="2"/>
      <c r="G16" s="2"/>
      <c r="H16" s="504"/>
      <c r="I16" s="87"/>
      <c r="J16" s="2"/>
      <c r="K16" s="2"/>
      <c r="L16" s="2"/>
      <c r="M16" s="2"/>
      <c r="N16" s="56"/>
      <c r="O16" s="503"/>
      <c r="P16" s="87"/>
      <c r="Q16" s="2"/>
      <c r="R16" s="2"/>
      <c r="S16" s="2"/>
      <c r="T16" s="2"/>
      <c r="U16" s="184"/>
      <c r="V16" s="503"/>
      <c r="W16" s="87"/>
      <c r="X16" s="2"/>
      <c r="Y16" s="2"/>
      <c r="Z16" s="2"/>
      <c r="AA16" s="2"/>
      <c r="AB16" s="56"/>
      <c r="AC16" s="503"/>
      <c r="AD16" s="87"/>
      <c r="AE16" s="2"/>
      <c r="AF16" s="2"/>
      <c r="AG16" s="2"/>
      <c r="AH16" s="2"/>
    </row>
    <row r="17" spans="1:34" ht="9" customHeight="1" x14ac:dyDescent="0.4">
      <c r="A17" s="504"/>
      <c r="B17" s="87"/>
      <c r="C17" s="2"/>
      <c r="D17" s="2"/>
      <c r="E17" s="2"/>
      <c r="F17" s="2"/>
      <c r="G17" s="2"/>
      <c r="H17" s="504"/>
      <c r="I17" s="87"/>
      <c r="J17" s="2"/>
      <c r="K17" s="2"/>
      <c r="L17" s="2"/>
      <c r="M17" s="2"/>
      <c r="N17" s="187"/>
      <c r="O17" s="503"/>
      <c r="P17" s="87"/>
      <c r="Q17" s="2"/>
      <c r="R17" s="2"/>
      <c r="S17" s="2"/>
      <c r="T17" s="2"/>
      <c r="U17" s="187"/>
      <c r="V17" s="503"/>
      <c r="W17" s="87"/>
      <c r="X17" s="2"/>
      <c r="Y17" s="2"/>
      <c r="Z17" s="2"/>
      <c r="AA17" s="2"/>
      <c r="AB17" s="187"/>
      <c r="AC17" s="503"/>
      <c r="AD17" s="87"/>
      <c r="AE17" s="2"/>
      <c r="AF17" s="2"/>
      <c r="AG17" s="2"/>
      <c r="AH17" s="2"/>
    </row>
    <row r="18" spans="1:34" ht="9" customHeight="1" x14ac:dyDescent="0.4">
      <c r="A18" s="501"/>
      <c r="B18" s="87"/>
      <c r="C18" s="2"/>
      <c r="D18" s="2"/>
      <c r="E18" s="2"/>
      <c r="F18" s="2"/>
      <c r="G18" s="2"/>
      <c r="H18" s="501"/>
      <c r="I18" s="87"/>
      <c r="J18" s="2"/>
      <c r="K18" s="2"/>
      <c r="L18" s="2"/>
      <c r="M18" s="2"/>
      <c r="N18" s="502"/>
      <c r="O18" s="500"/>
      <c r="P18" s="87"/>
      <c r="Q18" s="2"/>
      <c r="R18" s="2"/>
      <c r="S18" s="2"/>
      <c r="T18" s="2"/>
      <c r="U18" s="502"/>
      <c r="V18" s="500"/>
      <c r="W18" s="87"/>
      <c r="X18" s="2"/>
      <c r="Y18" s="2"/>
      <c r="Z18" s="2"/>
      <c r="AA18" s="2"/>
      <c r="AB18" s="502"/>
      <c r="AC18" s="500"/>
      <c r="AD18" s="87"/>
      <c r="AE18" s="2"/>
      <c r="AF18" s="2"/>
      <c r="AG18" s="2"/>
      <c r="AH18" s="2"/>
    </row>
    <row r="19" spans="1:34" ht="9" customHeight="1" x14ac:dyDescent="0.4">
      <c r="A19" s="501"/>
      <c r="B19" s="87"/>
      <c r="C19" s="2"/>
      <c r="D19" s="2"/>
      <c r="E19" s="97"/>
      <c r="F19" s="2"/>
      <c r="G19" s="2"/>
      <c r="H19" s="501"/>
      <c r="I19" s="87"/>
      <c r="J19" s="2"/>
      <c r="K19" s="2"/>
      <c r="L19" s="97"/>
      <c r="M19" s="2"/>
      <c r="N19" s="502"/>
      <c r="O19" s="500"/>
      <c r="P19" s="87"/>
      <c r="Q19" s="2"/>
      <c r="R19" s="2"/>
      <c r="S19" s="97"/>
      <c r="T19" s="2"/>
      <c r="U19" s="502"/>
      <c r="V19" s="500"/>
      <c r="W19" s="87"/>
      <c r="X19" s="2"/>
      <c r="Y19" s="2"/>
      <c r="Z19" s="97"/>
      <c r="AA19" s="2"/>
      <c r="AB19" s="502"/>
      <c r="AC19" s="500"/>
      <c r="AD19" s="87"/>
      <c r="AE19" s="2"/>
      <c r="AF19" s="2"/>
      <c r="AG19" s="97"/>
      <c r="AH19" s="2"/>
    </row>
    <row r="20" spans="1:34" ht="9" customHeight="1" x14ac:dyDescent="0.4">
      <c r="A20" s="501"/>
      <c r="B20" s="87"/>
      <c r="C20" s="2"/>
      <c r="D20" s="2"/>
      <c r="E20" s="97"/>
      <c r="F20" s="2"/>
      <c r="G20" s="2"/>
      <c r="H20" s="501"/>
      <c r="I20" s="87"/>
      <c r="J20" s="2"/>
      <c r="K20" s="2"/>
      <c r="L20" s="97"/>
      <c r="M20" s="2"/>
      <c r="N20" s="502"/>
      <c r="O20" s="500"/>
      <c r="P20" s="87"/>
      <c r="Q20" s="2"/>
      <c r="R20" s="2"/>
      <c r="S20" s="97"/>
      <c r="T20" s="2"/>
      <c r="U20" s="502"/>
      <c r="V20" s="500"/>
      <c r="W20" s="87"/>
      <c r="X20" s="2"/>
      <c r="Y20" s="2"/>
      <c r="Z20" s="97"/>
      <c r="AA20" s="2"/>
      <c r="AB20" s="502"/>
      <c r="AC20" s="500"/>
      <c r="AD20" s="87"/>
      <c r="AE20" s="2"/>
      <c r="AF20" s="2"/>
      <c r="AG20" s="97"/>
      <c r="AH20" s="2"/>
    </row>
    <row r="21" spans="1:34" ht="9" customHeight="1" x14ac:dyDescent="0.4">
      <c r="A21" s="501"/>
      <c r="B21" s="87"/>
      <c r="C21" s="2"/>
      <c r="D21" s="2"/>
      <c r="E21" s="97"/>
      <c r="F21" s="2"/>
      <c r="G21" s="2"/>
      <c r="H21" s="501"/>
      <c r="I21" s="87"/>
      <c r="J21" s="2"/>
      <c r="K21" s="2"/>
      <c r="L21" s="97"/>
      <c r="M21" s="2"/>
      <c r="N21" s="502"/>
      <c r="O21" s="500"/>
      <c r="P21" s="87"/>
      <c r="Q21" s="2"/>
      <c r="R21" s="2"/>
      <c r="S21" s="97"/>
      <c r="T21" s="2"/>
      <c r="U21" s="502"/>
      <c r="V21" s="500"/>
      <c r="W21" s="87"/>
      <c r="X21" s="2"/>
      <c r="Y21" s="2"/>
      <c r="Z21" s="97"/>
      <c r="AA21" s="2"/>
      <c r="AB21" s="502"/>
      <c r="AC21" s="500"/>
      <c r="AD21" s="87"/>
      <c r="AE21" s="2"/>
      <c r="AF21" s="2"/>
      <c r="AG21" s="97"/>
      <c r="AH21" s="2"/>
    </row>
    <row r="22" spans="1:34" ht="9" customHeight="1" x14ac:dyDescent="0.4">
      <c r="A22" s="501"/>
      <c r="B22" s="87"/>
      <c r="C22" s="2"/>
      <c r="D22" s="2"/>
      <c r="E22" s="97"/>
      <c r="F22" s="2"/>
      <c r="G22" s="2"/>
      <c r="H22" s="501"/>
      <c r="I22" s="87"/>
      <c r="J22" s="2"/>
      <c r="K22" s="2"/>
      <c r="L22" s="97"/>
      <c r="M22" s="2"/>
      <c r="N22" s="502"/>
      <c r="O22" s="500"/>
      <c r="P22" s="87"/>
      <c r="Q22" s="2"/>
      <c r="R22" s="2"/>
      <c r="S22" s="97"/>
      <c r="T22" s="2"/>
      <c r="U22" s="502"/>
      <c r="V22" s="500"/>
      <c r="W22" s="87"/>
      <c r="X22" s="2"/>
      <c r="Y22" s="2"/>
      <c r="Z22" s="97"/>
      <c r="AA22" s="2"/>
      <c r="AB22" s="502"/>
      <c r="AC22" s="500"/>
      <c r="AD22" s="87"/>
      <c r="AE22" s="2"/>
      <c r="AF22" s="2"/>
      <c r="AG22" s="97"/>
      <c r="AH22" s="2"/>
    </row>
    <row r="23" spans="1:34" ht="9" customHeight="1" x14ac:dyDescent="0.4">
      <c r="A23" s="501"/>
      <c r="B23" s="87"/>
      <c r="C23" s="2"/>
      <c r="D23" s="2"/>
      <c r="E23" s="97"/>
      <c r="F23" s="2"/>
      <c r="G23" s="2"/>
      <c r="H23" s="501"/>
      <c r="I23" s="87"/>
      <c r="J23" s="2"/>
      <c r="K23" s="2"/>
      <c r="L23" s="97"/>
      <c r="M23" s="2"/>
      <c r="N23" s="502"/>
      <c r="O23" s="500"/>
      <c r="P23" s="87"/>
      <c r="Q23" s="2"/>
      <c r="R23" s="2"/>
      <c r="S23" s="97"/>
      <c r="T23" s="2"/>
      <c r="U23" s="502"/>
      <c r="V23" s="500"/>
      <c r="W23" s="87"/>
      <c r="X23" s="2"/>
      <c r="Y23" s="2"/>
      <c r="Z23" s="97"/>
      <c r="AA23" s="2"/>
      <c r="AB23" s="502"/>
      <c r="AC23" s="500"/>
      <c r="AD23" s="87"/>
      <c r="AE23" s="2"/>
      <c r="AF23" s="2"/>
      <c r="AG23" s="97"/>
      <c r="AH23" s="2"/>
    </row>
    <row r="24" spans="1:34" ht="9" customHeight="1" x14ac:dyDescent="0.4">
      <c r="A24" s="501"/>
      <c r="B24" s="87"/>
      <c r="C24" s="2"/>
      <c r="D24" s="2"/>
      <c r="E24" s="97"/>
      <c r="F24" s="2"/>
      <c r="G24" s="2"/>
      <c r="H24" s="501"/>
      <c r="I24" s="87"/>
      <c r="J24" s="2"/>
      <c r="K24" s="2"/>
      <c r="L24" s="97"/>
      <c r="M24" s="2"/>
      <c r="N24" s="505"/>
      <c r="O24" s="500"/>
      <c r="P24" s="87"/>
      <c r="Q24" s="2"/>
      <c r="R24" s="2"/>
      <c r="S24" s="97"/>
      <c r="T24" s="2"/>
      <c r="U24" s="505"/>
      <c r="V24" s="500"/>
      <c r="W24" s="87"/>
      <c r="X24" s="2"/>
      <c r="Y24" s="2"/>
      <c r="Z24" s="97"/>
      <c r="AA24" s="2"/>
      <c r="AB24" s="505"/>
      <c r="AC24" s="500"/>
      <c r="AD24" s="87"/>
      <c r="AE24" s="2"/>
      <c r="AF24" s="2"/>
      <c r="AG24" s="97"/>
      <c r="AH24" s="2"/>
    </row>
    <row r="25" spans="1:34" ht="9" customHeight="1" x14ac:dyDescent="0.4">
      <c r="A25" s="501"/>
      <c r="B25" s="87"/>
      <c r="C25" s="97"/>
      <c r="D25" s="97"/>
      <c r="E25" s="97"/>
      <c r="F25" s="2"/>
      <c r="G25" s="2"/>
      <c r="H25" s="501"/>
      <c r="I25" s="87"/>
      <c r="J25" s="97"/>
      <c r="K25" s="97"/>
      <c r="L25" s="97"/>
      <c r="M25" s="2"/>
      <c r="N25" s="505"/>
      <c r="O25" s="500"/>
      <c r="P25" s="87"/>
      <c r="Q25" s="97"/>
      <c r="R25" s="97"/>
      <c r="S25" s="97"/>
      <c r="T25" s="2"/>
      <c r="U25" s="505"/>
      <c r="V25" s="500"/>
      <c r="W25" s="87"/>
      <c r="X25" s="97"/>
      <c r="Y25" s="97"/>
      <c r="Z25" s="97"/>
      <c r="AA25" s="2"/>
      <c r="AB25" s="505"/>
      <c r="AC25" s="500"/>
      <c r="AD25" s="87"/>
      <c r="AE25" s="97"/>
      <c r="AF25" s="97"/>
      <c r="AG25" s="97"/>
      <c r="AH25" s="2"/>
    </row>
    <row r="26" spans="1:34" ht="9" customHeight="1" x14ac:dyDescent="0.4">
      <c r="A26" s="504"/>
      <c r="B26" s="87"/>
      <c r="C26" s="2"/>
      <c r="D26" s="2"/>
      <c r="E26" s="2"/>
      <c r="F26" s="2"/>
      <c r="G26" s="2"/>
      <c r="H26" s="504"/>
      <c r="I26" s="87"/>
      <c r="J26" s="2"/>
      <c r="K26" s="2"/>
      <c r="L26" s="2"/>
      <c r="M26" s="2"/>
      <c r="N26" s="502"/>
      <c r="O26" s="503"/>
      <c r="P26" s="87"/>
      <c r="Q26" s="2"/>
      <c r="R26" s="2"/>
      <c r="S26" s="2"/>
      <c r="T26" s="2"/>
      <c r="U26" s="502"/>
      <c r="V26" s="503"/>
      <c r="W26" s="87"/>
      <c r="X26" s="2"/>
      <c r="Y26" s="2"/>
      <c r="Z26" s="2"/>
      <c r="AA26" s="2"/>
      <c r="AB26" s="502"/>
      <c r="AC26" s="503"/>
      <c r="AD26" s="87"/>
      <c r="AE26" s="2"/>
      <c r="AF26" s="2"/>
      <c r="AG26" s="2"/>
      <c r="AH26" s="2"/>
    </row>
    <row r="27" spans="1:34" ht="9" customHeight="1" x14ac:dyDescent="0.4">
      <c r="A27" s="504"/>
      <c r="B27" s="87"/>
      <c r="C27" s="2"/>
      <c r="D27" s="2"/>
      <c r="E27" s="2"/>
      <c r="F27" s="2"/>
      <c r="G27" s="2"/>
      <c r="H27" s="504"/>
      <c r="I27" s="87"/>
      <c r="J27" s="2"/>
      <c r="K27" s="2"/>
      <c r="L27" s="2"/>
      <c r="M27" s="2"/>
      <c r="N27" s="502"/>
      <c r="O27" s="503"/>
      <c r="P27" s="87"/>
      <c r="Q27" s="2"/>
      <c r="R27" s="2"/>
      <c r="S27" s="2"/>
      <c r="T27" s="2"/>
      <c r="U27" s="502"/>
      <c r="V27" s="503"/>
      <c r="W27" s="87"/>
      <c r="X27" s="2"/>
      <c r="Y27" s="2"/>
      <c r="Z27" s="2"/>
      <c r="AA27" s="2"/>
      <c r="AB27" s="502"/>
      <c r="AC27" s="503"/>
      <c r="AD27" s="87"/>
      <c r="AE27" s="2"/>
      <c r="AF27" s="2"/>
      <c r="AG27" s="2"/>
      <c r="AH27" s="2"/>
    </row>
    <row r="28" spans="1:34" ht="9" customHeight="1" x14ac:dyDescent="0.4">
      <c r="A28" s="501"/>
      <c r="B28" s="87"/>
      <c r="C28" s="2"/>
      <c r="D28" s="2"/>
      <c r="E28" s="2"/>
      <c r="F28" s="2"/>
      <c r="G28" s="2"/>
      <c r="H28" s="501"/>
      <c r="I28" s="87"/>
      <c r="J28" s="2"/>
      <c r="K28" s="2"/>
      <c r="L28" s="2"/>
      <c r="M28" s="2"/>
      <c r="N28" s="502"/>
      <c r="O28" s="500"/>
      <c r="P28" s="87"/>
      <c r="Q28" s="2"/>
      <c r="R28" s="2"/>
      <c r="S28" s="2"/>
      <c r="T28" s="2"/>
      <c r="U28" s="502"/>
      <c r="V28" s="500"/>
      <c r="W28" s="87"/>
      <c r="X28" s="2"/>
      <c r="Y28" s="2"/>
      <c r="Z28" s="2"/>
      <c r="AA28" s="2"/>
      <c r="AB28" s="502"/>
      <c r="AC28" s="500"/>
      <c r="AD28" s="87"/>
      <c r="AE28" s="2"/>
      <c r="AF28" s="2"/>
      <c r="AG28" s="2"/>
      <c r="AH28" s="2"/>
    </row>
    <row r="29" spans="1:34" ht="9" customHeight="1" x14ac:dyDescent="0.4">
      <c r="A29" s="501"/>
      <c r="B29" s="87"/>
      <c r="C29" s="2"/>
      <c r="D29" s="2"/>
      <c r="E29" s="2"/>
      <c r="F29" s="2"/>
      <c r="G29" s="2"/>
      <c r="H29" s="501"/>
      <c r="I29" s="87"/>
      <c r="J29" s="2"/>
      <c r="K29" s="2"/>
      <c r="L29" s="2"/>
      <c r="M29" s="2"/>
      <c r="N29" s="502"/>
      <c r="O29" s="500"/>
      <c r="P29" s="87"/>
      <c r="Q29" s="2"/>
      <c r="R29" s="2"/>
      <c r="S29" s="2"/>
      <c r="T29" s="2"/>
      <c r="U29" s="502"/>
      <c r="V29" s="500"/>
      <c r="W29" s="87"/>
      <c r="X29" s="2"/>
      <c r="Y29" s="2"/>
      <c r="Z29" s="2"/>
      <c r="AA29" s="2"/>
      <c r="AB29" s="502"/>
      <c r="AC29" s="500"/>
      <c r="AD29" s="87"/>
      <c r="AE29" s="2"/>
      <c r="AF29" s="2"/>
      <c r="AG29" s="2"/>
      <c r="AH29" s="2"/>
    </row>
    <row r="30" spans="1:34" ht="9" customHeight="1" x14ac:dyDescent="0.4">
      <c r="A30" s="501"/>
      <c r="B30" s="87"/>
      <c r="C30" s="2"/>
      <c r="D30" s="2"/>
      <c r="E30" s="2"/>
      <c r="F30" s="2"/>
      <c r="G30" s="2"/>
      <c r="H30" s="501"/>
      <c r="I30" s="87"/>
      <c r="J30" s="2"/>
      <c r="K30" s="2"/>
      <c r="L30" s="2"/>
      <c r="M30" s="2"/>
      <c r="N30" s="502"/>
      <c r="O30" s="500"/>
      <c r="P30" s="87"/>
      <c r="Q30" s="2"/>
      <c r="R30" s="2"/>
      <c r="S30" s="2"/>
      <c r="T30" s="2"/>
      <c r="U30" s="502"/>
      <c r="V30" s="500"/>
      <c r="W30" s="87"/>
      <c r="X30" s="2"/>
      <c r="Y30" s="2"/>
      <c r="Z30" s="2"/>
      <c r="AA30" s="2"/>
      <c r="AB30" s="502"/>
      <c r="AC30" s="500"/>
      <c r="AD30" s="87"/>
      <c r="AE30" s="2"/>
      <c r="AF30" s="2"/>
      <c r="AG30" s="2"/>
      <c r="AH30" s="2"/>
    </row>
    <row r="31" spans="1:34" ht="9" customHeight="1" x14ac:dyDescent="0.4">
      <c r="A31" s="501"/>
      <c r="B31" s="87"/>
      <c r="C31" s="2"/>
      <c r="D31" s="2"/>
      <c r="E31" s="2"/>
      <c r="F31" s="2"/>
      <c r="G31" s="2"/>
      <c r="H31" s="501"/>
      <c r="I31" s="87"/>
      <c r="J31" s="2"/>
      <c r="K31" s="2"/>
      <c r="L31" s="2"/>
      <c r="M31" s="2"/>
      <c r="N31" s="502"/>
      <c r="O31" s="500"/>
      <c r="P31" s="87"/>
      <c r="Q31" s="2"/>
      <c r="R31" s="2"/>
      <c r="S31" s="2"/>
      <c r="T31" s="2"/>
      <c r="U31" s="502"/>
      <c r="V31" s="500"/>
      <c r="W31" s="87"/>
      <c r="X31" s="2"/>
      <c r="Y31" s="2"/>
      <c r="Z31" s="2"/>
      <c r="AA31" s="2"/>
      <c r="AB31" s="502"/>
      <c r="AC31" s="500"/>
      <c r="AD31" s="87"/>
      <c r="AE31" s="2"/>
      <c r="AF31" s="2"/>
      <c r="AG31" s="2"/>
      <c r="AH31" s="2"/>
    </row>
    <row r="32" spans="1:34" ht="9" customHeight="1" x14ac:dyDescent="0.4">
      <c r="A32" s="501"/>
      <c r="B32" s="87"/>
      <c r="C32" s="2"/>
      <c r="D32" s="2"/>
      <c r="E32" s="2"/>
      <c r="F32" s="2"/>
      <c r="G32" s="2"/>
      <c r="H32" s="501"/>
      <c r="I32" s="87"/>
      <c r="J32" s="2"/>
      <c r="K32" s="2"/>
      <c r="L32" s="2"/>
      <c r="M32" s="2"/>
      <c r="N32" s="502"/>
      <c r="O32" s="500"/>
      <c r="P32" s="87"/>
      <c r="Q32" s="2"/>
      <c r="R32" s="2"/>
      <c r="S32" s="2"/>
      <c r="T32" s="2"/>
      <c r="U32" s="502"/>
      <c r="V32" s="500"/>
      <c r="W32" s="87"/>
      <c r="X32" s="2"/>
      <c r="Y32" s="2"/>
      <c r="Z32" s="2"/>
      <c r="AA32" s="2"/>
      <c r="AB32" s="502"/>
      <c r="AC32" s="500"/>
      <c r="AD32" s="87"/>
      <c r="AE32" s="2"/>
      <c r="AF32" s="2"/>
      <c r="AG32" s="2"/>
      <c r="AH32" s="2"/>
    </row>
    <row r="33" spans="1:34" ht="9" customHeight="1" x14ac:dyDescent="0.4">
      <c r="A33" s="501"/>
      <c r="B33" s="87"/>
      <c r="C33" s="2"/>
      <c r="D33" s="2"/>
      <c r="E33" s="2"/>
      <c r="F33" s="2"/>
      <c r="G33" s="2"/>
      <c r="H33" s="501"/>
      <c r="I33" s="87"/>
      <c r="J33" s="2"/>
      <c r="K33" s="2"/>
      <c r="L33" s="2"/>
      <c r="M33" s="2"/>
      <c r="N33" s="502"/>
      <c r="O33" s="500"/>
      <c r="P33" s="87"/>
      <c r="Q33" s="2"/>
      <c r="R33" s="2"/>
      <c r="S33" s="2"/>
      <c r="T33" s="2"/>
      <c r="U33" s="502"/>
      <c r="V33" s="500"/>
      <c r="W33" s="87"/>
      <c r="X33" s="2"/>
      <c r="Y33" s="2"/>
      <c r="Z33" s="2"/>
      <c r="AA33" s="2"/>
      <c r="AB33" s="502"/>
      <c r="AC33" s="500"/>
      <c r="AD33" s="87"/>
      <c r="AE33" s="2"/>
      <c r="AF33" s="2"/>
      <c r="AG33" s="2"/>
      <c r="AH33" s="2"/>
    </row>
    <row r="34" spans="1:34" ht="9" customHeight="1" x14ac:dyDescent="0.4">
      <c r="A34" s="501"/>
      <c r="B34" s="87"/>
      <c r="C34" s="2"/>
      <c r="D34" s="2"/>
      <c r="E34" s="2"/>
      <c r="F34" s="2"/>
      <c r="G34" s="2"/>
      <c r="H34" s="501"/>
      <c r="I34" s="87"/>
      <c r="J34" s="2"/>
      <c r="K34" s="2"/>
      <c r="L34" s="2"/>
      <c r="M34" s="2"/>
      <c r="N34" s="502"/>
      <c r="O34" s="500"/>
      <c r="P34" s="87"/>
      <c r="Q34" s="2"/>
      <c r="R34" s="2"/>
      <c r="S34" s="2"/>
      <c r="T34" s="2"/>
      <c r="U34" s="502"/>
      <c r="V34" s="500"/>
      <c r="W34" s="87"/>
      <c r="X34" s="2"/>
      <c r="Y34" s="2"/>
      <c r="Z34" s="2"/>
      <c r="AA34" s="2"/>
      <c r="AB34" s="502"/>
      <c r="AC34" s="500"/>
      <c r="AD34" s="87"/>
      <c r="AE34" s="2"/>
      <c r="AF34" s="2"/>
      <c r="AG34" s="2"/>
      <c r="AH34" s="2"/>
    </row>
    <row r="35" spans="1:34" ht="9" customHeight="1" x14ac:dyDescent="0.4">
      <c r="A35" s="501"/>
      <c r="B35" s="87"/>
      <c r="C35" s="2"/>
      <c r="D35" s="2"/>
      <c r="E35" s="2"/>
      <c r="F35" s="2"/>
      <c r="G35" s="2"/>
      <c r="H35" s="501"/>
      <c r="I35" s="87"/>
      <c r="J35" s="2"/>
      <c r="K35" s="2"/>
      <c r="L35" s="2"/>
      <c r="M35" s="2"/>
      <c r="N35" s="502"/>
      <c r="O35" s="500"/>
      <c r="P35" s="87"/>
      <c r="Q35" s="2"/>
      <c r="R35" s="2"/>
      <c r="S35" s="2"/>
      <c r="T35" s="2"/>
      <c r="U35" s="502"/>
      <c r="V35" s="500"/>
      <c r="W35" s="87"/>
      <c r="X35" s="2"/>
      <c r="Y35" s="2"/>
      <c r="Z35" s="2"/>
      <c r="AA35" s="2"/>
      <c r="AB35" s="502"/>
      <c r="AC35" s="500"/>
      <c r="AD35" s="87"/>
      <c r="AE35" s="2"/>
      <c r="AF35" s="2"/>
      <c r="AG35" s="2"/>
      <c r="AH35" s="2"/>
    </row>
    <row r="36" spans="1:34" ht="9" customHeight="1" x14ac:dyDescent="0.4">
      <c r="A36" s="504"/>
      <c r="B36" s="87"/>
      <c r="C36" s="2"/>
      <c r="D36" s="2"/>
      <c r="E36" s="2"/>
      <c r="F36" s="2"/>
      <c r="G36" s="2"/>
      <c r="H36" s="504"/>
      <c r="I36" s="87"/>
      <c r="J36" s="2"/>
      <c r="K36" s="2"/>
      <c r="L36" s="2"/>
      <c r="M36" s="2"/>
      <c r="N36" s="502"/>
      <c r="O36" s="503"/>
      <c r="P36" s="87"/>
      <c r="Q36" s="2"/>
      <c r="R36" s="2"/>
      <c r="S36" s="2"/>
      <c r="T36" s="2"/>
      <c r="U36" s="502"/>
      <c r="V36" s="503"/>
      <c r="W36" s="87"/>
      <c r="X36" s="2"/>
      <c r="Y36" s="2"/>
      <c r="Z36" s="2"/>
      <c r="AA36" s="2"/>
      <c r="AB36" s="502"/>
      <c r="AC36" s="503"/>
      <c r="AD36" s="87"/>
      <c r="AE36" s="2"/>
      <c r="AF36" s="2"/>
      <c r="AG36" s="2"/>
      <c r="AH36" s="2"/>
    </row>
    <row r="37" spans="1:34" ht="9" customHeight="1" x14ac:dyDescent="0.4">
      <c r="A37" s="504"/>
      <c r="B37" s="87"/>
      <c r="C37" s="2"/>
      <c r="D37" s="2"/>
      <c r="E37" s="2"/>
      <c r="F37" s="2"/>
      <c r="G37" s="2"/>
      <c r="H37" s="504"/>
      <c r="I37" s="87"/>
      <c r="J37" s="2"/>
      <c r="K37" s="2"/>
      <c r="L37" s="2"/>
      <c r="M37" s="2"/>
      <c r="N37" s="502"/>
      <c r="O37" s="503"/>
      <c r="P37" s="87"/>
      <c r="Q37" s="2"/>
      <c r="R37" s="2"/>
      <c r="S37" s="2"/>
      <c r="T37" s="2"/>
      <c r="U37" s="502"/>
      <c r="V37" s="503"/>
      <c r="W37" s="87"/>
      <c r="X37" s="2"/>
      <c r="Y37" s="2"/>
      <c r="Z37" s="2"/>
      <c r="AA37" s="2"/>
      <c r="AB37" s="502"/>
      <c r="AC37" s="503"/>
      <c r="AD37" s="87"/>
      <c r="AE37" s="2"/>
      <c r="AF37" s="2"/>
      <c r="AG37" s="2"/>
      <c r="AH37" s="2"/>
    </row>
    <row r="38" spans="1:34" ht="9" customHeight="1" x14ac:dyDescent="0.4">
      <c r="A38" s="501"/>
      <c r="B38" s="87"/>
      <c r="C38" s="2"/>
      <c r="D38" s="2"/>
      <c r="E38" s="2"/>
      <c r="F38" s="2"/>
      <c r="G38" s="2"/>
      <c r="H38" s="501"/>
      <c r="I38" s="87"/>
      <c r="J38" s="2"/>
      <c r="K38" s="2"/>
      <c r="L38" s="2"/>
      <c r="M38" s="2"/>
      <c r="N38" s="502"/>
      <c r="O38" s="500"/>
      <c r="P38" s="87"/>
      <c r="Q38" s="2"/>
      <c r="R38" s="2"/>
      <c r="S38" s="2"/>
      <c r="T38" s="2"/>
      <c r="U38" s="502"/>
      <c r="V38" s="500"/>
      <c r="W38" s="87"/>
      <c r="X38" s="2"/>
      <c r="Y38" s="2"/>
      <c r="Z38" s="2"/>
      <c r="AA38" s="2"/>
      <c r="AB38" s="502"/>
      <c r="AC38" s="500"/>
      <c r="AD38" s="87"/>
      <c r="AE38" s="2"/>
      <c r="AF38" s="2"/>
      <c r="AG38" s="2"/>
      <c r="AH38" s="2"/>
    </row>
    <row r="39" spans="1:34" ht="9" customHeight="1" x14ac:dyDescent="0.4">
      <c r="A39" s="501"/>
      <c r="B39" s="87"/>
      <c r="C39" s="2"/>
      <c r="D39" s="2"/>
      <c r="E39" s="2"/>
      <c r="F39" s="2"/>
      <c r="G39" s="2"/>
      <c r="H39" s="501"/>
      <c r="I39" s="87"/>
      <c r="J39" s="2"/>
      <c r="K39" s="2"/>
      <c r="L39" s="2"/>
      <c r="M39" s="2"/>
      <c r="N39" s="502"/>
      <c r="O39" s="500"/>
      <c r="P39" s="87"/>
      <c r="Q39" s="2"/>
      <c r="R39" s="2"/>
      <c r="S39" s="2"/>
      <c r="T39" s="2"/>
      <c r="U39" s="502"/>
      <c r="V39" s="500"/>
      <c r="W39" s="87"/>
      <c r="X39" s="2"/>
      <c r="Y39" s="2"/>
      <c r="Z39" s="2"/>
      <c r="AA39" s="2"/>
      <c r="AB39" s="502"/>
      <c r="AC39" s="500"/>
      <c r="AD39" s="87"/>
      <c r="AE39" s="2"/>
      <c r="AF39" s="2"/>
      <c r="AG39" s="2"/>
      <c r="AH39" s="2"/>
    </row>
    <row r="40" spans="1:34" ht="9" customHeight="1" x14ac:dyDescent="0.4">
      <c r="A40" s="501"/>
      <c r="B40" s="87"/>
      <c r="C40" s="2"/>
      <c r="D40" s="2"/>
      <c r="E40" s="2"/>
      <c r="F40" s="2"/>
      <c r="G40" s="2"/>
      <c r="H40" s="501"/>
      <c r="I40" s="87"/>
      <c r="J40" s="2"/>
      <c r="K40" s="2"/>
      <c r="L40" s="2"/>
      <c r="M40" s="2"/>
      <c r="N40" s="505"/>
      <c r="O40" s="500"/>
      <c r="P40" s="87"/>
      <c r="Q40" s="2"/>
      <c r="R40" s="2"/>
      <c r="S40" s="2"/>
      <c r="T40" s="2"/>
      <c r="U40" s="505"/>
      <c r="V40" s="500"/>
      <c r="W40" s="87"/>
      <c r="X40" s="2"/>
      <c r="Y40" s="2"/>
      <c r="Z40" s="2"/>
      <c r="AA40" s="2"/>
      <c r="AB40" s="505"/>
      <c r="AC40" s="500"/>
      <c r="AD40" s="87"/>
      <c r="AE40" s="2"/>
      <c r="AF40" s="2"/>
      <c r="AG40" s="2"/>
      <c r="AH40" s="2"/>
    </row>
    <row r="41" spans="1:34" ht="9" customHeight="1" x14ac:dyDescent="0.4">
      <c r="A41" s="501"/>
      <c r="B41" s="87"/>
      <c r="C41" s="2"/>
      <c r="D41" s="2"/>
      <c r="E41" s="2"/>
      <c r="F41" s="2"/>
      <c r="G41" s="2"/>
      <c r="H41" s="501"/>
      <c r="I41" s="87"/>
      <c r="J41" s="2"/>
      <c r="K41" s="2"/>
      <c r="L41" s="2"/>
      <c r="M41" s="2"/>
      <c r="N41" s="505"/>
      <c r="O41" s="500"/>
      <c r="P41" s="87"/>
      <c r="Q41" s="2"/>
      <c r="R41" s="2"/>
      <c r="S41" s="2"/>
      <c r="T41" s="2"/>
      <c r="U41" s="505"/>
      <c r="V41" s="500"/>
      <c r="W41" s="87"/>
      <c r="X41" s="2"/>
      <c r="Y41" s="2"/>
      <c r="Z41" s="2"/>
      <c r="AA41" s="2"/>
      <c r="AB41" s="505"/>
      <c r="AC41" s="500"/>
      <c r="AD41" s="87"/>
      <c r="AE41" s="2"/>
      <c r="AF41" s="2"/>
      <c r="AG41" s="2"/>
      <c r="AH41" s="2"/>
    </row>
    <row r="42" spans="1:34" ht="9" customHeight="1" x14ac:dyDescent="0.4">
      <c r="A42" s="501"/>
      <c r="B42" s="87"/>
      <c r="C42" s="2"/>
      <c r="D42" s="2"/>
      <c r="E42" s="2"/>
      <c r="F42" s="2"/>
      <c r="G42" s="2"/>
      <c r="H42" s="501"/>
      <c r="I42" s="87"/>
      <c r="J42" s="2"/>
      <c r="K42" s="2"/>
      <c r="L42" s="2"/>
      <c r="M42" s="2"/>
      <c r="N42" s="502"/>
      <c r="O42" s="500"/>
      <c r="P42" s="87"/>
      <c r="Q42" s="2"/>
      <c r="R42" s="2"/>
      <c r="S42" s="2"/>
      <c r="T42" s="2"/>
      <c r="U42" s="502"/>
      <c r="V42" s="500"/>
      <c r="W42" s="87"/>
      <c r="X42" s="2"/>
      <c r="Y42" s="2"/>
      <c r="Z42" s="2"/>
      <c r="AA42" s="2"/>
      <c r="AB42" s="502"/>
      <c r="AC42" s="500"/>
      <c r="AD42" s="87"/>
      <c r="AE42" s="2"/>
      <c r="AF42" s="2"/>
      <c r="AG42" s="2"/>
      <c r="AH42" s="2"/>
    </row>
    <row r="43" spans="1:34" ht="9" customHeight="1" x14ac:dyDescent="0.4">
      <c r="A43" s="501"/>
      <c r="B43" s="87"/>
      <c r="C43" s="2"/>
      <c r="D43" s="2"/>
      <c r="E43" s="2"/>
      <c r="F43" s="2"/>
      <c r="G43" s="2"/>
      <c r="H43" s="501"/>
      <c r="I43" s="87"/>
      <c r="J43" s="2"/>
      <c r="K43" s="2"/>
      <c r="L43" s="2"/>
      <c r="M43" s="2"/>
      <c r="N43" s="502"/>
      <c r="O43" s="500"/>
      <c r="P43" s="87"/>
      <c r="Q43" s="2"/>
      <c r="R43" s="2"/>
      <c r="S43" s="2"/>
      <c r="T43" s="2"/>
      <c r="U43" s="502"/>
      <c r="V43" s="500"/>
      <c r="W43" s="87"/>
      <c r="X43" s="2"/>
      <c r="Y43" s="2"/>
      <c r="Z43" s="2"/>
      <c r="AA43" s="2"/>
      <c r="AB43" s="502"/>
      <c r="AC43" s="500"/>
      <c r="AD43" s="87"/>
      <c r="AE43" s="2"/>
      <c r="AF43" s="2"/>
      <c r="AG43" s="2"/>
      <c r="AH43" s="2"/>
    </row>
    <row r="44" spans="1:34" ht="9" customHeight="1" x14ac:dyDescent="0.4">
      <c r="A44" s="501"/>
      <c r="B44" s="87"/>
      <c r="C44" s="2"/>
      <c r="D44" s="2"/>
      <c r="E44" s="2"/>
      <c r="F44" s="2"/>
      <c r="G44" s="2"/>
      <c r="H44" s="501"/>
      <c r="I44" s="87"/>
      <c r="J44" s="2"/>
      <c r="K44" s="2"/>
      <c r="L44" s="2"/>
      <c r="M44" s="2"/>
      <c r="N44" s="502"/>
      <c r="O44" s="500"/>
      <c r="P44" s="87"/>
      <c r="Q44" s="2"/>
      <c r="R44" s="2"/>
      <c r="S44" s="2"/>
      <c r="T44" s="2"/>
      <c r="U44" s="502"/>
      <c r="V44" s="500"/>
      <c r="W44" s="87"/>
      <c r="X44" s="2"/>
      <c r="Y44" s="2"/>
      <c r="Z44" s="2"/>
      <c r="AA44" s="2"/>
      <c r="AB44" s="502"/>
      <c r="AC44" s="500"/>
      <c r="AD44" s="87"/>
      <c r="AE44" s="2"/>
      <c r="AF44" s="2"/>
      <c r="AG44" s="2"/>
      <c r="AH44" s="2"/>
    </row>
    <row r="45" spans="1:34" ht="9" customHeight="1" x14ac:dyDescent="0.4">
      <c r="A45" s="501"/>
      <c r="B45" s="87"/>
      <c r="C45" s="2"/>
      <c r="D45" s="2"/>
      <c r="E45" s="2"/>
      <c r="F45" s="2"/>
      <c r="G45" s="2"/>
      <c r="H45" s="501"/>
      <c r="I45" s="87"/>
      <c r="J45" s="2"/>
      <c r="K45" s="2"/>
      <c r="L45" s="2"/>
      <c r="M45" s="2"/>
      <c r="N45" s="502"/>
      <c r="O45" s="500"/>
      <c r="P45" s="87"/>
      <c r="Q45" s="2"/>
      <c r="R45" s="2"/>
      <c r="S45" s="2"/>
      <c r="T45" s="2"/>
      <c r="U45" s="502"/>
      <c r="V45" s="500"/>
      <c r="W45" s="87"/>
      <c r="X45" s="2"/>
      <c r="Y45" s="2"/>
      <c r="Z45" s="2"/>
      <c r="AA45" s="2"/>
      <c r="AB45" s="502"/>
      <c r="AC45" s="500"/>
      <c r="AD45" s="87"/>
      <c r="AE45" s="2"/>
      <c r="AF45" s="2"/>
      <c r="AG45" s="2"/>
      <c r="AH45" s="2"/>
    </row>
    <row r="46" spans="1:34" ht="9" customHeight="1" x14ac:dyDescent="0.4">
      <c r="A46" s="504"/>
      <c r="B46" s="87"/>
      <c r="C46" s="2"/>
      <c r="D46" s="2"/>
      <c r="E46" s="2"/>
      <c r="F46" s="2"/>
      <c r="G46" s="2"/>
      <c r="H46" s="504"/>
      <c r="I46" s="87"/>
      <c r="J46" s="2"/>
      <c r="K46" s="2"/>
      <c r="L46" s="2"/>
      <c r="M46" s="2"/>
      <c r="N46" s="502"/>
      <c r="O46" s="503"/>
      <c r="P46" s="87"/>
      <c r="Q46" s="2"/>
      <c r="R46" s="2"/>
      <c r="S46" s="2"/>
      <c r="T46" s="2"/>
      <c r="U46" s="502"/>
      <c r="V46" s="503"/>
      <c r="W46" s="87"/>
      <c r="X46" s="2"/>
      <c r="Y46" s="2"/>
      <c r="Z46" s="2"/>
      <c r="AA46" s="2"/>
      <c r="AB46" s="502"/>
      <c r="AC46" s="503"/>
      <c r="AD46" s="87"/>
      <c r="AE46" s="2"/>
      <c r="AF46" s="2"/>
      <c r="AG46" s="2"/>
      <c r="AH46" s="2"/>
    </row>
    <row r="47" spans="1:34" ht="9" customHeight="1" x14ac:dyDescent="0.4">
      <c r="A47" s="504"/>
      <c r="B47" s="87"/>
      <c r="C47" s="2"/>
      <c r="D47" s="2"/>
      <c r="E47" s="2"/>
      <c r="F47" s="2"/>
      <c r="G47" s="2"/>
      <c r="H47" s="504"/>
      <c r="I47" s="87"/>
      <c r="J47" s="2"/>
      <c r="K47" s="2"/>
      <c r="L47" s="2"/>
      <c r="M47" s="2"/>
      <c r="N47" s="502"/>
      <c r="O47" s="503"/>
      <c r="P47" s="87"/>
      <c r="Q47" s="2"/>
      <c r="R47" s="2"/>
      <c r="S47" s="2"/>
      <c r="T47" s="2"/>
      <c r="U47" s="502"/>
      <c r="V47" s="503"/>
      <c r="W47" s="87"/>
      <c r="X47" s="2"/>
      <c r="Y47" s="2"/>
      <c r="Z47" s="2"/>
      <c r="AA47" s="2"/>
      <c r="AB47" s="502"/>
      <c r="AC47" s="503"/>
      <c r="AD47" s="87"/>
      <c r="AE47" s="2"/>
      <c r="AF47" s="2"/>
      <c r="AG47" s="2"/>
      <c r="AH47" s="2"/>
    </row>
    <row r="48" spans="1:34" ht="9" customHeight="1" x14ac:dyDescent="0.4">
      <c r="A48" s="501"/>
      <c r="B48" s="87"/>
      <c r="C48" s="2"/>
      <c r="D48" s="2"/>
      <c r="E48" s="2"/>
      <c r="F48" s="2"/>
      <c r="G48" s="2"/>
      <c r="H48" s="501"/>
      <c r="I48" s="87"/>
      <c r="J48" s="2"/>
      <c r="K48" s="2"/>
      <c r="L48" s="2"/>
      <c r="M48" s="2"/>
      <c r="N48" s="502"/>
      <c r="O48" s="500"/>
      <c r="P48" s="87"/>
      <c r="Q48" s="2"/>
      <c r="R48" s="2"/>
      <c r="S48" s="2"/>
      <c r="T48" s="2"/>
      <c r="U48" s="502"/>
      <c r="V48" s="500"/>
      <c r="W48" s="87"/>
      <c r="X48" s="2"/>
      <c r="Y48" s="2"/>
      <c r="Z48" s="2"/>
      <c r="AA48" s="2"/>
      <c r="AB48" s="502"/>
      <c r="AC48" s="500"/>
      <c r="AD48" s="87"/>
      <c r="AE48" s="2"/>
      <c r="AF48" s="2"/>
      <c r="AG48" s="2"/>
      <c r="AH48" s="2"/>
    </row>
    <row r="49" spans="1:34" ht="9" customHeight="1" x14ac:dyDescent="0.4">
      <c r="A49" s="501"/>
      <c r="B49" s="87"/>
      <c r="C49" s="2"/>
      <c r="D49" s="2"/>
      <c r="E49" s="2"/>
      <c r="F49" s="2"/>
      <c r="G49" s="2"/>
      <c r="H49" s="501"/>
      <c r="I49" s="87"/>
      <c r="J49" s="2"/>
      <c r="K49" s="2"/>
      <c r="L49" s="2"/>
      <c r="M49" s="2"/>
      <c r="N49" s="502"/>
      <c r="O49" s="500"/>
      <c r="P49" s="87"/>
      <c r="Q49" s="2"/>
      <c r="R49" s="2"/>
      <c r="S49" s="2"/>
      <c r="T49" s="2"/>
      <c r="U49" s="502"/>
      <c r="V49" s="500"/>
      <c r="W49" s="87"/>
      <c r="X49" s="2"/>
      <c r="Y49" s="2"/>
      <c r="Z49" s="2"/>
      <c r="AA49" s="2"/>
      <c r="AB49" s="502"/>
      <c r="AC49" s="500"/>
      <c r="AD49" s="87"/>
      <c r="AE49" s="2"/>
      <c r="AF49" s="2"/>
      <c r="AG49" s="2"/>
      <c r="AH49" s="2"/>
    </row>
    <row r="50" spans="1:34" ht="9" customHeight="1" x14ac:dyDescent="0.4">
      <c r="A50" s="501"/>
      <c r="B50" s="87"/>
      <c r="C50" s="2"/>
      <c r="D50" s="2"/>
      <c r="E50" s="2"/>
      <c r="F50" s="2"/>
      <c r="G50" s="2"/>
      <c r="H50" s="501"/>
      <c r="I50" s="87"/>
      <c r="J50" s="2"/>
      <c r="K50" s="2"/>
      <c r="L50" s="2"/>
      <c r="M50" s="2"/>
      <c r="N50" s="502"/>
      <c r="O50" s="500"/>
      <c r="P50" s="87"/>
      <c r="Q50" s="2"/>
      <c r="R50" s="2"/>
      <c r="S50" s="2"/>
      <c r="T50" s="2"/>
      <c r="U50" s="502"/>
      <c r="V50" s="500"/>
      <c r="W50" s="87"/>
      <c r="X50" s="2"/>
      <c r="Y50" s="2"/>
      <c r="Z50" s="2"/>
      <c r="AA50" s="2"/>
      <c r="AB50" s="502"/>
      <c r="AC50" s="500"/>
      <c r="AD50" s="87"/>
      <c r="AE50" s="2"/>
      <c r="AF50" s="2"/>
      <c r="AG50" s="2"/>
      <c r="AH50" s="2"/>
    </row>
    <row r="51" spans="1:34" ht="9" customHeight="1" x14ac:dyDescent="0.4">
      <c r="A51" s="501"/>
      <c r="B51" s="87"/>
      <c r="C51" s="2"/>
      <c r="D51" s="2"/>
      <c r="E51" s="2"/>
      <c r="F51" s="2"/>
      <c r="G51" s="2"/>
      <c r="H51" s="501"/>
      <c r="I51" s="87"/>
      <c r="J51" s="2"/>
      <c r="K51" s="2"/>
      <c r="L51" s="2"/>
      <c r="M51" s="2"/>
      <c r="N51" s="502"/>
      <c r="O51" s="500"/>
      <c r="P51" s="87"/>
      <c r="Q51" s="2"/>
      <c r="R51" s="2"/>
      <c r="S51" s="2"/>
      <c r="T51" s="2"/>
      <c r="U51" s="502"/>
      <c r="V51" s="500"/>
      <c r="W51" s="87"/>
      <c r="X51" s="2"/>
      <c r="Y51" s="2"/>
      <c r="Z51" s="2"/>
      <c r="AA51" s="2"/>
      <c r="AB51" s="502"/>
      <c r="AC51" s="500"/>
      <c r="AD51" s="87"/>
      <c r="AE51" s="2"/>
      <c r="AF51" s="2"/>
      <c r="AG51" s="2"/>
      <c r="AH51" s="2"/>
    </row>
    <row r="52" spans="1:34" ht="9" customHeight="1" x14ac:dyDescent="0.4">
      <c r="A52" s="501"/>
      <c r="B52" s="87"/>
      <c r="C52" s="2"/>
      <c r="D52" s="2"/>
      <c r="E52" s="2"/>
      <c r="F52" s="2"/>
      <c r="G52" s="2"/>
      <c r="H52" s="501"/>
      <c r="I52" s="87"/>
      <c r="J52" s="2"/>
      <c r="K52" s="2"/>
      <c r="L52" s="2"/>
      <c r="M52" s="2"/>
      <c r="N52" s="502"/>
      <c r="O52" s="500"/>
      <c r="P52" s="87"/>
      <c r="Q52" s="2"/>
      <c r="R52" s="2"/>
      <c r="S52" s="2"/>
      <c r="T52" s="2"/>
      <c r="U52" s="502"/>
      <c r="V52" s="500"/>
      <c r="W52" s="87"/>
      <c r="X52" s="2"/>
      <c r="Y52" s="2"/>
      <c r="Z52" s="2"/>
      <c r="AA52" s="2"/>
      <c r="AB52" s="502"/>
      <c r="AC52" s="500"/>
      <c r="AD52" s="87"/>
      <c r="AE52" s="2"/>
      <c r="AF52" s="2"/>
      <c r="AG52" s="2"/>
      <c r="AH52" s="2"/>
    </row>
    <row r="53" spans="1:34" ht="9" customHeight="1" x14ac:dyDescent="0.4">
      <c r="A53" s="501"/>
      <c r="B53" s="87"/>
      <c r="C53" s="2"/>
      <c r="D53" s="2"/>
      <c r="E53" s="2"/>
      <c r="F53" s="2"/>
      <c r="G53" s="2"/>
      <c r="H53" s="501"/>
      <c r="I53" s="87"/>
      <c r="J53" s="2"/>
      <c r="K53" s="2"/>
      <c r="L53" s="2"/>
      <c r="M53" s="2"/>
      <c r="N53" s="502"/>
      <c r="O53" s="500"/>
      <c r="P53" s="87"/>
      <c r="Q53" s="2"/>
      <c r="R53" s="2"/>
      <c r="S53" s="2"/>
      <c r="T53" s="2"/>
      <c r="U53" s="502"/>
      <c r="V53" s="500"/>
      <c r="W53" s="87"/>
      <c r="X53" s="2"/>
      <c r="Y53" s="2"/>
      <c r="Z53" s="2"/>
      <c r="AA53" s="2"/>
      <c r="AB53" s="502"/>
      <c r="AC53" s="500"/>
      <c r="AD53" s="87"/>
      <c r="AE53" s="2"/>
      <c r="AF53" s="2"/>
      <c r="AG53" s="2"/>
      <c r="AH53" s="2"/>
    </row>
    <row r="54" spans="1:34" s="250" customFormat="1" ht="16.5" customHeight="1" x14ac:dyDescent="0.25">
      <c r="A54" s="347">
        <f>SUM(B54:F54)</f>
        <v>1090</v>
      </c>
      <c r="B54" s="347">
        <f>+VLOOKUP(B55,Recap_cde_A!$O$5:$T$57,6,FALSE)</f>
        <v>235</v>
      </c>
      <c r="C54" s="347">
        <f>+VLOOKUP(C55,Recap_cde_A!$O$5:$T$57,6,FALSE)</f>
        <v>294</v>
      </c>
      <c r="D54" s="347">
        <f>+VLOOKUP(D55,Recap_cde_A!$O$5:$T$57,6,FALSE)</f>
        <v>234</v>
      </c>
      <c r="E54" s="347">
        <f>+VLOOKUP(E55,Recap_cde_A!$O$5:$T$57,6,FALSE)</f>
        <v>327</v>
      </c>
      <c r="F54" s="347"/>
      <c r="G54" s="348"/>
      <c r="H54" s="347"/>
      <c r="I54" s="347"/>
      <c r="J54" s="347"/>
      <c r="K54" s="347"/>
      <c r="L54" s="347"/>
      <c r="M54" s="347"/>
      <c r="N54" s="348"/>
      <c r="O54" s="347"/>
      <c r="P54" s="347"/>
      <c r="Q54" s="347"/>
      <c r="R54" s="347"/>
      <c r="S54" s="347"/>
      <c r="T54" s="347"/>
      <c r="U54" s="348"/>
      <c r="V54" s="347"/>
      <c r="W54" s="347"/>
      <c r="X54" s="347"/>
      <c r="Y54" s="347"/>
      <c r="Z54" s="347"/>
      <c r="AA54" s="347"/>
      <c r="AB54" s="348"/>
      <c r="AC54" s="347">
        <f>SUM(AD54:AH54)</f>
        <v>1090</v>
      </c>
      <c r="AD54" s="347">
        <f>SUM(B54,I54,P54,W54)</f>
        <v>235</v>
      </c>
      <c r="AE54" s="347">
        <f t="shared" ref="AE54:AH54" si="0">SUM(C54,J54,Q54,X54)</f>
        <v>294</v>
      </c>
      <c r="AF54" s="347">
        <f t="shared" si="0"/>
        <v>234</v>
      </c>
      <c r="AG54" s="347">
        <f t="shared" si="0"/>
        <v>327</v>
      </c>
      <c r="AH54" s="347">
        <f t="shared" si="0"/>
        <v>0</v>
      </c>
    </row>
    <row r="55" spans="1:34" s="10" customFormat="1" ht="20.25" customHeight="1" x14ac:dyDescent="0.4">
      <c r="A55" s="160"/>
      <c r="B55" s="192">
        <v>6</v>
      </c>
      <c r="C55" s="138">
        <f>B55+1</f>
        <v>7</v>
      </c>
      <c r="D55" s="138">
        <f t="shared" ref="D55:E55" si="1">C55+1</f>
        <v>8</v>
      </c>
      <c r="E55" s="138">
        <f t="shared" si="1"/>
        <v>9</v>
      </c>
      <c r="F55" s="138"/>
      <c r="G55" s="156"/>
      <c r="H55" s="160"/>
      <c r="I55" s="138">
        <f>B55</f>
        <v>6</v>
      </c>
      <c r="J55" s="138">
        <f t="shared" ref="J55:M55" si="2">C55</f>
        <v>7</v>
      </c>
      <c r="K55" s="138">
        <f t="shared" si="2"/>
        <v>8</v>
      </c>
      <c r="L55" s="138">
        <f t="shared" si="2"/>
        <v>9</v>
      </c>
      <c r="M55" s="138">
        <f t="shared" si="2"/>
        <v>0</v>
      </c>
      <c r="N55" s="87"/>
      <c r="O55" s="19"/>
      <c r="P55" s="138">
        <f>I55</f>
        <v>6</v>
      </c>
      <c r="Q55" s="138">
        <f t="shared" ref="Q55:T55" si="3">J55</f>
        <v>7</v>
      </c>
      <c r="R55" s="138">
        <f t="shared" si="3"/>
        <v>8</v>
      </c>
      <c r="S55" s="138">
        <f t="shared" si="3"/>
        <v>9</v>
      </c>
      <c r="T55" s="138">
        <f t="shared" si="3"/>
        <v>0</v>
      </c>
      <c r="U55" s="87"/>
      <c r="V55" s="19"/>
      <c r="W55" s="138">
        <f>P55</f>
        <v>6</v>
      </c>
      <c r="X55" s="138">
        <f t="shared" ref="X55:AA55" si="4">Q55</f>
        <v>7</v>
      </c>
      <c r="Y55" s="138">
        <f t="shared" si="4"/>
        <v>8</v>
      </c>
      <c r="Z55" s="138">
        <f t="shared" si="4"/>
        <v>9</v>
      </c>
      <c r="AA55" s="138">
        <f t="shared" si="4"/>
        <v>0</v>
      </c>
      <c r="AB55" s="87"/>
      <c r="AC55" s="19"/>
      <c r="AD55" s="138">
        <f>W55</f>
        <v>6</v>
      </c>
      <c r="AE55" s="138">
        <f t="shared" ref="AE55:AH55" si="5">X55</f>
        <v>7</v>
      </c>
      <c r="AF55" s="138">
        <f t="shared" si="5"/>
        <v>8</v>
      </c>
      <c r="AG55" s="138">
        <f t="shared" si="5"/>
        <v>9</v>
      </c>
      <c r="AH55" s="138">
        <f t="shared" si="5"/>
        <v>0</v>
      </c>
    </row>
    <row r="56" spans="1:34" s="94" customFormat="1" ht="16.5" customHeight="1" x14ac:dyDescent="0.25">
      <c r="A56" s="506" t="s">
        <v>32</v>
      </c>
      <c r="B56" s="507">
        <f ca="1">VLOOKUP(B55,Recap_cde_A!$C$5:$K$57,6,FALSE)</f>
        <v>220</v>
      </c>
      <c r="C56" s="507">
        <f ca="1">VLOOKUP(C55,Recap_cde_A!$C$5:$K$57,6,FALSE)</f>
        <v>248</v>
      </c>
      <c r="D56" s="507">
        <f ca="1">VLOOKUP(D55,Recap_cde_A!$C$5:$K$57,6,FALSE)</f>
        <v>209</v>
      </c>
      <c r="E56" s="507">
        <f ca="1">VLOOKUP(E55,Recap_cde_A!$C$5:$K$57,6,FALSE)</f>
        <v>189</v>
      </c>
      <c r="F56" s="507"/>
      <c r="G56" s="139"/>
      <c r="H56" s="506" t="s">
        <v>38</v>
      </c>
      <c r="I56" s="507">
        <f ca="1">VLOOKUP(I55,Recap_cde_A!$C$5:$K$57,7,FALSE)</f>
        <v>86</v>
      </c>
      <c r="J56" s="507">
        <f ca="1">VLOOKUP(J55,Recap_cde_A!$C$5:$K$57,7,FALSE)</f>
        <v>110</v>
      </c>
      <c r="K56" s="507">
        <f ca="1">VLOOKUP(K55,Recap_cde_A!$C$5:$K$57,7,FALSE)</f>
        <v>84</v>
      </c>
      <c r="L56" s="507">
        <f ca="1">VLOOKUP(L55,Recap_cde_A!$C$5:$K$57,7,FALSE)</f>
        <v>123</v>
      </c>
      <c r="M56" s="507" t="e">
        <f>VLOOKUP(M55,Recap_cde_A!$C$5:$K$57,7,FALSE)</f>
        <v>#N/A</v>
      </c>
      <c r="N56" s="140"/>
      <c r="O56" s="506" t="s">
        <v>33</v>
      </c>
      <c r="P56" s="507">
        <f ca="1">VLOOKUP(P55,Recap_cde_A!$C$5:$K$57,8,FALSE)</f>
        <v>0</v>
      </c>
      <c r="Q56" s="507">
        <f ca="1">VLOOKUP(Q55,Recap_cde_A!$C$5:$K$57,8,FALSE)</f>
        <v>0</v>
      </c>
      <c r="R56" s="507">
        <f ca="1">VLOOKUP(R55,Recap_cde_A!$C$5:$K$57,8,FALSE)</f>
        <v>0</v>
      </c>
      <c r="S56" s="507">
        <f ca="1">VLOOKUP(S55,Recap_cde_A!$C$5:$K$57,8,FALSE)</f>
        <v>0</v>
      </c>
      <c r="T56" s="507" t="e">
        <f>VLOOKUP(T55,Recap_cde_A!$C$5:$K$57,8,FALSE)</f>
        <v>#N/A</v>
      </c>
      <c r="U56" s="140"/>
      <c r="V56" s="508" t="s">
        <v>39</v>
      </c>
      <c r="W56" s="507">
        <f ca="1">VLOOKUP(W55,Recap_cde_A!$C$5:$K$57,9,FALSE)</f>
        <v>0</v>
      </c>
      <c r="X56" s="507">
        <f ca="1">VLOOKUP(X55,Recap_cde_A!$C$5:$K$57,9,FALSE)</f>
        <v>0</v>
      </c>
      <c r="Y56" s="507">
        <f ca="1">VLOOKUP(Y55,Recap_cde_A!$C$5:$K$57,9,FALSE)</f>
        <v>0</v>
      </c>
      <c r="Z56" s="507">
        <f ca="1">VLOOKUP(Z55,Recap_cde_A!$C$5:$K$57,9,FALSE)</f>
        <v>0</v>
      </c>
      <c r="AA56" s="507" t="e">
        <f>VLOOKUP(AA55,Recap_cde_A!$C$5:$K$57,9,FALSE)</f>
        <v>#N/A</v>
      </c>
      <c r="AB56" s="140"/>
      <c r="AC56" s="512" t="s">
        <v>37</v>
      </c>
      <c r="AD56" s="511">
        <f ca="1">SUM(B56,I56,P56,W56)</f>
        <v>306</v>
      </c>
      <c r="AE56" s="511">
        <f t="shared" ref="AE56:AH56" ca="1" si="6">SUM(C56,J56,Q56,X56)</f>
        <v>358</v>
      </c>
      <c r="AF56" s="511">
        <f t="shared" ca="1" si="6"/>
        <v>293</v>
      </c>
      <c r="AG56" s="511">
        <f t="shared" ca="1" si="6"/>
        <v>312</v>
      </c>
      <c r="AH56" s="511" t="e">
        <f t="shared" si="6"/>
        <v>#N/A</v>
      </c>
    </row>
    <row r="57" spans="1:34" s="91" customFormat="1" ht="16.5" customHeight="1" x14ac:dyDescent="0.25">
      <c r="A57" s="506"/>
      <c r="B57" s="507"/>
      <c r="C57" s="507"/>
      <c r="D57" s="507"/>
      <c r="E57" s="507"/>
      <c r="F57" s="507"/>
      <c r="G57" s="139"/>
      <c r="H57" s="506"/>
      <c r="I57" s="507"/>
      <c r="J57" s="507"/>
      <c r="K57" s="507"/>
      <c r="L57" s="507"/>
      <c r="M57" s="507"/>
      <c r="N57" s="141"/>
      <c r="O57" s="506"/>
      <c r="P57" s="507"/>
      <c r="Q57" s="507"/>
      <c r="R57" s="507"/>
      <c r="S57" s="507"/>
      <c r="T57" s="507"/>
      <c r="U57" s="141"/>
      <c r="V57" s="509"/>
      <c r="W57" s="507"/>
      <c r="X57" s="507"/>
      <c r="Y57" s="507"/>
      <c r="Z57" s="507"/>
      <c r="AA57" s="507"/>
      <c r="AB57" s="141"/>
      <c r="AC57" s="512"/>
      <c r="AD57" s="511"/>
      <c r="AE57" s="511"/>
      <c r="AF57" s="511"/>
      <c r="AG57" s="511"/>
      <c r="AH57" s="511"/>
    </row>
    <row r="58" spans="1:34" s="2" customFormat="1" ht="16.5" customHeight="1" x14ac:dyDescent="0.25">
      <c r="A58" s="510" t="s">
        <v>31</v>
      </c>
      <c r="B58" s="507">
        <f ca="1">+B56</f>
        <v>220</v>
      </c>
      <c r="C58" s="507">
        <f ca="1">+B58+C56</f>
        <v>468</v>
      </c>
      <c r="D58" s="507">
        <f t="shared" ref="D58:E58" ca="1" si="7">+C58+D56</f>
        <v>677</v>
      </c>
      <c r="E58" s="507">
        <f t="shared" ca="1" si="7"/>
        <v>866</v>
      </c>
      <c r="F58" s="507"/>
      <c r="G58" s="139"/>
      <c r="H58" s="506" t="s">
        <v>31</v>
      </c>
      <c r="I58" s="507">
        <f ca="1">+I56</f>
        <v>86</v>
      </c>
      <c r="J58" s="507">
        <f ca="1">+I58+J56</f>
        <v>196</v>
      </c>
      <c r="K58" s="507">
        <f t="shared" ref="K58:L58" ca="1" si="8">+J58+K56</f>
        <v>280</v>
      </c>
      <c r="L58" s="507">
        <f t="shared" ca="1" si="8"/>
        <v>403</v>
      </c>
      <c r="M58" s="507"/>
      <c r="N58" s="141"/>
      <c r="O58" s="506" t="s">
        <v>31</v>
      </c>
      <c r="P58" s="507">
        <f ca="1">+P56</f>
        <v>0</v>
      </c>
      <c r="Q58" s="507">
        <f ca="1">+P58+Q56</f>
        <v>0</v>
      </c>
      <c r="R58" s="507">
        <f t="shared" ref="R58:S58" ca="1" si="9">+Q58+R56</f>
        <v>0</v>
      </c>
      <c r="S58" s="507">
        <f t="shared" ca="1" si="9"/>
        <v>0</v>
      </c>
      <c r="T58" s="507"/>
      <c r="U58" s="141"/>
      <c r="V58" s="508" t="s">
        <v>31</v>
      </c>
      <c r="W58" s="507">
        <f ca="1">+W56</f>
        <v>0</v>
      </c>
      <c r="X58" s="507">
        <f ca="1">+W58+X56</f>
        <v>0</v>
      </c>
      <c r="Y58" s="507">
        <f t="shared" ref="Y58:Z58" ca="1" si="10">+X58+Y56</f>
        <v>0</v>
      </c>
      <c r="Z58" s="507">
        <f t="shared" ca="1" si="10"/>
        <v>0</v>
      </c>
      <c r="AA58" s="507"/>
      <c r="AB58" s="141"/>
      <c r="AC58" s="512"/>
      <c r="AD58" s="513">
        <f ca="1">+AD56</f>
        <v>306</v>
      </c>
      <c r="AE58" s="513">
        <f ca="1">+AD58+AE56</f>
        <v>664</v>
      </c>
      <c r="AF58" s="513">
        <f t="shared" ref="AF58:AG58" ca="1" si="11">+AE58+AF56</f>
        <v>957</v>
      </c>
      <c r="AG58" s="513">
        <f t="shared" ca="1" si="11"/>
        <v>1269</v>
      </c>
      <c r="AH58" s="513" t="e">
        <f>SUM(F56,M56,T56,AA56,AH56)</f>
        <v>#N/A</v>
      </c>
    </row>
    <row r="59" spans="1:34" s="2" customFormat="1" ht="16.5" customHeight="1" x14ac:dyDescent="0.25">
      <c r="A59" s="510"/>
      <c r="B59" s="507"/>
      <c r="C59" s="507"/>
      <c r="D59" s="507"/>
      <c r="E59" s="507"/>
      <c r="F59" s="507"/>
      <c r="G59" s="139"/>
      <c r="H59" s="506"/>
      <c r="I59" s="507"/>
      <c r="J59" s="507"/>
      <c r="K59" s="507"/>
      <c r="L59" s="507"/>
      <c r="M59" s="507"/>
      <c r="N59" s="141"/>
      <c r="O59" s="506"/>
      <c r="P59" s="507"/>
      <c r="Q59" s="507"/>
      <c r="R59" s="507"/>
      <c r="S59" s="507"/>
      <c r="T59" s="507"/>
      <c r="U59" s="141"/>
      <c r="V59" s="509"/>
      <c r="W59" s="507"/>
      <c r="X59" s="507"/>
      <c r="Y59" s="507"/>
      <c r="Z59" s="507"/>
      <c r="AA59" s="507"/>
      <c r="AB59" s="141"/>
      <c r="AC59" s="512"/>
      <c r="AD59" s="513"/>
      <c r="AE59" s="513"/>
      <c r="AF59" s="513"/>
      <c r="AG59" s="513"/>
      <c r="AH59" s="513"/>
    </row>
    <row r="60" spans="1:34" s="2" customFormat="1" ht="16.5" customHeight="1" x14ac:dyDescent="0.25">
      <c r="A60" s="191"/>
      <c r="B60" s="113"/>
      <c r="C60" s="113"/>
      <c r="D60" s="113"/>
      <c r="E60" s="113"/>
      <c r="F60" s="113"/>
      <c r="G60" s="156"/>
      <c r="H60" s="191"/>
      <c r="I60" s="113"/>
      <c r="J60" s="113"/>
      <c r="K60" s="113"/>
      <c r="L60" s="113"/>
      <c r="M60" s="113"/>
      <c r="O60" s="191"/>
      <c r="P60" s="113"/>
      <c r="Q60" s="113"/>
      <c r="R60" s="113"/>
      <c r="S60" s="113"/>
      <c r="T60" s="113"/>
      <c r="V60" s="191"/>
      <c r="W60" s="113"/>
      <c r="X60" s="113"/>
      <c r="Y60" s="113"/>
      <c r="Z60" s="113"/>
      <c r="AA60" s="113"/>
      <c r="AC60" s="191"/>
      <c r="AD60" s="113"/>
      <c r="AE60" s="113"/>
      <c r="AF60" s="113"/>
      <c r="AG60" s="113"/>
      <c r="AH60" s="113"/>
    </row>
    <row r="61" spans="1:34" s="2" customFormat="1" ht="20.100000000000001" customHeight="1" x14ac:dyDescent="0.25">
      <c r="A61" s="191"/>
      <c r="B61" s="189"/>
      <c r="C61" s="189"/>
      <c r="D61" s="189"/>
      <c r="E61" s="189"/>
      <c r="F61" s="189"/>
      <c r="G61" s="139"/>
      <c r="H61" s="190"/>
      <c r="I61" s="189"/>
      <c r="J61" s="189"/>
      <c r="K61" s="189"/>
      <c r="L61" s="189"/>
      <c r="M61" s="189"/>
      <c r="N61" s="140"/>
      <c r="V61" s="191"/>
      <c r="W61" s="113"/>
      <c r="X61" s="113"/>
      <c r="Y61" s="113"/>
      <c r="Z61" s="113"/>
      <c r="AA61" s="113"/>
    </row>
    <row r="62" spans="1:34" s="2" customFormat="1" ht="20.100000000000001" customHeight="1" x14ac:dyDescent="0.25">
      <c r="A62" s="191"/>
      <c r="B62" s="189"/>
      <c r="C62" s="189"/>
      <c r="D62" s="189"/>
      <c r="E62" s="189"/>
      <c r="F62" s="189"/>
      <c r="G62" s="139"/>
      <c r="H62" s="190"/>
      <c r="I62" s="189"/>
      <c r="J62" s="189"/>
      <c r="K62" s="189"/>
      <c r="L62" s="189"/>
      <c r="M62" s="189"/>
      <c r="N62" s="141"/>
      <c r="V62" s="191"/>
      <c r="W62" s="113"/>
      <c r="X62" s="113"/>
      <c r="Y62" s="113"/>
      <c r="Z62" s="113"/>
      <c r="AA62" s="113"/>
    </row>
    <row r="63" spans="1:34" x14ac:dyDescent="0.35">
      <c r="AD63" t="s">
        <v>215</v>
      </c>
    </row>
    <row r="65" spans="1:34" x14ac:dyDescent="0.35">
      <c r="I65" s="18"/>
      <c r="J65" s="18"/>
      <c r="K65" s="18"/>
      <c r="L65" s="18"/>
      <c r="M65" s="18"/>
      <c r="P65" s="18"/>
      <c r="Q65" s="18"/>
      <c r="R65" s="18"/>
      <c r="S65" s="18"/>
      <c r="T65" s="18"/>
      <c r="W65" s="18"/>
      <c r="X65" s="18"/>
      <c r="Y65" s="18"/>
      <c r="Z65" s="18"/>
      <c r="AA65" s="18"/>
      <c r="AD65" s="18"/>
      <c r="AE65" s="18"/>
      <c r="AF65" s="18"/>
      <c r="AG65" s="18"/>
      <c r="AH65" s="18"/>
    </row>
    <row r="76" spans="1:34" ht="15.95" customHeight="1" x14ac:dyDescent="0.25">
      <c r="A76" s="48"/>
      <c r="B76" s="48"/>
      <c r="C76" s="48"/>
      <c r="D76" s="48"/>
      <c r="E76" s="48"/>
      <c r="F76" s="48"/>
      <c r="G76" s="62"/>
      <c r="H76" s="148"/>
      <c r="I76" s="48"/>
      <c r="J76" s="48"/>
      <c r="K76" s="48"/>
      <c r="L76" s="48"/>
      <c r="M76" s="48"/>
      <c r="N76" s="48"/>
      <c r="O76" s="148"/>
      <c r="P76" s="48"/>
      <c r="Q76" s="48"/>
      <c r="R76" s="48"/>
      <c r="S76" s="48"/>
      <c r="T76" s="48"/>
      <c r="U76" s="48"/>
      <c r="V76" s="148"/>
      <c r="W76" s="48"/>
      <c r="X76" s="48"/>
      <c r="Y76" s="48"/>
      <c r="Z76" s="48"/>
      <c r="AA76" s="48"/>
      <c r="AB76" s="48"/>
      <c r="AC76" s="148"/>
      <c r="AD76" s="48"/>
      <c r="AE76" s="48"/>
      <c r="AF76" s="48"/>
      <c r="AG76" s="48"/>
      <c r="AH76" s="48"/>
    </row>
    <row r="77" spans="1:34" ht="15.95" customHeight="1" x14ac:dyDescent="0.25">
      <c r="A77" s="418" t="s">
        <v>19</v>
      </c>
      <c r="B77" s="418"/>
      <c r="C77" s="418"/>
      <c r="D77" s="418"/>
      <c r="E77" s="418"/>
      <c r="F77" s="418"/>
      <c r="G77" s="464" t="str">
        <f>+'Indicateur Cde CCE P'!G78</f>
        <v>FEVRIER</v>
      </c>
      <c r="H77" s="464"/>
      <c r="I77" s="464"/>
      <c r="J77" s="464"/>
      <c r="K77" s="464"/>
      <c r="L77" s="464"/>
      <c r="M77" s="464"/>
      <c r="N77" s="464"/>
      <c r="O77" s="464"/>
      <c r="P77" s="188"/>
      <c r="Q77" s="188"/>
      <c r="R77" s="188"/>
      <c r="S77" s="188"/>
      <c r="T77" s="188"/>
      <c r="U77" s="188"/>
      <c r="V77" s="150"/>
      <c r="W77" s="188"/>
      <c r="X77" s="188"/>
      <c r="Y77" s="188"/>
      <c r="Z77" s="188"/>
      <c r="AA77" s="188"/>
      <c r="AB77" s="188"/>
      <c r="AC77" s="150"/>
      <c r="AD77" s="188"/>
      <c r="AE77" s="188"/>
      <c r="AF77" s="188"/>
      <c r="AG77" s="188"/>
      <c r="AH77" s="188"/>
    </row>
    <row r="78" spans="1:34" ht="15.95" customHeight="1" x14ac:dyDescent="0.25">
      <c r="A78" s="418"/>
      <c r="B78" s="418"/>
      <c r="C78" s="418"/>
      <c r="D78" s="418"/>
      <c r="E78" s="418"/>
      <c r="F78" s="418"/>
      <c r="G78" s="464"/>
      <c r="H78" s="464"/>
      <c r="I78" s="464"/>
      <c r="J78" s="464"/>
      <c r="K78" s="464"/>
      <c r="L78" s="464"/>
      <c r="M78" s="464"/>
      <c r="N78" s="464"/>
      <c r="O78" s="464"/>
      <c r="P78" s="188"/>
      <c r="Q78" s="188"/>
      <c r="R78" s="188"/>
      <c r="S78" s="188"/>
      <c r="T78" s="188"/>
      <c r="U78" s="188"/>
      <c r="V78" s="150"/>
      <c r="W78" s="188"/>
      <c r="X78" s="188"/>
      <c r="Y78" s="188"/>
      <c r="Z78" s="188"/>
      <c r="AA78" s="188"/>
      <c r="AB78" s="188"/>
      <c r="AC78" s="150"/>
      <c r="AD78" s="188"/>
      <c r="AE78" s="188"/>
      <c r="AF78" s="188"/>
      <c r="AG78" s="188"/>
      <c r="AH78" s="188"/>
    </row>
    <row r="79" spans="1:34" ht="15.95" customHeight="1" x14ac:dyDescent="0.25">
      <c r="A79" s="418"/>
      <c r="B79" s="418"/>
      <c r="C79" s="418"/>
      <c r="D79" s="418"/>
      <c r="E79" s="418"/>
      <c r="F79" s="418"/>
      <c r="G79" s="464"/>
      <c r="H79" s="464"/>
      <c r="I79" s="464"/>
      <c r="J79" s="464"/>
      <c r="K79" s="464"/>
      <c r="L79" s="464"/>
      <c r="M79" s="464"/>
      <c r="N79" s="464"/>
      <c r="O79" s="464"/>
      <c r="P79" s="188"/>
      <c r="Q79" s="188"/>
      <c r="R79" s="188"/>
      <c r="S79" s="188"/>
      <c r="T79" s="188"/>
      <c r="U79" s="188"/>
      <c r="V79" s="150"/>
      <c r="W79" s="188"/>
      <c r="X79" s="188"/>
      <c r="Y79" s="188"/>
      <c r="Z79" s="188"/>
      <c r="AA79" s="188"/>
      <c r="AB79" s="188"/>
      <c r="AC79" s="150"/>
      <c r="AD79" s="188"/>
      <c r="AE79" s="188"/>
      <c r="AF79" s="188"/>
      <c r="AG79" s="188"/>
      <c r="AH79" s="188"/>
    </row>
    <row r="80" spans="1:34" ht="15.95" customHeight="1" x14ac:dyDescent="0.25">
      <c r="A80" s="50"/>
      <c r="B80" s="50"/>
      <c r="C80" s="50"/>
      <c r="D80" s="50"/>
      <c r="E80" s="50"/>
      <c r="F80" s="50"/>
      <c r="G80" s="61"/>
      <c r="H80" s="149"/>
      <c r="I80" s="50"/>
      <c r="J80" s="50"/>
      <c r="K80" s="50"/>
      <c r="L80" s="50"/>
      <c r="M80" s="50"/>
      <c r="N80" s="50"/>
      <c r="O80" s="149"/>
      <c r="P80" s="50"/>
      <c r="Q80" s="50"/>
      <c r="R80" s="50"/>
      <c r="S80" s="50"/>
      <c r="T80" s="50"/>
      <c r="U80" s="50"/>
      <c r="V80" s="149"/>
      <c r="W80" s="50"/>
      <c r="X80" s="50"/>
      <c r="Y80" s="50"/>
      <c r="Z80" s="50"/>
      <c r="AA80" s="50"/>
      <c r="AB80" s="50"/>
      <c r="AC80" s="149"/>
      <c r="AD80" s="50"/>
      <c r="AE80" s="50"/>
      <c r="AF80" s="50"/>
      <c r="AG80" s="50"/>
      <c r="AH80" s="50"/>
    </row>
    <row r="81" spans="2:2" ht="16.5" customHeight="1" x14ac:dyDescent="0.35">
      <c r="B81" s="4"/>
    </row>
  </sheetData>
  <mergeCells count="238">
    <mergeCell ref="AE58:AE59"/>
    <mergeCell ref="AF58:AF59"/>
    <mergeCell ref="AG58:AG59"/>
    <mergeCell ref="AH58:AH59"/>
    <mergeCell ref="A77:F79"/>
    <mergeCell ref="G77:O79"/>
    <mergeCell ref="V58:V59"/>
    <mergeCell ref="W58:W59"/>
    <mergeCell ref="X58:X59"/>
    <mergeCell ref="Y58:Y59"/>
    <mergeCell ref="Z58:Z59"/>
    <mergeCell ref="AA58:AA59"/>
    <mergeCell ref="O58:O59"/>
    <mergeCell ref="P58:P59"/>
    <mergeCell ref="Q58:Q59"/>
    <mergeCell ref="R58:R59"/>
    <mergeCell ref="S58:S59"/>
    <mergeCell ref="T58:T59"/>
    <mergeCell ref="H58:H59"/>
    <mergeCell ref="I58:I59"/>
    <mergeCell ref="J58:J59"/>
    <mergeCell ref="K58:K59"/>
    <mergeCell ref="L58:L59"/>
    <mergeCell ref="M58:M59"/>
    <mergeCell ref="AE56:AE57"/>
    <mergeCell ref="AF56:AF57"/>
    <mergeCell ref="AG56:AG57"/>
    <mergeCell ref="AH56:AH57"/>
    <mergeCell ref="A58:A59"/>
    <mergeCell ref="B58:B59"/>
    <mergeCell ref="C58:C59"/>
    <mergeCell ref="D58:D59"/>
    <mergeCell ref="E58:E59"/>
    <mergeCell ref="F58:F59"/>
    <mergeCell ref="X56:X57"/>
    <mergeCell ref="Y56:Y57"/>
    <mergeCell ref="Z56:Z57"/>
    <mergeCell ref="AA56:AA57"/>
    <mergeCell ref="AC56:AC59"/>
    <mergeCell ref="AD56:AD57"/>
    <mergeCell ref="AD58:AD59"/>
    <mergeCell ref="Q56:Q57"/>
    <mergeCell ref="R56:R57"/>
    <mergeCell ref="S56:S57"/>
    <mergeCell ref="T56:T57"/>
    <mergeCell ref="V56:V57"/>
    <mergeCell ref="W56:W57"/>
    <mergeCell ref="J56:J57"/>
    <mergeCell ref="K56:K57"/>
    <mergeCell ref="L56:L57"/>
    <mergeCell ref="M56:M57"/>
    <mergeCell ref="O56:O57"/>
    <mergeCell ref="P56:P57"/>
    <mergeCell ref="A56:A57"/>
    <mergeCell ref="B56:B57"/>
    <mergeCell ref="C56:C57"/>
    <mergeCell ref="D56:D57"/>
    <mergeCell ref="E56:E57"/>
    <mergeCell ref="F56:F57"/>
    <mergeCell ref="H56:H57"/>
    <mergeCell ref="I56:I57"/>
    <mergeCell ref="AB50:AB51"/>
    <mergeCell ref="AC50:AC51"/>
    <mergeCell ref="A52:A53"/>
    <mergeCell ref="H52:H53"/>
    <mergeCell ref="N52:N53"/>
    <mergeCell ref="O52:O53"/>
    <mergeCell ref="U52:U53"/>
    <mergeCell ref="V52:V53"/>
    <mergeCell ref="AB52:AB53"/>
    <mergeCell ref="AC52:AC53"/>
    <mergeCell ref="A50:A51"/>
    <mergeCell ref="H50:H51"/>
    <mergeCell ref="N50:N51"/>
    <mergeCell ref="O50:O51"/>
    <mergeCell ref="U50:U51"/>
    <mergeCell ref="V50:V51"/>
    <mergeCell ref="AB46:AB47"/>
    <mergeCell ref="AC46:AC47"/>
    <mergeCell ref="A48:A49"/>
    <mergeCell ref="H48:H49"/>
    <mergeCell ref="N48:N49"/>
    <mergeCell ref="O48:O49"/>
    <mergeCell ref="U48:U49"/>
    <mergeCell ref="V48:V49"/>
    <mergeCell ref="AB48:AB49"/>
    <mergeCell ref="AC48:AC49"/>
    <mergeCell ref="A46:A47"/>
    <mergeCell ref="H46:H47"/>
    <mergeCell ref="N46:N47"/>
    <mergeCell ref="O46:O47"/>
    <mergeCell ref="U46:U47"/>
    <mergeCell ref="V46:V47"/>
    <mergeCell ref="AB42:AB43"/>
    <mergeCell ref="AC42:AC43"/>
    <mergeCell ref="A44:A45"/>
    <mergeCell ref="H44:H45"/>
    <mergeCell ref="N44:N45"/>
    <mergeCell ref="O44:O45"/>
    <mergeCell ref="U44:U45"/>
    <mergeCell ref="V44:V45"/>
    <mergeCell ref="AB44:AB45"/>
    <mergeCell ref="AC44:AC45"/>
    <mergeCell ref="A42:A43"/>
    <mergeCell ref="H42:H43"/>
    <mergeCell ref="N42:N43"/>
    <mergeCell ref="O42:O43"/>
    <mergeCell ref="U42:U43"/>
    <mergeCell ref="V42:V43"/>
    <mergeCell ref="AB38:AB39"/>
    <mergeCell ref="AC38:AC39"/>
    <mergeCell ref="A40:A41"/>
    <mergeCell ref="H40:H41"/>
    <mergeCell ref="N40:N41"/>
    <mergeCell ref="O40:O41"/>
    <mergeCell ref="U40:U41"/>
    <mergeCell ref="V40:V41"/>
    <mergeCell ref="AB40:AB41"/>
    <mergeCell ref="AC40:AC41"/>
    <mergeCell ref="A38:A39"/>
    <mergeCell ref="H38:H39"/>
    <mergeCell ref="N38:N39"/>
    <mergeCell ref="O38:O39"/>
    <mergeCell ref="U38:U39"/>
    <mergeCell ref="V38:V39"/>
    <mergeCell ref="AB34:AB35"/>
    <mergeCell ref="AC34:AC35"/>
    <mergeCell ref="A36:A37"/>
    <mergeCell ref="H36:H37"/>
    <mergeCell ref="N36:N37"/>
    <mergeCell ref="O36:O37"/>
    <mergeCell ref="U36:U37"/>
    <mergeCell ref="V36:V37"/>
    <mergeCell ref="AB36:AB37"/>
    <mergeCell ref="AC36:AC37"/>
    <mergeCell ref="A34:A35"/>
    <mergeCell ref="H34:H35"/>
    <mergeCell ref="N34:N35"/>
    <mergeCell ref="O34:O35"/>
    <mergeCell ref="U34:U35"/>
    <mergeCell ref="V34:V35"/>
    <mergeCell ref="AB30:AB31"/>
    <mergeCell ref="AC30:AC31"/>
    <mergeCell ref="A32:A33"/>
    <mergeCell ref="H32:H33"/>
    <mergeCell ref="N32:N33"/>
    <mergeCell ref="O32:O33"/>
    <mergeCell ref="U32:U33"/>
    <mergeCell ref="V32:V33"/>
    <mergeCell ref="AB32:AB33"/>
    <mergeCell ref="AC32:AC33"/>
    <mergeCell ref="A30:A31"/>
    <mergeCell ref="H30:H31"/>
    <mergeCell ref="N30:N31"/>
    <mergeCell ref="O30:O31"/>
    <mergeCell ref="U30:U31"/>
    <mergeCell ref="V30:V31"/>
    <mergeCell ref="AB26:AB27"/>
    <mergeCell ref="AC26:AC27"/>
    <mergeCell ref="A28:A29"/>
    <mergeCell ref="H28:H29"/>
    <mergeCell ref="N28:N29"/>
    <mergeCell ref="O28:O29"/>
    <mergeCell ref="U28:U29"/>
    <mergeCell ref="V28:V29"/>
    <mergeCell ref="AB28:AB29"/>
    <mergeCell ref="AC28:AC29"/>
    <mergeCell ref="A26:A27"/>
    <mergeCell ref="H26:H27"/>
    <mergeCell ref="N26:N27"/>
    <mergeCell ref="O26:O27"/>
    <mergeCell ref="U26:U27"/>
    <mergeCell ref="V26:V27"/>
    <mergeCell ref="AB22:AB23"/>
    <mergeCell ref="AC22:AC23"/>
    <mergeCell ref="A24:A25"/>
    <mergeCell ref="H24:H25"/>
    <mergeCell ref="N24:N25"/>
    <mergeCell ref="O24:O25"/>
    <mergeCell ref="U24:U25"/>
    <mergeCell ref="V24:V25"/>
    <mergeCell ref="AB24:AB25"/>
    <mergeCell ref="AC24:AC25"/>
    <mergeCell ref="A22:A23"/>
    <mergeCell ref="H22:H23"/>
    <mergeCell ref="N22:N23"/>
    <mergeCell ref="O22:O23"/>
    <mergeCell ref="U22:U23"/>
    <mergeCell ref="V22:V23"/>
    <mergeCell ref="AB18:AB19"/>
    <mergeCell ref="AC18:AC19"/>
    <mergeCell ref="A20:A21"/>
    <mergeCell ref="H20:H21"/>
    <mergeCell ref="N20:N21"/>
    <mergeCell ref="O20:O21"/>
    <mergeCell ref="U20:U21"/>
    <mergeCell ref="V20:V21"/>
    <mergeCell ref="AB20:AB21"/>
    <mergeCell ref="AC20:AC21"/>
    <mergeCell ref="A18:A19"/>
    <mergeCell ref="H18:H19"/>
    <mergeCell ref="N18:N19"/>
    <mergeCell ref="O18:O19"/>
    <mergeCell ref="U18:U19"/>
    <mergeCell ref="V18:V19"/>
    <mergeCell ref="A12:A13"/>
    <mergeCell ref="H12:H13"/>
    <mergeCell ref="N12:N13"/>
    <mergeCell ref="O12:O13"/>
    <mergeCell ref="U12:U13"/>
    <mergeCell ref="AC14:AC15"/>
    <mergeCell ref="A16:A17"/>
    <mergeCell ref="H16:H17"/>
    <mergeCell ref="O16:O17"/>
    <mergeCell ref="V16:V17"/>
    <mergeCell ref="AC16:AC17"/>
    <mergeCell ref="V12:V13"/>
    <mergeCell ref="AB12:AB13"/>
    <mergeCell ref="AC12:AC13"/>
    <mergeCell ref="A14:A15"/>
    <mergeCell ref="H14:H15"/>
    <mergeCell ref="N14:N15"/>
    <mergeCell ref="O14:O15"/>
    <mergeCell ref="U14:U15"/>
    <mergeCell ref="V14:V15"/>
    <mergeCell ref="AB14:AB15"/>
    <mergeCell ref="A1:AD5"/>
    <mergeCell ref="A7:AH7"/>
    <mergeCell ref="A9:F9"/>
    <mergeCell ref="H9:M9"/>
    <mergeCell ref="V9:AA9"/>
    <mergeCell ref="AD9:AH9"/>
    <mergeCell ref="O9:T9"/>
    <mergeCell ref="A10:A11"/>
    <mergeCell ref="H10:H11"/>
    <mergeCell ref="O10:O11"/>
    <mergeCell ref="V10:V11"/>
    <mergeCell ref="AC10:AC11"/>
  </mergeCells>
  <printOptions horizontalCentered="1" verticalCentered="1"/>
  <pageMargins left="0.19685039370078741" right="0.19685039370078741" top="0" bottom="0" header="0" footer="0"/>
  <pageSetup paperSize="8" scale="7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249977111117893"/>
    <pageSetUpPr fitToPage="1"/>
  </sheetPr>
  <dimension ref="A1:AP107"/>
  <sheetViews>
    <sheetView topLeftCell="A43" zoomScale="57" zoomScaleNormal="57" workbookViewId="0">
      <selection activeCell="P40" sqref="P40"/>
    </sheetView>
  </sheetViews>
  <sheetFormatPr baseColWidth="10" defaultRowHeight="21" x14ac:dyDescent="0.35"/>
  <cols>
    <col min="1" max="1" width="10.7109375" customWidth="1"/>
    <col min="2" max="2" width="10.7109375" style="147" customWidth="1"/>
    <col min="3" max="9" width="10.7109375" customWidth="1"/>
    <col min="10" max="10" width="10.7109375" style="147" customWidth="1"/>
    <col min="11" max="16" width="10.7109375" customWidth="1"/>
    <col min="17" max="17" width="13.7109375" customWidth="1"/>
    <col min="18" max="18" width="14.5703125" style="147" customWidth="1"/>
    <col min="19" max="21" width="14.28515625" customWidth="1"/>
    <col min="22" max="23" width="13.7109375" customWidth="1"/>
    <col min="24" max="28" width="6.7109375" customWidth="1"/>
    <col min="232" max="232" width="4.140625" customWidth="1"/>
    <col min="233" max="233" width="4" customWidth="1"/>
    <col min="234" max="234" width="4.140625" customWidth="1"/>
    <col min="235" max="235" width="3.85546875" customWidth="1"/>
    <col min="236" max="244" width="4.140625" customWidth="1"/>
    <col min="245" max="245" width="3.7109375" customWidth="1"/>
    <col min="246" max="276" width="4.42578125" customWidth="1"/>
    <col min="488" max="488" width="4.140625" customWidth="1"/>
    <col min="489" max="489" width="4" customWidth="1"/>
    <col min="490" max="490" width="4.140625" customWidth="1"/>
    <col min="491" max="491" width="3.85546875" customWidth="1"/>
    <col min="492" max="500" width="4.140625" customWidth="1"/>
    <col min="501" max="501" width="3.7109375" customWidth="1"/>
    <col min="502" max="532" width="4.42578125" customWidth="1"/>
    <col min="744" max="744" width="4.140625" customWidth="1"/>
    <col min="745" max="745" width="4" customWidth="1"/>
    <col min="746" max="746" width="4.140625" customWidth="1"/>
    <col min="747" max="747" width="3.85546875" customWidth="1"/>
    <col min="748" max="756" width="4.140625" customWidth="1"/>
    <col min="757" max="757" width="3.7109375" customWidth="1"/>
    <col min="758" max="788" width="4.42578125" customWidth="1"/>
    <col min="1000" max="1000" width="4.140625" customWidth="1"/>
    <col min="1001" max="1001" width="4" customWidth="1"/>
    <col min="1002" max="1002" width="4.140625" customWidth="1"/>
    <col min="1003" max="1003" width="3.85546875" customWidth="1"/>
    <col min="1004" max="1012" width="4.140625" customWidth="1"/>
    <col min="1013" max="1013" width="3.7109375" customWidth="1"/>
    <col min="1014" max="1044" width="4.42578125" customWidth="1"/>
    <col min="1256" max="1256" width="4.140625" customWidth="1"/>
    <col min="1257" max="1257" width="4" customWidth="1"/>
    <col min="1258" max="1258" width="4.140625" customWidth="1"/>
    <col min="1259" max="1259" width="3.85546875" customWidth="1"/>
    <col min="1260" max="1268" width="4.140625" customWidth="1"/>
    <col min="1269" max="1269" width="3.7109375" customWidth="1"/>
    <col min="1270" max="1300" width="4.42578125" customWidth="1"/>
    <col min="1512" max="1512" width="4.140625" customWidth="1"/>
    <col min="1513" max="1513" width="4" customWidth="1"/>
    <col min="1514" max="1514" width="4.140625" customWidth="1"/>
    <col min="1515" max="1515" width="3.85546875" customWidth="1"/>
    <col min="1516" max="1524" width="4.140625" customWidth="1"/>
    <col min="1525" max="1525" width="3.7109375" customWidth="1"/>
    <col min="1526" max="1556" width="4.42578125" customWidth="1"/>
    <col min="1768" max="1768" width="4.140625" customWidth="1"/>
    <col min="1769" max="1769" width="4" customWidth="1"/>
    <col min="1770" max="1770" width="4.140625" customWidth="1"/>
    <col min="1771" max="1771" width="3.85546875" customWidth="1"/>
    <col min="1772" max="1780" width="4.140625" customWidth="1"/>
    <col min="1781" max="1781" width="3.7109375" customWidth="1"/>
    <col min="1782" max="1812" width="4.42578125" customWidth="1"/>
    <col min="2024" max="2024" width="4.140625" customWidth="1"/>
    <col min="2025" max="2025" width="4" customWidth="1"/>
    <col min="2026" max="2026" width="4.140625" customWidth="1"/>
    <col min="2027" max="2027" width="3.85546875" customWidth="1"/>
    <col min="2028" max="2036" width="4.140625" customWidth="1"/>
    <col min="2037" max="2037" width="3.7109375" customWidth="1"/>
    <col min="2038" max="2068" width="4.42578125" customWidth="1"/>
    <col min="2280" max="2280" width="4.140625" customWidth="1"/>
    <col min="2281" max="2281" width="4" customWidth="1"/>
    <col min="2282" max="2282" width="4.140625" customWidth="1"/>
    <col min="2283" max="2283" width="3.85546875" customWidth="1"/>
    <col min="2284" max="2292" width="4.140625" customWidth="1"/>
    <col min="2293" max="2293" width="3.7109375" customWidth="1"/>
    <col min="2294" max="2324" width="4.42578125" customWidth="1"/>
    <col min="2536" max="2536" width="4.140625" customWidth="1"/>
    <col min="2537" max="2537" width="4" customWidth="1"/>
    <col min="2538" max="2538" width="4.140625" customWidth="1"/>
    <col min="2539" max="2539" width="3.85546875" customWidth="1"/>
    <col min="2540" max="2548" width="4.140625" customWidth="1"/>
    <col min="2549" max="2549" width="3.7109375" customWidth="1"/>
    <col min="2550" max="2580" width="4.42578125" customWidth="1"/>
    <col min="2792" max="2792" width="4.140625" customWidth="1"/>
    <col min="2793" max="2793" width="4" customWidth="1"/>
    <col min="2794" max="2794" width="4.140625" customWidth="1"/>
    <col min="2795" max="2795" width="3.85546875" customWidth="1"/>
    <col min="2796" max="2804" width="4.140625" customWidth="1"/>
    <col min="2805" max="2805" width="3.7109375" customWidth="1"/>
    <col min="2806" max="2836" width="4.42578125" customWidth="1"/>
    <col min="3048" max="3048" width="4.140625" customWidth="1"/>
    <col min="3049" max="3049" width="4" customWidth="1"/>
    <col min="3050" max="3050" width="4.140625" customWidth="1"/>
    <col min="3051" max="3051" width="3.85546875" customWidth="1"/>
    <col min="3052" max="3060" width="4.140625" customWidth="1"/>
    <col min="3061" max="3061" width="3.7109375" customWidth="1"/>
    <col min="3062" max="3092" width="4.42578125" customWidth="1"/>
    <col min="3304" max="3304" width="4.140625" customWidth="1"/>
    <col min="3305" max="3305" width="4" customWidth="1"/>
    <col min="3306" max="3306" width="4.140625" customWidth="1"/>
    <col min="3307" max="3307" width="3.85546875" customWidth="1"/>
    <col min="3308" max="3316" width="4.140625" customWidth="1"/>
    <col min="3317" max="3317" width="3.7109375" customWidth="1"/>
    <col min="3318" max="3348" width="4.42578125" customWidth="1"/>
    <col min="3560" max="3560" width="4.140625" customWidth="1"/>
    <col min="3561" max="3561" width="4" customWidth="1"/>
    <col min="3562" max="3562" width="4.140625" customWidth="1"/>
    <col min="3563" max="3563" width="3.85546875" customWidth="1"/>
    <col min="3564" max="3572" width="4.140625" customWidth="1"/>
    <col min="3573" max="3573" width="3.7109375" customWidth="1"/>
    <col min="3574" max="3604" width="4.42578125" customWidth="1"/>
    <col min="3816" max="3816" width="4.140625" customWidth="1"/>
    <col min="3817" max="3817" width="4" customWidth="1"/>
    <col min="3818" max="3818" width="4.140625" customWidth="1"/>
    <col min="3819" max="3819" width="3.85546875" customWidth="1"/>
    <col min="3820" max="3828" width="4.140625" customWidth="1"/>
    <col min="3829" max="3829" width="3.7109375" customWidth="1"/>
    <col min="3830" max="3860" width="4.42578125" customWidth="1"/>
    <col min="4072" max="4072" width="4.140625" customWidth="1"/>
    <col min="4073" max="4073" width="4" customWidth="1"/>
    <col min="4074" max="4074" width="4.140625" customWidth="1"/>
    <col min="4075" max="4075" width="3.85546875" customWidth="1"/>
    <col min="4076" max="4084" width="4.140625" customWidth="1"/>
    <col min="4085" max="4085" width="3.7109375" customWidth="1"/>
    <col min="4086" max="4116" width="4.42578125" customWidth="1"/>
    <col min="4328" max="4328" width="4.140625" customWidth="1"/>
    <col min="4329" max="4329" width="4" customWidth="1"/>
    <col min="4330" max="4330" width="4.140625" customWidth="1"/>
    <col min="4331" max="4331" width="3.85546875" customWidth="1"/>
    <col min="4332" max="4340" width="4.140625" customWidth="1"/>
    <col min="4341" max="4341" width="3.7109375" customWidth="1"/>
    <col min="4342" max="4372" width="4.42578125" customWidth="1"/>
    <col min="4584" max="4584" width="4.140625" customWidth="1"/>
    <col min="4585" max="4585" width="4" customWidth="1"/>
    <col min="4586" max="4586" width="4.140625" customWidth="1"/>
    <col min="4587" max="4587" width="3.85546875" customWidth="1"/>
    <col min="4588" max="4596" width="4.140625" customWidth="1"/>
    <col min="4597" max="4597" width="3.7109375" customWidth="1"/>
    <col min="4598" max="4628" width="4.42578125" customWidth="1"/>
    <col min="4840" max="4840" width="4.140625" customWidth="1"/>
    <col min="4841" max="4841" width="4" customWidth="1"/>
    <col min="4842" max="4842" width="4.140625" customWidth="1"/>
    <col min="4843" max="4843" width="3.85546875" customWidth="1"/>
    <col min="4844" max="4852" width="4.140625" customWidth="1"/>
    <col min="4853" max="4853" width="3.7109375" customWidth="1"/>
    <col min="4854" max="4884" width="4.42578125" customWidth="1"/>
    <col min="5096" max="5096" width="4.140625" customWidth="1"/>
    <col min="5097" max="5097" width="4" customWidth="1"/>
    <col min="5098" max="5098" width="4.140625" customWidth="1"/>
    <col min="5099" max="5099" width="3.85546875" customWidth="1"/>
    <col min="5100" max="5108" width="4.140625" customWidth="1"/>
    <col min="5109" max="5109" width="3.7109375" customWidth="1"/>
    <col min="5110" max="5140" width="4.42578125" customWidth="1"/>
    <col min="5352" max="5352" width="4.140625" customWidth="1"/>
    <col min="5353" max="5353" width="4" customWidth="1"/>
    <col min="5354" max="5354" width="4.140625" customWidth="1"/>
    <col min="5355" max="5355" width="3.85546875" customWidth="1"/>
    <col min="5356" max="5364" width="4.140625" customWidth="1"/>
    <col min="5365" max="5365" width="3.7109375" customWidth="1"/>
    <col min="5366" max="5396" width="4.42578125" customWidth="1"/>
    <col min="5608" max="5608" width="4.140625" customWidth="1"/>
    <col min="5609" max="5609" width="4" customWidth="1"/>
    <col min="5610" max="5610" width="4.140625" customWidth="1"/>
    <col min="5611" max="5611" width="3.85546875" customWidth="1"/>
    <col min="5612" max="5620" width="4.140625" customWidth="1"/>
    <col min="5621" max="5621" width="3.7109375" customWidth="1"/>
    <col min="5622" max="5652" width="4.42578125" customWidth="1"/>
    <col min="5864" max="5864" width="4.140625" customWidth="1"/>
    <col min="5865" max="5865" width="4" customWidth="1"/>
    <col min="5866" max="5866" width="4.140625" customWidth="1"/>
    <col min="5867" max="5867" width="3.85546875" customWidth="1"/>
    <col min="5868" max="5876" width="4.140625" customWidth="1"/>
    <col min="5877" max="5877" width="3.7109375" customWidth="1"/>
    <col min="5878" max="5908" width="4.42578125" customWidth="1"/>
    <col min="6120" max="6120" width="4.140625" customWidth="1"/>
    <col min="6121" max="6121" width="4" customWidth="1"/>
    <col min="6122" max="6122" width="4.140625" customWidth="1"/>
    <col min="6123" max="6123" width="3.85546875" customWidth="1"/>
    <col min="6124" max="6132" width="4.140625" customWidth="1"/>
    <col min="6133" max="6133" width="3.7109375" customWidth="1"/>
    <col min="6134" max="6164" width="4.42578125" customWidth="1"/>
    <col min="6376" max="6376" width="4.140625" customWidth="1"/>
    <col min="6377" max="6377" width="4" customWidth="1"/>
    <col min="6378" max="6378" width="4.140625" customWidth="1"/>
    <col min="6379" max="6379" width="3.85546875" customWidth="1"/>
    <col min="6380" max="6388" width="4.140625" customWidth="1"/>
    <col min="6389" max="6389" width="3.7109375" customWidth="1"/>
    <col min="6390" max="6420" width="4.42578125" customWidth="1"/>
    <col min="6632" max="6632" width="4.140625" customWidth="1"/>
    <col min="6633" max="6633" width="4" customWidth="1"/>
    <col min="6634" max="6634" width="4.140625" customWidth="1"/>
    <col min="6635" max="6635" width="3.85546875" customWidth="1"/>
    <col min="6636" max="6644" width="4.140625" customWidth="1"/>
    <col min="6645" max="6645" width="3.7109375" customWidth="1"/>
    <col min="6646" max="6676" width="4.42578125" customWidth="1"/>
    <col min="6888" max="6888" width="4.140625" customWidth="1"/>
    <col min="6889" max="6889" width="4" customWidth="1"/>
    <col min="6890" max="6890" width="4.140625" customWidth="1"/>
    <col min="6891" max="6891" width="3.85546875" customWidth="1"/>
    <col min="6892" max="6900" width="4.140625" customWidth="1"/>
    <col min="6901" max="6901" width="3.7109375" customWidth="1"/>
    <col min="6902" max="6932" width="4.42578125" customWidth="1"/>
    <col min="7144" max="7144" width="4.140625" customWidth="1"/>
    <col min="7145" max="7145" width="4" customWidth="1"/>
    <col min="7146" max="7146" width="4.140625" customWidth="1"/>
    <col min="7147" max="7147" width="3.85546875" customWidth="1"/>
    <col min="7148" max="7156" width="4.140625" customWidth="1"/>
    <col min="7157" max="7157" width="3.7109375" customWidth="1"/>
    <col min="7158" max="7188" width="4.42578125" customWidth="1"/>
    <col min="7400" max="7400" width="4.140625" customWidth="1"/>
    <col min="7401" max="7401" width="4" customWidth="1"/>
    <col min="7402" max="7402" width="4.140625" customWidth="1"/>
    <col min="7403" max="7403" width="3.85546875" customWidth="1"/>
    <col min="7404" max="7412" width="4.140625" customWidth="1"/>
    <col min="7413" max="7413" width="3.7109375" customWidth="1"/>
    <col min="7414" max="7444" width="4.42578125" customWidth="1"/>
    <col min="7656" max="7656" width="4.140625" customWidth="1"/>
    <col min="7657" max="7657" width="4" customWidth="1"/>
    <col min="7658" max="7658" width="4.140625" customWidth="1"/>
    <col min="7659" max="7659" width="3.85546875" customWidth="1"/>
    <col min="7660" max="7668" width="4.140625" customWidth="1"/>
    <col min="7669" max="7669" width="3.7109375" customWidth="1"/>
    <col min="7670" max="7700" width="4.42578125" customWidth="1"/>
    <col min="7912" max="7912" width="4.140625" customWidth="1"/>
    <col min="7913" max="7913" width="4" customWidth="1"/>
    <col min="7914" max="7914" width="4.140625" customWidth="1"/>
    <col min="7915" max="7915" width="3.85546875" customWidth="1"/>
    <col min="7916" max="7924" width="4.140625" customWidth="1"/>
    <col min="7925" max="7925" width="3.7109375" customWidth="1"/>
    <col min="7926" max="7956" width="4.42578125" customWidth="1"/>
    <col min="8168" max="8168" width="4.140625" customWidth="1"/>
    <col min="8169" max="8169" width="4" customWidth="1"/>
    <col min="8170" max="8170" width="4.140625" customWidth="1"/>
    <col min="8171" max="8171" width="3.85546875" customWidth="1"/>
    <col min="8172" max="8180" width="4.140625" customWidth="1"/>
    <col min="8181" max="8181" width="3.7109375" customWidth="1"/>
    <col min="8182" max="8212" width="4.42578125" customWidth="1"/>
    <col min="8424" max="8424" width="4.140625" customWidth="1"/>
    <col min="8425" max="8425" width="4" customWidth="1"/>
    <col min="8426" max="8426" width="4.140625" customWidth="1"/>
    <col min="8427" max="8427" width="3.85546875" customWidth="1"/>
    <col min="8428" max="8436" width="4.140625" customWidth="1"/>
    <col min="8437" max="8437" width="3.7109375" customWidth="1"/>
    <col min="8438" max="8468" width="4.42578125" customWidth="1"/>
    <col min="8680" max="8680" width="4.140625" customWidth="1"/>
    <col min="8681" max="8681" width="4" customWidth="1"/>
    <col min="8682" max="8682" width="4.140625" customWidth="1"/>
    <col min="8683" max="8683" width="3.85546875" customWidth="1"/>
    <col min="8684" max="8692" width="4.140625" customWidth="1"/>
    <col min="8693" max="8693" width="3.7109375" customWidth="1"/>
    <col min="8694" max="8724" width="4.42578125" customWidth="1"/>
    <col min="8936" max="8936" width="4.140625" customWidth="1"/>
    <col min="8937" max="8937" width="4" customWidth="1"/>
    <col min="8938" max="8938" width="4.140625" customWidth="1"/>
    <col min="8939" max="8939" width="3.85546875" customWidth="1"/>
    <col min="8940" max="8948" width="4.140625" customWidth="1"/>
    <col min="8949" max="8949" width="3.7109375" customWidth="1"/>
    <col min="8950" max="8980" width="4.42578125" customWidth="1"/>
    <col min="9192" max="9192" width="4.140625" customWidth="1"/>
    <col min="9193" max="9193" width="4" customWidth="1"/>
    <col min="9194" max="9194" width="4.140625" customWidth="1"/>
    <col min="9195" max="9195" width="3.85546875" customWidth="1"/>
    <col min="9196" max="9204" width="4.140625" customWidth="1"/>
    <col min="9205" max="9205" width="3.7109375" customWidth="1"/>
    <col min="9206" max="9236" width="4.42578125" customWidth="1"/>
    <col min="9448" max="9448" width="4.140625" customWidth="1"/>
    <col min="9449" max="9449" width="4" customWidth="1"/>
    <col min="9450" max="9450" width="4.140625" customWidth="1"/>
    <col min="9451" max="9451" width="3.85546875" customWidth="1"/>
    <col min="9452" max="9460" width="4.140625" customWidth="1"/>
    <col min="9461" max="9461" width="3.7109375" customWidth="1"/>
    <col min="9462" max="9492" width="4.42578125" customWidth="1"/>
    <col min="9704" max="9704" width="4.140625" customWidth="1"/>
    <col min="9705" max="9705" width="4" customWidth="1"/>
    <col min="9706" max="9706" width="4.140625" customWidth="1"/>
    <col min="9707" max="9707" width="3.85546875" customWidth="1"/>
    <col min="9708" max="9716" width="4.140625" customWidth="1"/>
    <col min="9717" max="9717" width="3.7109375" customWidth="1"/>
    <col min="9718" max="9748" width="4.42578125" customWidth="1"/>
    <col min="9960" max="9960" width="4.140625" customWidth="1"/>
    <col min="9961" max="9961" width="4" customWidth="1"/>
    <col min="9962" max="9962" width="4.140625" customWidth="1"/>
    <col min="9963" max="9963" width="3.85546875" customWidth="1"/>
    <col min="9964" max="9972" width="4.140625" customWidth="1"/>
    <col min="9973" max="9973" width="3.7109375" customWidth="1"/>
    <col min="9974" max="10004" width="4.42578125" customWidth="1"/>
    <col min="10216" max="10216" width="4.140625" customWidth="1"/>
    <col min="10217" max="10217" width="4" customWidth="1"/>
    <col min="10218" max="10218" width="4.140625" customWidth="1"/>
    <col min="10219" max="10219" width="3.85546875" customWidth="1"/>
    <col min="10220" max="10228" width="4.140625" customWidth="1"/>
    <col min="10229" max="10229" width="3.7109375" customWidth="1"/>
    <col min="10230" max="10260" width="4.42578125" customWidth="1"/>
    <col min="10472" max="10472" width="4.140625" customWidth="1"/>
    <col min="10473" max="10473" width="4" customWidth="1"/>
    <col min="10474" max="10474" width="4.140625" customWidth="1"/>
    <col min="10475" max="10475" width="3.85546875" customWidth="1"/>
    <col min="10476" max="10484" width="4.140625" customWidth="1"/>
    <col min="10485" max="10485" width="3.7109375" customWidth="1"/>
    <col min="10486" max="10516" width="4.42578125" customWidth="1"/>
    <col min="10728" max="10728" width="4.140625" customWidth="1"/>
    <col min="10729" max="10729" width="4" customWidth="1"/>
    <col min="10730" max="10730" width="4.140625" customWidth="1"/>
    <col min="10731" max="10731" width="3.85546875" customWidth="1"/>
    <col min="10732" max="10740" width="4.140625" customWidth="1"/>
    <col min="10741" max="10741" width="3.7109375" customWidth="1"/>
    <col min="10742" max="10772" width="4.42578125" customWidth="1"/>
    <col min="10984" max="10984" width="4.140625" customWidth="1"/>
    <col min="10985" max="10985" width="4" customWidth="1"/>
    <col min="10986" max="10986" width="4.140625" customWidth="1"/>
    <col min="10987" max="10987" width="3.85546875" customWidth="1"/>
    <col min="10988" max="10996" width="4.140625" customWidth="1"/>
    <col min="10997" max="10997" width="3.7109375" customWidth="1"/>
    <col min="10998" max="11028" width="4.42578125" customWidth="1"/>
    <col min="11240" max="11240" width="4.140625" customWidth="1"/>
    <col min="11241" max="11241" width="4" customWidth="1"/>
    <col min="11242" max="11242" width="4.140625" customWidth="1"/>
    <col min="11243" max="11243" width="3.85546875" customWidth="1"/>
    <col min="11244" max="11252" width="4.140625" customWidth="1"/>
    <col min="11253" max="11253" width="3.7109375" customWidth="1"/>
    <col min="11254" max="11284" width="4.42578125" customWidth="1"/>
    <col min="11496" max="11496" width="4.140625" customWidth="1"/>
    <col min="11497" max="11497" width="4" customWidth="1"/>
    <col min="11498" max="11498" width="4.140625" customWidth="1"/>
    <col min="11499" max="11499" width="3.85546875" customWidth="1"/>
    <col min="11500" max="11508" width="4.140625" customWidth="1"/>
    <col min="11509" max="11509" width="3.7109375" customWidth="1"/>
    <col min="11510" max="11540" width="4.42578125" customWidth="1"/>
    <col min="11752" max="11752" width="4.140625" customWidth="1"/>
    <col min="11753" max="11753" width="4" customWidth="1"/>
    <col min="11754" max="11754" width="4.140625" customWidth="1"/>
    <col min="11755" max="11755" width="3.85546875" customWidth="1"/>
    <col min="11756" max="11764" width="4.140625" customWidth="1"/>
    <col min="11765" max="11765" width="3.7109375" customWidth="1"/>
    <col min="11766" max="11796" width="4.42578125" customWidth="1"/>
    <col min="12008" max="12008" width="4.140625" customWidth="1"/>
    <col min="12009" max="12009" width="4" customWidth="1"/>
    <col min="12010" max="12010" width="4.140625" customWidth="1"/>
    <col min="12011" max="12011" width="3.85546875" customWidth="1"/>
    <col min="12012" max="12020" width="4.140625" customWidth="1"/>
    <col min="12021" max="12021" width="3.7109375" customWidth="1"/>
    <col min="12022" max="12052" width="4.42578125" customWidth="1"/>
    <col min="12264" max="12264" width="4.140625" customWidth="1"/>
    <col min="12265" max="12265" width="4" customWidth="1"/>
    <col min="12266" max="12266" width="4.140625" customWidth="1"/>
    <col min="12267" max="12267" width="3.85546875" customWidth="1"/>
    <col min="12268" max="12276" width="4.140625" customWidth="1"/>
    <col min="12277" max="12277" width="3.7109375" customWidth="1"/>
    <col min="12278" max="12308" width="4.42578125" customWidth="1"/>
    <col min="12520" max="12520" width="4.140625" customWidth="1"/>
    <col min="12521" max="12521" width="4" customWidth="1"/>
    <col min="12522" max="12522" width="4.140625" customWidth="1"/>
    <col min="12523" max="12523" width="3.85546875" customWidth="1"/>
    <col min="12524" max="12532" width="4.140625" customWidth="1"/>
    <col min="12533" max="12533" width="3.7109375" customWidth="1"/>
    <col min="12534" max="12564" width="4.42578125" customWidth="1"/>
    <col min="12776" max="12776" width="4.140625" customWidth="1"/>
    <col min="12777" max="12777" width="4" customWidth="1"/>
    <col min="12778" max="12778" width="4.140625" customWidth="1"/>
    <col min="12779" max="12779" width="3.85546875" customWidth="1"/>
    <col min="12780" max="12788" width="4.140625" customWidth="1"/>
    <col min="12789" max="12789" width="3.7109375" customWidth="1"/>
    <col min="12790" max="12820" width="4.42578125" customWidth="1"/>
    <col min="13032" max="13032" width="4.140625" customWidth="1"/>
    <col min="13033" max="13033" width="4" customWidth="1"/>
    <col min="13034" max="13034" width="4.140625" customWidth="1"/>
    <col min="13035" max="13035" width="3.85546875" customWidth="1"/>
    <col min="13036" max="13044" width="4.140625" customWidth="1"/>
    <col min="13045" max="13045" width="3.7109375" customWidth="1"/>
    <col min="13046" max="13076" width="4.42578125" customWidth="1"/>
    <col min="13288" max="13288" width="4.140625" customWidth="1"/>
    <col min="13289" max="13289" width="4" customWidth="1"/>
    <col min="13290" max="13290" width="4.140625" customWidth="1"/>
    <col min="13291" max="13291" width="3.85546875" customWidth="1"/>
    <col min="13292" max="13300" width="4.140625" customWidth="1"/>
    <col min="13301" max="13301" width="3.7109375" customWidth="1"/>
    <col min="13302" max="13332" width="4.42578125" customWidth="1"/>
    <col min="13544" max="13544" width="4.140625" customWidth="1"/>
    <col min="13545" max="13545" width="4" customWidth="1"/>
    <col min="13546" max="13546" width="4.140625" customWidth="1"/>
    <col min="13547" max="13547" width="3.85546875" customWidth="1"/>
    <col min="13548" max="13556" width="4.140625" customWidth="1"/>
    <col min="13557" max="13557" width="3.7109375" customWidth="1"/>
    <col min="13558" max="13588" width="4.42578125" customWidth="1"/>
    <col min="13800" max="13800" width="4.140625" customWidth="1"/>
    <col min="13801" max="13801" width="4" customWidth="1"/>
    <col min="13802" max="13802" width="4.140625" customWidth="1"/>
    <col min="13803" max="13803" width="3.85546875" customWidth="1"/>
    <col min="13804" max="13812" width="4.140625" customWidth="1"/>
    <col min="13813" max="13813" width="3.7109375" customWidth="1"/>
    <col min="13814" max="13844" width="4.42578125" customWidth="1"/>
    <col min="14056" max="14056" width="4.140625" customWidth="1"/>
    <col min="14057" max="14057" width="4" customWidth="1"/>
    <col min="14058" max="14058" width="4.140625" customWidth="1"/>
    <col min="14059" max="14059" width="3.85546875" customWidth="1"/>
    <col min="14060" max="14068" width="4.140625" customWidth="1"/>
    <col min="14069" max="14069" width="3.7109375" customWidth="1"/>
    <col min="14070" max="14100" width="4.42578125" customWidth="1"/>
    <col min="14312" max="14312" width="4.140625" customWidth="1"/>
    <col min="14313" max="14313" width="4" customWidth="1"/>
    <col min="14314" max="14314" width="4.140625" customWidth="1"/>
    <col min="14315" max="14315" width="3.85546875" customWidth="1"/>
    <col min="14316" max="14324" width="4.140625" customWidth="1"/>
    <col min="14325" max="14325" width="3.7109375" customWidth="1"/>
    <col min="14326" max="14356" width="4.42578125" customWidth="1"/>
    <col min="14568" max="14568" width="4.140625" customWidth="1"/>
    <col min="14569" max="14569" width="4" customWidth="1"/>
    <col min="14570" max="14570" width="4.140625" customWidth="1"/>
    <col min="14571" max="14571" width="3.85546875" customWidth="1"/>
    <col min="14572" max="14580" width="4.140625" customWidth="1"/>
    <col min="14581" max="14581" width="3.7109375" customWidth="1"/>
    <col min="14582" max="14612" width="4.42578125" customWidth="1"/>
    <col min="14824" max="14824" width="4.140625" customWidth="1"/>
    <col min="14825" max="14825" width="4" customWidth="1"/>
    <col min="14826" max="14826" width="4.140625" customWidth="1"/>
    <col min="14827" max="14827" width="3.85546875" customWidth="1"/>
    <col min="14828" max="14836" width="4.140625" customWidth="1"/>
    <col min="14837" max="14837" width="3.7109375" customWidth="1"/>
    <col min="14838" max="14868" width="4.42578125" customWidth="1"/>
    <col min="15080" max="15080" width="4.140625" customWidth="1"/>
    <col min="15081" max="15081" width="4" customWidth="1"/>
    <col min="15082" max="15082" width="4.140625" customWidth="1"/>
    <col min="15083" max="15083" width="3.85546875" customWidth="1"/>
    <col min="15084" max="15092" width="4.140625" customWidth="1"/>
    <col min="15093" max="15093" width="3.7109375" customWidth="1"/>
    <col min="15094" max="15124" width="4.42578125" customWidth="1"/>
    <col min="15336" max="15336" width="4.140625" customWidth="1"/>
    <col min="15337" max="15337" width="4" customWidth="1"/>
    <col min="15338" max="15338" width="4.140625" customWidth="1"/>
    <col min="15339" max="15339" width="3.85546875" customWidth="1"/>
    <col min="15340" max="15348" width="4.140625" customWidth="1"/>
    <col min="15349" max="15349" width="3.7109375" customWidth="1"/>
    <col min="15350" max="15380" width="4.42578125" customWidth="1"/>
    <col min="15592" max="15592" width="4.140625" customWidth="1"/>
    <col min="15593" max="15593" width="4" customWidth="1"/>
    <col min="15594" max="15594" width="4.140625" customWidth="1"/>
    <col min="15595" max="15595" width="3.85546875" customWidth="1"/>
    <col min="15596" max="15604" width="4.140625" customWidth="1"/>
    <col min="15605" max="15605" width="3.7109375" customWidth="1"/>
    <col min="15606" max="15636" width="4.42578125" customWidth="1"/>
    <col min="15848" max="15848" width="4.140625" customWidth="1"/>
    <col min="15849" max="15849" width="4" customWidth="1"/>
    <col min="15850" max="15850" width="4.140625" customWidth="1"/>
    <col min="15851" max="15851" width="3.85546875" customWidth="1"/>
    <col min="15852" max="15860" width="4.140625" customWidth="1"/>
    <col min="15861" max="15861" width="3.7109375" customWidth="1"/>
    <col min="15862" max="15892" width="4.42578125" customWidth="1"/>
    <col min="16104" max="16104" width="4.140625" customWidth="1"/>
    <col min="16105" max="16105" width="4" customWidth="1"/>
    <col min="16106" max="16106" width="4.140625" customWidth="1"/>
    <col min="16107" max="16107" width="3.85546875" customWidth="1"/>
    <col min="16108" max="16116" width="4.140625" customWidth="1"/>
    <col min="16117" max="16117" width="3.7109375" customWidth="1"/>
    <col min="16118" max="16148" width="4.42578125" customWidth="1"/>
  </cols>
  <sheetData>
    <row r="1" spans="1:33" ht="15" customHeight="1" x14ac:dyDescent="0.25">
      <c r="A1" s="418" t="s">
        <v>40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109"/>
      <c r="AA1" s="109"/>
      <c r="AB1" s="109"/>
    </row>
    <row r="2" spans="1:33" ht="15" customHeight="1" x14ac:dyDescent="0.25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109"/>
      <c r="AA2" s="109"/>
      <c r="AB2" s="109"/>
    </row>
    <row r="3" spans="1:33" ht="15" customHeight="1" x14ac:dyDescent="0.25">
      <c r="A3" s="418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109"/>
      <c r="AA3" s="109"/>
      <c r="AB3" s="109"/>
    </row>
    <row r="4" spans="1:33" ht="15" customHeight="1" x14ac:dyDescent="0.25">
      <c r="A4" s="418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109"/>
      <c r="AA4" s="109"/>
      <c r="AB4" s="109"/>
    </row>
    <row r="5" spans="1:33" ht="28.5" customHeight="1" x14ac:dyDescent="0.25">
      <c r="A5" s="418"/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109"/>
      <c r="AA5" s="109"/>
      <c r="AB5" s="109"/>
    </row>
    <row r="6" spans="1:33" s="1" customFormat="1" ht="15" customHeight="1" x14ac:dyDescent="0.25">
      <c r="A6" s="8"/>
      <c r="B6" s="145"/>
      <c r="C6" s="8"/>
      <c r="D6" s="8"/>
      <c r="E6" s="8"/>
      <c r="F6" s="8"/>
      <c r="G6" s="8"/>
      <c r="H6" s="8"/>
      <c r="I6" s="8"/>
      <c r="J6" s="145"/>
      <c r="K6" s="8"/>
      <c r="L6" s="8"/>
      <c r="M6" s="8"/>
      <c r="N6" s="8"/>
      <c r="O6" s="8"/>
      <c r="P6" s="8"/>
      <c r="Q6" s="8"/>
      <c r="R6" s="145"/>
      <c r="S6" s="8"/>
      <c r="T6" s="8"/>
      <c r="U6" s="8"/>
      <c r="V6" s="8"/>
      <c r="W6" s="8"/>
    </row>
    <row r="7" spans="1:33" s="1" customFormat="1" ht="36" x14ac:dyDescent="0.25">
      <c r="A7" s="481" t="s">
        <v>64</v>
      </c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2"/>
      <c r="Y7" s="482"/>
      <c r="Z7" s="482"/>
      <c r="AA7" s="482"/>
      <c r="AB7" s="483"/>
    </row>
    <row r="8" spans="1:33" ht="21.75" customHeight="1" x14ac:dyDescent="0.25">
      <c r="A8" s="8"/>
      <c r="B8" s="145"/>
      <c r="C8" s="8"/>
      <c r="D8" s="5"/>
      <c r="E8" s="5"/>
      <c r="F8" s="5"/>
      <c r="G8" s="5"/>
      <c r="H8" s="5"/>
      <c r="I8" s="5"/>
      <c r="J8" s="56"/>
      <c r="K8" s="5"/>
      <c r="L8" s="5"/>
      <c r="M8" s="5"/>
      <c r="N8" s="5"/>
      <c r="O8" s="5"/>
      <c r="P8" s="5"/>
      <c r="Q8" s="5"/>
      <c r="R8" s="56"/>
      <c r="S8" s="5"/>
      <c r="T8" s="5"/>
      <c r="U8" s="5"/>
      <c r="V8" s="5"/>
      <c r="W8" s="5"/>
      <c r="X8" s="2"/>
      <c r="Y8" s="2"/>
      <c r="Z8" s="2"/>
      <c r="AA8" s="2"/>
      <c r="AB8" s="2"/>
      <c r="AC8" s="2"/>
      <c r="AD8" s="1"/>
      <c r="AE8" s="1"/>
      <c r="AF8" s="1"/>
      <c r="AG8" s="1"/>
    </row>
    <row r="9" spans="1:33" x14ac:dyDescent="0.35">
      <c r="A9" s="103"/>
      <c r="B9" s="103"/>
      <c r="C9" s="423" t="s">
        <v>93</v>
      </c>
      <c r="D9" s="423"/>
      <c r="E9" s="423"/>
      <c r="F9" s="423"/>
      <c r="G9" s="423"/>
      <c r="H9" s="423"/>
      <c r="I9" s="423"/>
      <c r="J9" s="423"/>
      <c r="K9" s="423"/>
      <c r="L9" s="423"/>
      <c r="M9" s="423"/>
      <c r="N9" s="423"/>
      <c r="O9" s="232"/>
      <c r="P9" s="2"/>
      <c r="Q9" s="56"/>
      <c r="R9" s="56"/>
      <c r="S9" s="103" t="s">
        <v>212</v>
      </c>
      <c r="T9" s="232"/>
      <c r="U9" s="232"/>
      <c r="V9" s="232"/>
      <c r="W9" s="232"/>
      <c r="X9" s="2"/>
      <c r="Y9" s="2"/>
      <c r="Z9" s="2"/>
      <c r="AA9" s="2"/>
      <c r="AB9" s="2"/>
      <c r="AC9" s="2"/>
    </row>
    <row r="10" spans="1:33" ht="9" customHeight="1" x14ac:dyDescent="0.35">
      <c r="A10" s="2"/>
      <c r="B10" s="103"/>
      <c r="C10" s="104"/>
      <c r="D10" s="5"/>
      <c r="E10" s="5"/>
      <c r="F10" s="5"/>
      <c r="G10" s="5"/>
      <c r="H10" s="5"/>
      <c r="I10" s="5"/>
      <c r="J10" s="103"/>
      <c r="K10" s="104"/>
      <c r="L10" s="5"/>
      <c r="M10" s="5"/>
      <c r="N10" s="5"/>
      <c r="O10" s="5"/>
      <c r="P10" s="2"/>
      <c r="Q10" s="5"/>
      <c r="R10" s="5"/>
      <c r="S10" s="103"/>
      <c r="T10" s="104"/>
      <c r="U10" s="5"/>
      <c r="V10" s="5"/>
      <c r="W10" s="5"/>
      <c r="X10" s="2"/>
      <c r="Y10" s="2"/>
      <c r="Z10" s="2"/>
      <c r="AA10" s="2"/>
      <c r="AB10" s="2"/>
      <c r="AC10" s="2"/>
    </row>
    <row r="11" spans="1:33" ht="9" customHeight="1" x14ac:dyDescent="0.4">
      <c r="A11" s="166"/>
      <c r="B11" s="532"/>
      <c r="C11" s="87"/>
      <c r="D11" s="2"/>
      <c r="E11" s="2"/>
      <c r="F11" s="97"/>
      <c r="G11" s="2"/>
      <c r="H11" s="2"/>
      <c r="I11" s="2"/>
      <c r="J11" s="532"/>
      <c r="K11" s="87"/>
      <c r="L11" s="2"/>
      <c r="M11" s="2"/>
      <c r="N11" s="97"/>
      <c r="O11" s="2"/>
      <c r="P11" s="2"/>
      <c r="Q11" s="233"/>
      <c r="R11" s="212"/>
      <c r="S11" s="233"/>
      <c r="T11" s="212"/>
      <c r="U11" s="234"/>
      <c r="V11" s="87"/>
      <c r="W11" s="2"/>
      <c r="X11" s="2"/>
      <c r="Y11" s="2"/>
      <c r="Z11" s="2"/>
      <c r="AA11" s="2"/>
      <c r="AB11" s="2"/>
      <c r="AC11" s="2"/>
    </row>
    <row r="12" spans="1:33" ht="9" customHeight="1" x14ac:dyDescent="0.4">
      <c r="A12" s="166"/>
      <c r="B12" s="532"/>
      <c r="C12" s="87"/>
      <c r="D12" s="2"/>
      <c r="E12" s="2"/>
      <c r="F12" s="97"/>
      <c r="G12" s="2"/>
      <c r="H12" s="2"/>
      <c r="I12" s="2"/>
      <c r="J12" s="532"/>
      <c r="K12" s="87"/>
      <c r="L12" s="2"/>
      <c r="M12" s="2"/>
      <c r="N12" s="97"/>
      <c r="O12" s="2"/>
      <c r="P12" s="2"/>
      <c r="Q12" s="233"/>
      <c r="R12" s="212"/>
      <c r="S12" s="233"/>
      <c r="T12" s="522" t="s">
        <v>58</v>
      </c>
      <c r="U12" s="522" t="s">
        <v>48</v>
      </c>
      <c r="V12" s="522" t="s">
        <v>213</v>
      </c>
      <c r="W12" s="2"/>
      <c r="X12" s="2"/>
      <c r="Y12" s="2"/>
      <c r="Z12" s="2"/>
      <c r="AA12" s="2"/>
      <c r="AB12" s="2"/>
      <c r="AC12" s="2"/>
    </row>
    <row r="13" spans="1:33" ht="9" customHeight="1" x14ac:dyDescent="0.4">
      <c r="A13" s="166"/>
      <c r="B13" s="532"/>
      <c r="C13" s="87"/>
      <c r="D13" s="2"/>
      <c r="E13" s="2"/>
      <c r="F13" s="97"/>
      <c r="G13" s="2"/>
      <c r="H13" s="2"/>
      <c r="I13" s="2"/>
      <c r="J13" s="532"/>
      <c r="K13" s="87"/>
      <c r="L13" s="2"/>
      <c r="M13" s="2"/>
      <c r="N13" s="97"/>
      <c r="O13" s="2"/>
      <c r="P13" s="2"/>
      <c r="Q13" s="233"/>
      <c r="R13" s="212"/>
      <c r="S13" s="233"/>
      <c r="T13" s="522"/>
      <c r="U13" s="522"/>
      <c r="V13" s="522"/>
      <c r="W13" s="2"/>
      <c r="X13" s="2"/>
      <c r="Y13" s="2"/>
      <c r="Z13" s="2"/>
      <c r="AA13" s="2"/>
      <c r="AB13" s="2"/>
      <c r="AC13" s="2"/>
    </row>
    <row r="14" spans="1:33" ht="9" customHeight="1" x14ac:dyDescent="0.4">
      <c r="A14" s="166"/>
      <c r="B14" s="532"/>
      <c r="C14" s="87"/>
      <c r="D14" s="2"/>
      <c r="E14" s="2"/>
      <c r="F14" s="97"/>
      <c r="G14" s="2"/>
      <c r="H14" s="2"/>
      <c r="I14" s="2"/>
      <c r="J14" s="532"/>
      <c r="K14" s="87"/>
      <c r="L14" s="2"/>
      <c r="M14" s="2"/>
      <c r="N14" s="97"/>
      <c r="O14" s="2"/>
      <c r="P14" s="2"/>
      <c r="Q14" s="233"/>
      <c r="R14" s="212"/>
      <c r="S14" s="233"/>
      <c r="T14" s="522"/>
      <c r="U14" s="522"/>
      <c r="V14" s="522"/>
      <c r="W14" s="2"/>
      <c r="X14" s="2"/>
      <c r="Y14" s="2"/>
      <c r="Z14" s="2"/>
      <c r="AA14" s="2"/>
      <c r="AB14" s="2"/>
      <c r="AC14" s="2"/>
    </row>
    <row r="15" spans="1:33" ht="9" customHeight="1" x14ac:dyDescent="0.4">
      <c r="A15" s="128"/>
      <c r="B15" s="532"/>
      <c r="C15" s="87"/>
      <c r="D15" s="2"/>
      <c r="E15" s="2"/>
      <c r="F15" s="97"/>
      <c r="G15" s="2"/>
      <c r="H15" s="2"/>
      <c r="I15" s="2"/>
      <c r="J15" s="532"/>
      <c r="K15" s="87"/>
      <c r="L15" s="2"/>
      <c r="M15" s="2"/>
      <c r="N15" s="97"/>
      <c r="O15" s="2"/>
      <c r="P15" s="2"/>
      <c r="Q15" s="235"/>
      <c r="R15" s="213"/>
      <c r="S15" s="234"/>
      <c r="T15" s="522"/>
      <c r="U15" s="522"/>
      <c r="V15" s="522"/>
      <c r="W15" s="2"/>
      <c r="X15" s="2"/>
      <c r="Y15" s="2"/>
      <c r="Z15" s="2"/>
      <c r="AA15" s="2"/>
      <c r="AB15" s="2"/>
      <c r="AC15" s="2"/>
    </row>
    <row r="16" spans="1:33" ht="9" customHeight="1" x14ac:dyDescent="0.4">
      <c r="A16" s="128"/>
      <c r="B16" s="532"/>
      <c r="C16" s="87"/>
      <c r="D16" s="97"/>
      <c r="E16" s="97"/>
      <c r="F16" s="97"/>
      <c r="G16" s="2"/>
      <c r="H16" s="2"/>
      <c r="I16" s="2"/>
      <c r="J16" s="532"/>
      <c r="K16" s="87"/>
      <c r="L16" s="97"/>
      <c r="M16" s="97"/>
      <c r="N16" s="97"/>
      <c r="O16" s="2"/>
      <c r="P16" s="2"/>
      <c r="Q16" s="235"/>
      <c r="R16" s="213"/>
      <c r="S16" s="234"/>
      <c r="T16" s="522"/>
      <c r="U16" s="522"/>
      <c r="V16" s="522"/>
      <c r="W16" s="2"/>
      <c r="X16" s="2"/>
      <c r="Y16" s="2"/>
      <c r="Z16" s="2"/>
      <c r="AA16" s="2"/>
      <c r="AB16" s="2"/>
      <c r="AC16" s="2"/>
    </row>
    <row r="17" spans="1:29" ht="9" customHeight="1" x14ac:dyDescent="0.4">
      <c r="A17" s="128"/>
      <c r="B17" s="532"/>
      <c r="C17" s="87"/>
      <c r="D17" s="2"/>
      <c r="E17" s="2"/>
      <c r="F17" s="2"/>
      <c r="G17" s="2"/>
      <c r="H17" s="2"/>
      <c r="I17" s="2"/>
      <c r="J17" s="532"/>
      <c r="K17" s="87"/>
      <c r="L17" s="2"/>
      <c r="M17" s="2"/>
      <c r="N17" s="2"/>
      <c r="O17" s="2"/>
      <c r="P17" s="2"/>
      <c r="Q17" s="233"/>
      <c r="R17" s="212"/>
      <c r="S17" s="529" t="s">
        <v>59</v>
      </c>
      <c r="T17" s="523">
        <f ca="1">'Récap devis'!D59</f>
        <v>110.5</v>
      </c>
      <c r="U17" s="523">
        <f ca="1">'Récap devis'!E59</f>
        <v>625.625</v>
      </c>
      <c r="V17" s="523">
        <f ca="1">U17/T17</f>
        <v>5.6617647058823533</v>
      </c>
      <c r="W17" s="2"/>
      <c r="X17" s="2"/>
      <c r="Y17" s="2"/>
      <c r="Z17" s="2"/>
      <c r="AA17" s="2"/>
      <c r="AB17" s="2"/>
      <c r="AC17" s="2"/>
    </row>
    <row r="18" spans="1:29" ht="9" customHeight="1" x14ac:dyDescent="0.4">
      <c r="A18" s="128"/>
      <c r="B18" s="532"/>
      <c r="C18" s="87"/>
      <c r="D18" s="2"/>
      <c r="E18" s="2"/>
      <c r="F18" s="2"/>
      <c r="G18" s="2"/>
      <c r="H18" s="2"/>
      <c r="I18" s="2"/>
      <c r="J18" s="532"/>
      <c r="K18" s="87"/>
      <c r="L18" s="2"/>
      <c r="M18" s="2"/>
      <c r="N18" s="2"/>
      <c r="O18" s="2"/>
      <c r="P18" s="2"/>
      <c r="Q18" s="233"/>
      <c r="R18" s="212"/>
      <c r="S18" s="529"/>
      <c r="T18" s="523"/>
      <c r="U18" s="523"/>
      <c r="V18" s="523"/>
      <c r="W18" s="2"/>
      <c r="X18" s="2"/>
      <c r="Y18" s="2"/>
      <c r="Z18" s="2"/>
      <c r="AA18" s="2"/>
      <c r="AB18" s="2"/>
      <c r="AC18" s="2"/>
    </row>
    <row r="19" spans="1:29" ht="9" customHeight="1" x14ac:dyDescent="0.4">
      <c r="A19" s="128"/>
      <c r="B19" s="532"/>
      <c r="C19" s="87"/>
      <c r="D19" s="2"/>
      <c r="E19" s="2"/>
      <c r="F19" s="2"/>
      <c r="G19" s="2"/>
      <c r="H19" s="2"/>
      <c r="I19" s="2"/>
      <c r="J19" s="532"/>
      <c r="K19" s="87"/>
      <c r="L19" s="2"/>
      <c r="M19" s="2"/>
      <c r="N19" s="2"/>
      <c r="O19" s="2"/>
      <c r="P19" s="2"/>
      <c r="Q19" s="233"/>
      <c r="R19" s="212"/>
      <c r="S19" s="529"/>
      <c r="T19" s="523"/>
      <c r="U19" s="523"/>
      <c r="V19" s="523"/>
      <c r="W19" s="2"/>
      <c r="X19" s="2"/>
      <c r="Y19" s="2"/>
      <c r="Z19" s="2"/>
      <c r="AA19" s="2"/>
      <c r="AB19" s="2"/>
      <c r="AC19" s="2"/>
    </row>
    <row r="20" spans="1:29" ht="9" customHeight="1" x14ac:dyDescent="0.4">
      <c r="A20" s="128"/>
      <c r="B20" s="532"/>
      <c r="C20" s="87"/>
      <c r="D20" s="2"/>
      <c r="E20" s="2"/>
      <c r="F20" s="2"/>
      <c r="G20" s="2"/>
      <c r="H20" s="2"/>
      <c r="I20" s="2"/>
      <c r="J20" s="532"/>
      <c r="K20" s="87"/>
      <c r="L20" s="2"/>
      <c r="M20" s="2"/>
      <c r="N20" s="2"/>
      <c r="O20" s="2"/>
      <c r="P20" s="2"/>
      <c r="R20"/>
      <c r="S20" s="530" t="s">
        <v>61</v>
      </c>
      <c r="T20" s="524">
        <f ca="1">'Récap devis'!F59</f>
        <v>108.375</v>
      </c>
      <c r="U20" s="524">
        <f ca="1">'Récap devis'!G59</f>
        <v>694</v>
      </c>
      <c r="V20" s="524">
        <f t="shared" ref="V20" ca="1" si="0">U20/T20</f>
        <v>6.4036908881199537</v>
      </c>
      <c r="W20" s="2"/>
      <c r="X20" s="2"/>
      <c r="Y20" s="2"/>
      <c r="Z20" s="2"/>
      <c r="AA20" s="2"/>
      <c r="AB20" s="2"/>
      <c r="AC20" s="2"/>
    </row>
    <row r="21" spans="1:29" ht="9" customHeight="1" x14ac:dyDescent="0.4">
      <c r="A21" s="128"/>
      <c r="B21" s="532"/>
      <c r="C21" s="87"/>
      <c r="D21" s="2"/>
      <c r="E21" s="2"/>
      <c r="F21" s="2"/>
      <c r="G21" s="2"/>
      <c r="H21" s="2"/>
      <c r="I21" s="2"/>
      <c r="J21" s="532"/>
      <c r="K21" s="87"/>
      <c r="L21" s="2"/>
      <c r="M21" s="2"/>
      <c r="N21" s="2"/>
      <c r="O21" s="2"/>
      <c r="P21" s="2"/>
      <c r="R21"/>
      <c r="S21" s="530"/>
      <c r="T21" s="524"/>
      <c r="U21" s="524"/>
      <c r="V21" s="524"/>
      <c r="W21" s="2"/>
      <c r="X21" s="2"/>
      <c r="Y21" s="2"/>
      <c r="Z21" s="2"/>
      <c r="AA21" s="2"/>
      <c r="AB21" s="2"/>
      <c r="AC21" s="2"/>
    </row>
    <row r="22" spans="1:29" ht="9" customHeight="1" x14ac:dyDescent="0.4">
      <c r="A22" s="128"/>
      <c r="B22" s="532"/>
      <c r="C22" s="87"/>
      <c r="D22" s="2"/>
      <c r="E22" s="2"/>
      <c r="F22" s="2"/>
      <c r="G22" s="2"/>
      <c r="H22" s="2"/>
      <c r="I22" s="2"/>
      <c r="J22" s="532"/>
      <c r="K22" s="87"/>
      <c r="L22" s="2"/>
      <c r="M22" s="2"/>
      <c r="N22" s="2"/>
      <c r="O22" s="2"/>
      <c r="P22" s="2"/>
      <c r="R22"/>
      <c r="S22" s="530"/>
      <c r="T22" s="524"/>
      <c r="U22" s="524"/>
      <c r="V22" s="524"/>
      <c r="W22" s="2"/>
      <c r="X22" s="2"/>
      <c r="Y22" s="2"/>
      <c r="Z22" s="2"/>
      <c r="AA22" s="2"/>
      <c r="AB22" s="2"/>
      <c r="AC22" s="2"/>
    </row>
    <row r="23" spans="1:29" ht="9" customHeight="1" x14ac:dyDescent="0.4">
      <c r="A23" s="128"/>
      <c r="B23" s="532"/>
      <c r="C23" s="87"/>
      <c r="D23" s="2"/>
      <c r="E23" s="2"/>
      <c r="F23" s="2"/>
      <c r="G23" s="2"/>
      <c r="H23" s="2"/>
      <c r="I23" s="2"/>
      <c r="J23" s="532"/>
      <c r="K23" s="87"/>
      <c r="L23" s="2"/>
      <c r="M23" s="2"/>
      <c r="N23" s="2"/>
      <c r="O23" s="2"/>
      <c r="P23" s="2"/>
      <c r="R23"/>
      <c r="S23" s="531" t="s">
        <v>60</v>
      </c>
      <c r="T23" s="525">
        <f ca="1">'Récap devis'!H59</f>
        <v>98</v>
      </c>
      <c r="U23" s="525">
        <f ca="1">'Récap devis'!I59</f>
        <v>469.625</v>
      </c>
      <c r="V23" s="525">
        <f t="shared" ref="V23" ca="1" si="1">U23/T23</f>
        <v>4.7920918367346941</v>
      </c>
      <c r="W23" s="2"/>
      <c r="X23" s="2"/>
      <c r="Y23" s="2"/>
      <c r="Z23" s="2"/>
      <c r="AA23" s="2"/>
      <c r="AB23" s="2"/>
      <c r="AC23" s="2"/>
    </row>
    <row r="24" spans="1:29" ht="9" customHeight="1" x14ac:dyDescent="0.4">
      <c r="A24" s="166"/>
      <c r="B24" s="532"/>
      <c r="C24" s="87"/>
      <c r="D24" s="2"/>
      <c r="E24" s="2"/>
      <c r="F24" s="2"/>
      <c r="G24" s="2"/>
      <c r="H24" s="2"/>
      <c r="I24" s="2"/>
      <c r="J24" s="532"/>
      <c r="K24" s="87"/>
      <c r="L24" s="2"/>
      <c r="M24" s="2"/>
      <c r="N24" s="2"/>
      <c r="O24" s="2"/>
      <c r="P24" s="2"/>
      <c r="R24"/>
      <c r="S24" s="531"/>
      <c r="T24" s="525"/>
      <c r="U24" s="525"/>
      <c r="V24" s="525"/>
      <c r="W24" s="2"/>
      <c r="X24" s="2"/>
      <c r="Y24" s="2"/>
      <c r="Z24" s="2"/>
      <c r="AA24" s="2"/>
      <c r="AB24" s="2"/>
      <c r="AC24" s="2"/>
    </row>
    <row r="25" spans="1:29" ht="9" customHeight="1" x14ac:dyDescent="0.4">
      <c r="A25" s="166"/>
      <c r="B25" s="532"/>
      <c r="C25" s="87"/>
      <c r="D25" s="2"/>
      <c r="E25" s="2"/>
      <c r="F25" s="2"/>
      <c r="G25" s="2"/>
      <c r="H25" s="2"/>
      <c r="I25" s="2"/>
      <c r="J25" s="532"/>
      <c r="K25" s="87"/>
      <c r="L25" s="2"/>
      <c r="M25" s="2"/>
      <c r="N25" s="2"/>
      <c r="O25" s="2"/>
      <c r="P25" s="2"/>
      <c r="R25"/>
      <c r="S25" s="531"/>
      <c r="T25" s="525"/>
      <c r="U25" s="525"/>
      <c r="V25" s="525"/>
      <c r="W25" s="2"/>
      <c r="X25" s="2"/>
      <c r="Y25" s="2"/>
      <c r="Z25" s="2"/>
      <c r="AA25" s="2"/>
      <c r="AB25" s="2"/>
      <c r="AC25" s="2"/>
    </row>
    <row r="26" spans="1:29" ht="9" customHeight="1" x14ac:dyDescent="0.4">
      <c r="A26" s="166"/>
      <c r="B26" s="532"/>
      <c r="C26" s="87"/>
      <c r="D26" s="2"/>
      <c r="E26" s="2"/>
      <c r="F26" s="2"/>
      <c r="G26" s="2"/>
      <c r="H26" s="2"/>
      <c r="I26" s="2"/>
      <c r="J26" s="532"/>
      <c r="K26" s="87"/>
      <c r="L26" s="2"/>
      <c r="M26" s="2"/>
      <c r="N26" s="2"/>
      <c r="O26" s="2"/>
      <c r="P26" s="2"/>
      <c r="R26"/>
      <c r="S26" s="528" t="s">
        <v>75</v>
      </c>
      <c r="T26" s="526">
        <f ca="1">SUM(T17:T25)</f>
        <v>316.875</v>
      </c>
      <c r="U26" s="526">
        <f t="shared" ref="U26" ca="1" si="2">SUM(U17:U25)</f>
        <v>1789.25</v>
      </c>
      <c r="V26" s="526">
        <f ca="1">U26/T26</f>
        <v>5.6465483234714</v>
      </c>
      <c r="W26" s="2"/>
      <c r="X26" s="2"/>
      <c r="Y26" s="2"/>
      <c r="Z26" s="2"/>
      <c r="AA26" s="2"/>
      <c r="AB26" s="2"/>
      <c r="AC26" s="2"/>
    </row>
    <row r="27" spans="1:29" ht="9" customHeight="1" x14ac:dyDescent="0.4">
      <c r="A27" s="166"/>
      <c r="B27" s="532"/>
      <c r="C27" s="87"/>
      <c r="D27" s="2"/>
      <c r="E27" s="2"/>
      <c r="F27" s="2"/>
      <c r="G27" s="2"/>
      <c r="H27" s="2"/>
      <c r="I27" s="2"/>
      <c r="J27" s="532"/>
      <c r="K27" s="87"/>
      <c r="L27" s="2"/>
      <c r="M27" s="2"/>
      <c r="N27" s="2"/>
      <c r="O27" s="2"/>
      <c r="P27" s="2"/>
      <c r="R27"/>
      <c r="S27" s="528"/>
      <c r="T27" s="526"/>
      <c r="U27" s="526"/>
      <c r="V27" s="526"/>
      <c r="W27" s="2"/>
      <c r="X27" s="2"/>
      <c r="Y27" s="2"/>
      <c r="Z27" s="2"/>
      <c r="AA27" s="2"/>
      <c r="AB27" s="2"/>
      <c r="AC27" s="2"/>
    </row>
    <row r="28" spans="1:29" ht="9" customHeight="1" x14ac:dyDescent="0.4">
      <c r="A28" s="166"/>
      <c r="B28" s="532"/>
      <c r="C28" s="87"/>
      <c r="D28" s="2"/>
      <c r="E28" s="2"/>
      <c r="F28" s="2"/>
      <c r="G28" s="2"/>
      <c r="H28" s="2"/>
      <c r="I28" s="2"/>
      <c r="J28" s="532"/>
      <c r="K28" s="87"/>
      <c r="L28" s="2"/>
      <c r="M28" s="2"/>
      <c r="N28" s="2"/>
      <c r="O28" s="2"/>
      <c r="P28" s="2"/>
      <c r="R28"/>
      <c r="S28" s="528"/>
      <c r="T28" s="526"/>
      <c r="U28" s="526"/>
      <c r="V28" s="526"/>
      <c r="W28" s="2"/>
      <c r="X28" s="2"/>
      <c r="Y28" s="2"/>
      <c r="Z28" s="2"/>
      <c r="AA28" s="2"/>
      <c r="AB28" s="2"/>
      <c r="AC28" s="2"/>
    </row>
    <row r="29" spans="1:29" ht="9" customHeight="1" x14ac:dyDescent="0.4">
      <c r="A29" s="166"/>
      <c r="B29" s="532"/>
      <c r="C29" s="87"/>
      <c r="D29" s="2"/>
      <c r="E29" s="2"/>
      <c r="F29" s="2"/>
      <c r="G29" s="2"/>
      <c r="H29" s="2"/>
      <c r="I29" s="2"/>
      <c r="J29" s="532"/>
      <c r="K29" s="87"/>
      <c r="L29" s="2"/>
      <c r="M29" s="2"/>
      <c r="N29" s="2"/>
      <c r="O29" s="2"/>
      <c r="P29" s="2"/>
      <c r="R29"/>
      <c r="S29" s="234"/>
      <c r="T29" s="87"/>
      <c r="U29" s="2"/>
      <c r="V29" s="97"/>
      <c r="W29" s="2"/>
      <c r="X29" s="2"/>
      <c r="Y29" s="2"/>
      <c r="Z29" s="2"/>
      <c r="AA29" s="2"/>
      <c r="AB29" s="2"/>
      <c r="AC29" s="2"/>
    </row>
    <row r="30" spans="1:29" ht="9" customHeight="1" x14ac:dyDescent="0.4">
      <c r="A30" s="166"/>
      <c r="B30" s="532"/>
      <c r="C30" s="87"/>
      <c r="D30" s="2"/>
      <c r="E30" s="2"/>
      <c r="F30" s="2"/>
      <c r="G30" s="2"/>
      <c r="H30" s="2"/>
      <c r="I30" s="2"/>
      <c r="J30" s="532"/>
      <c r="K30" s="87"/>
      <c r="L30" s="2"/>
      <c r="M30" s="2"/>
      <c r="N30" s="2"/>
      <c r="O30" s="2"/>
      <c r="P30" s="2"/>
      <c r="R30"/>
      <c r="S30" s="234"/>
      <c r="T30" s="87"/>
      <c r="U30" s="2"/>
      <c r="V30" s="97"/>
      <c r="W30" s="2"/>
      <c r="X30" s="2"/>
      <c r="Y30" s="2"/>
      <c r="Z30" s="2"/>
      <c r="AA30" s="2"/>
      <c r="AB30" s="2"/>
      <c r="AC30" s="2"/>
    </row>
    <row r="31" spans="1:29" ht="9" customHeight="1" x14ac:dyDescent="0.4">
      <c r="A31" s="167"/>
      <c r="B31" s="532"/>
      <c r="C31" s="87"/>
      <c r="D31" s="2"/>
      <c r="E31" s="2"/>
      <c r="F31" s="2"/>
      <c r="G31" s="2"/>
      <c r="H31" s="2"/>
      <c r="I31" s="2"/>
      <c r="J31" s="532"/>
      <c r="K31" s="87"/>
      <c r="L31" s="2"/>
      <c r="M31" s="2"/>
      <c r="N31" s="2"/>
      <c r="O31" s="2"/>
      <c r="P31" s="2"/>
      <c r="R31"/>
      <c r="S31" s="234"/>
      <c r="T31" s="87"/>
      <c r="U31" s="2"/>
      <c r="V31" s="97"/>
      <c r="W31" s="2"/>
      <c r="X31" s="2"/>
      <c r="Y31" s="2"/>
      <c r="Z31" s="2"/>
      <c r="AA31" s="2"/>
      <c r="AB31" s="2"/>
      <c r="AC31" s="2"/>
    </row>
    <row r="32" spans="1:29" ht="9" customHeight="1" x14ac:dyDescent="0.4">
      <c r="A32" s="167"/>
      <c r="B32" s="532"/>
      <c r="C32" s="87"/>
      <c r="D32" s="2"/>
      <c r="E32" s="2"/>
      <c r="F32" s="2"/>
      <c r="G32" s="2"/>
      <c r="H32" s="2"/>
      <c r="I32" s="2"/>
      <c r="J32" s="532"/>
      <c r="K32" s="87"/>
      <c r="L32" s="2"/>
      <c r="M32" s="2"/>
      <c r="N32" s="2"/>
      <c r="O32" s="2"/>
      <c r="P32" s="2"/>
      <c r="R32"/>
      <c r="S32" s="423" t="s">
        <v>92</v>
      </c>
      <c r="T32" s="423"/>
      <c r="U32" s="97"/>
      <c r="V32" s="97"/>
      <c r="W32" s="2"/>
      <c r="X32" s="2"/>
      <c r="Y32" s="2"/>
      <c r="Z32" s="2"/>
      <c r="AA32" s="2"/>
      <c r="AB32" s="2"/>
      <c r="AC32" s="2"/>
    </row>
    <row r="33" spans="1:42" ht="9" customHeight="1" x14ac:dyDescent="0.4">
      <c r="A33" s="166"/>
      <c r="B33" s="532"/>
      <c r="C33" s="87"/>
      <c r="D33" s="2"/>
      <c r="E33" s="2"/>
      <c r="F33" s="2"/>
      <c r="G33" s="2"/>
      <c r="H33" s="2"/>
      <c r="I33" s="2"/>
      <c r="J33" s="532"/>
      <c r="K33" s="87"/>
      <c r="L33" s="2"/>
      <c r="M33" s="2"/>
      <c r="N33" s="2"/>
      <c r="O33" s="2"/>
      <c r="P33" s="2"/>
      <c r="R33"/>
      <c r="S33" s="423"/>
      <c r="T33" s="423"/>
      <c r="U33" s="2"/>
      <c r="V33" s="2"/>
      <c r="W33" s="2"/>
      <c r="X33" s="2"/>
      <c r="Y33" s="2"/>
      <c r="Z33" s="2"/>
      <c r="AA33" s="2"/>
      <c r="AB33" s="2"/>
      <c r="AC33" s="2"/>
    </row>
    <row r="34" spans="1:42" ht="9" customHeight="1" x14ac:dyDescent="0.4">
      <c r="A34" s="166"/>
      <c r="B34" s="532"/>
      <c r="C34" s="87"/>
      <c r="D34" s="2"/>
      <c r="E34" s="2"/>
      <c r="F34" s="2"/>
      <c r="G34" s="2"/>
      <c r="H34" s="2"/>
      <c r="I34" s="2"/>
      <c r="J34" s="532"/>
      <c r="K34" s="87"/>
      <c r="L34" s="2"/>
      <c r="M34" s="2"/>
      <c r="N34" s="2"/>
      <c r="O34" s="2"/>
      <c r="P34" s="2"/>
      <c r="R34"/>
      <c r="S34" s="423"/>
      <c r="T34" s="423"/>
      <c r="U34" s="2"/>
      <c r="V34" s="2"/>
      <c r="W34" s="2"/>
      <c r="X34" s="2"/>
      <c r="Y34" s="2"/>
      <c r="Z34" s="2"/>
      <c r="AA34" s="2"/>
      <c r="AB34" s="2"/>
      <c r="AC34" s="2"/>
    </row>
    <row r="35" spans="1:42" ht="9" customHeight="1" x14ac:dyDescent="0.4">
      <c r="A35" s="166"/>
      <c r="B35" s="532"/>
      <c r="C35" s="87"/>
      <c r="D35" s="2"/>
      <c r="E35" s="2"/>
      <c r="F35" s="2"/>
      <c r="G35" s="2"/>
      <c r="H35" s="2"/>
      <c r="I35" s="2"/>
      <c r="J35" s="532"/>
      <c r="K35" s="87"/>
      <c r="L35" s="2"/>
      <c r="M35" s="2"/>
      <c r="N35" s="2"/>
      <c r="O35" s="2"/>
      <c r="P35" s="2"/>
      <c r="R35"/>
      <c r="S35" s="234"/>
      <c r="T35" s="87"/>
      <c r="U35" s="2"/>
      <c r="V35" s="2"/>
      <c r="W35" s="2"/>
      <c r="X35" s="2"/>
      <c r="Y35" s="2"/>
      <c r="Z35" s="2"/>
      <c r="AA35" s="2"/>
      <c r="AB35" s="2"/>
      <c r="AC35" s="2"/>
    </row>
    <row r="36" spans="1:42" ht="9" customHeight="1" x14ac:dyDescent="0.4">
      <c r="A36" s="166"/>
      <c r="B36" s="532"/>
      <c r="C36" s="87"/>
      <c r="D36" s="2"/>
      <c r="E36" s="2"/>
      <c r="F36" s="2"/>
      <c r="G36" s="2"/>
      <c r="H36" s="2"/>
      <c r="I36" s="2"/>
      <c r="J36" s="532"/>
      <c r="K36" s="87"/>
      <c r="L36" s="2"/>
      <c r="M36" s="2"/>
      <c r="N36" s="2"/>
      <c r="O36" s="2"/>
      <c r="P36" s="2"/>
      <c r="R36"/>
      <c r="S36" s="233"/>
      <c r="T36" s="212"/>
      <c r="U36" s="234"/>
      <c r="V36" s="87"/>
      <c r="W36" s="2"/>
      <c r="X36" s="2"/>
      <c r="Y36" s="2"/>
      <c r="Z36" s="2"/>
      <c r="AA36" s="2"/>
      <c r="AB36" s="2"/>
      <c r="AC36" s="2"/>
    </row>
    <row r="37" spans="1:42" ht="9" customHeight="1" x14ac:dyDescent="0.4">
      <c r="A37" s="166"/>
      <c r="B37" s="532"/>
      <c r="C37" s="87"/>
      <c r="D37" s="2"/>
      <c r="E37" s="2"/>
      <c r="F37" s="2"/>
      <c r="G37" s="2"/>
      <c r="H37" s="2"/>
      <c r="I37" s="2"/>
      <c r="J37" s="532"/>
      <c r="K37" s="87"/>
      <c r="L37" s="2"/>
      <c r="M37" s="2"/>
      <c r="N37" s="2"/>
      <c r="O37" s="2"/>
      <c r="P37" s="2"/>
      <c r="Q37" s="233"/>
      <c r="R37" s="212"/>
      <c r="S37" s="234"/>
      <c r="T37" s="87"/>
      <c r="U37" s="2"/>
      <c r="V37" s="2"/>
      <c r="W37" s="2"/>
      <c r="X37" s="2"/>
      <c r="Y37" s="2"/>
      <c r="Z37" s="2"/>
      <c r="AA37" s="2"/>
      <c r="AB37" s="2"/>
      <c r="AC37" s="2"/>
    </row>
    <row r="38" spans="1:42" ht="9" customHeight="1" x14ac:dyDescent="0.4">
      <c r="A38" s="166"/>
      <c r="B38" s="532"/>
      <c r="C38" s="87"/>
      <c r="D38" s="2"/>
      <c r="E38" s="2"/>
      <c r="F38" s="2"/>
      <c r="G38" s="2"/>
      <c r="H38" s="2"/>
      <c r="I38" s="2"/>
      <c r="J38" s="532"/>
      <c r="K38" s="87"/>
      <c r="L38" s="2"/>
      <c r="M38" s="2"/>
      <c r="N38" s="2"/>
      <c r="O38" s="2"/>
      <c r="P38" s="2"/>
      <c r="Q38" s="233"/>
      <c r="R38" s="212"/>
      <c r="S38" s="234"/>
      <c r="T38" s="87"/>
      <c r="U38" s="2"/>
      <c r="V38" s="2"/>
      <c r="W38" s="2"/>
      <c r="X38" s="2"/>
      <c r="Y38" s="2"/>
      <c r="Z38" s="2"/>
      <c r="AA38" s="2"/>
      <c r="AB38" s="2"/>
      <c r="AC38" s="2"/>
    </row>
    <row r="39" spans="1:42" ht="9" customHeight="1" x14ac:dyDescent="0.4">
      <c r="A39" s="166"/>
      <c r="B39" s="532"/>
      <c r="C39" s="87"/>
      <c r="D39" s="2"/>
      <c r="E39" s="2"/>
      <c r="F39" s="2"/>
      <c r="G39" s="2"/>
      <c r="H39" s="2"/>
      <c r="I39" s="2"/>
      <c r="J39" s="532"/>
      <c r="K39" s="87"/>
      <c r="L39" s="2"/>
      <c r="M39" s="2"/>
      <c r="N39" s="2"/>
      <c r="O39" s="2"/>
      <c r="P39" s="2"/>
      <c r="Q39" s="233"/>
      <c r="R39" s="212"/>
      <c r="S39" s="234"/>
      <c r="T39" s="87"/>
      <c r="U39" s="2"/>
      <c r="V39" s="2"/>
      <c r="W39" s="2"/>
      <c r="X39" s="2"/>
      <c r="Y39" s="2"/>
      <c r="Z39" s="2"/>
      <c r="AA39" s="2"/>
      <c r="AB39" s="2"/>
      <c r="AC39" s="2"/>
    </row>
    <row r="40" spans="1:42" ht="9" customHeight="1" x14ac:dyDescent="0.4">
      <c r="A40" s="166"/>
      <c r="B40" s="532"/>
      <c r="C40" s="87"/>
      <c r="D40" s="2"/>
      <c r="E40" s="2"/>
      <c r="F40" s="2"/>
      <c r="G40" s="2"/>
      <c r="H40" s="2"/>
      <c r="I40" s="2"/>
      <c r="J40" s="532"/>
      <c r="K40" s="87"/>
      <c r="L40" s="2"/>
      <c r="M40" s="2"/>
      <c r="N40" s="2"/>
      <c r="O40" s="2"/>
      <c r="P40" s="2"/>
      <c r="Q40" s="233"/>
      <c r="R40" s="212"/>
      <c r="S40" s="234"/>
      <c r="T40" s="87"/>
      <c r="U40" s="2"/>
      <c r="V40" s="2"/>
      <c r="W40" s="2"/>
      <c r="X40" s="2"/>
      <c r="Y40" s="2"/>
      <c r="Z40" s="2"/>
      <c r="AA40" s="2"/>
      <c r="AB40" s="2"/>
      <c r="AC40" s="2"/>
    </row>
    <row r="41" spans="1:42" ht="9" customHeight="1" x14ac:dyDescent="0.4">
      <c r="A41" s="166"/>
      <c r="B41" s="532"/>
      <c r="C41" s="87"/>
      <c r="D41" s="2"/>
      <c r="E41" s="2"/>
      <c r="F41" s="2"/>
      <c r="G41" s="2"/>
      <c r="H41" s="2"/>
      <c r="I41" s="2"/>
      <c r="J41" s="532"/>
      <c r="K41" s="87"/>
      <c r="L41" s="2"/>
      <c r="M41" s="2"/>
      <c r="N41" s="2"/>
      <c r="O41" s="2"/>
      <c r="P41" s="2"/>
      <c r="Q41" s="233"/>
      <c r="R41" s="212"/>
      <c r="S41" s="234"/>
      <c r="T41" s="87"/>
      <c r="U41" s="2"/>
      <c r="V41" s="2"/>
      <c r="W41" s="2"/>
      <c r="X41" s="2"/>
      <c r="Y41" s="2"/>
      <c r="Z41" s="2"/>
      <c r="AA41" s="2"/>
      <c r="AB41" s="2"/>
      <c r="AC41" s="2"/>
    </row>
    <row r="42" spans="1:42" ht="9" customHeight="1" x14ac:dyDescent="0.4">
      <c r="A42" s="166"/>
      <c r="B42" s="532"/>
      <c r="C42" s="87"/>
      <c r="D42" s="2"/>
      <c r="E42" s="2"/>
      <c r="F42" s="2"/>
      <c r="G42" s="2"/>
      <c r="H42" s="2"/>
      <c r="I42" s="2"/>
      <c r="J42" s="532"/>
      <c r="K42" s="87"/>
      <c r="L42" s="2"/>
      <c r="M42" s="2"/>
      <c r="N42" s="2"/>
      <c r="O42" s="2"/>
      <c r="P42" s="2"/>
      <c r="Q42" s="233"/>
      <c r="R42" s="212"/>
      <c r="S42" s="234"/>
      <c r="T42" s="87"/>
      <c r="U42" s="2"/>
      <c r="V42" s="2"/>
      <c r="W42" s="2"/>
      <c r="X42" s="2"/>
      <c r="Y42" s="2"/>
      <c r="Z42" s="2"/>
      <c r="AA42" s="2"/>
      <c r="AB42" s="2"/>
      <c r="AC42" s="2"/>
    </row>
    <row r="43" spans="1:42" ht="26.25" x14ac:dyDescent="0.4">
      <c r="A43" s="166"/>
      <c r="B43" s="532"/>
      <c r="C43" s="87"/>
      <c r="D43" s="2"/>
      <c r="E43" s="2"/>
      <c r="F43" s="2"/>
      <c r="G43" s="2"/>
      <c r="H43" s="2"/>
      <c r="I43" s="2"/>
      <c r="J43" s="532"/>
      <c r="K43" s="87"/>
      <c r="L43" s="2"/>
      <c r="M43" s="2"/>
      <c r="N43" s="2"/>
      <c r="O43" s="2"/>
      <c r="P43" s="215"/>
      <c r="Q43" s="215"/>
      <c r="R43" s="233"/>
      <c r="S43" s="147"/>
      <c r="T43" s="211"/>
      <c r="U43" s="211"/>
      <c r="V43" s="211"/>
      <c r="W43" s="211"/>
      <c r="X43" s="215"/>
      <c r="Y43" s="215"/>
      <c r="Z43" s="215"/>
      <c r="AA43" s="215"/>
      <c r="AB43" s="2"/>
      <c r="AC43" s="2"/>
    </row>
    <row r="44" spans="1:42" ht="9" customHeight="1" x14ac:dyDescent="0.4">
      <c r="A44" s="166"/>
      <c r="B44" s="532"/>
      <c r="C44" s="87"/>
      <c r="D44" s="2"/>
      <c r="E44" s="2"/>
      <c r="F44" s="2"/>
      <c r="G44" s="2"/>
      <c r="H44" s="2"/>
      <c r="I44" s="2"/>
      <c r="J44" s="532"/>
      <c r="K44" s="87"/>
      <c r="L44" s="2"/>
      <c r="M44" s="2"/>
      <c r="N44" s="2"/>
      <c r="O44" s="2"/>
      <c r="P44" s="2"/>
      <c r="Q44" s="2"/>
      <c r="R44" s="233"/>
      <c r="S44" s="212"/>
      <c r="T44" s="234"/>
      <c r="U44" s="87"/>
      <c r="V44" s="2"/>
      <c r="W44" s="2"/>
      <c r="X44" s="2"/>
      <c r="Y44" s="2"/>
      <c r="Z44" s="2"/>
      <c r="AA44" s="2"/>
      <c r="AB44" s="2"/>
      <c r="AC44" s="2"/>
    </row>
    <row r="45" spans="1:42" ht="9" customHeight="1" x14ac:dyDescent="0.4">
      <c r="A45" s="166"/>
      <c r="B45" s="532"/>
      <c r="C45" s="87"/>
      <c r="D45" s="2"/>
      <c r="E45" s="2"/>
      <c r="F45" s="2"/>
      <c r="G45" s="2"/>
      <c r="H45" s="2"/>
      <c r="I45" s="2"/>
      <c r="J45" s="532"/>
      <c r="K45" s="87"/>
      <c r="L45" s="2"/>
      <c r="M45" s="2"/>
      <c r="N45" s="2"/>
      <c r="O45" s="2"/>
      <c r="P45" s="2"/>
      <c r="Q45" s="2"/>
      <c r="R45" s="233"/>
      <c r="S45" s="212"/>
      <c r="T45" s="234"/>
      <c r="U45" s="87"/>
      <c r="V45" s="2"/>
      <c r="W45" s="2"/>
      <c r="X45" s="2"/>
      <c r="Y45" s="2"/>
      <c r="Z45" s="2"/>
      <c r="AA45" s="2"/>
      <c r="AB45" s="2"/>
      <c r="AC45" s="2"/>
    </row>
    <row r="46" spans="1:42" s="10" customFormat="1" ht="20.25" customHeight="1" x14ac:dyDescent="0.4">
      <c r="A46" s="166"/>
      <c r="B46" s="532"/>
      <c r="C46" s="87"/>
      <c r="D46" s="2"/>
      <c r="E46" s="2"/>
      <c r="F46" s="2"/>
      <c r="G46" s="2"/>
      <c r="H46" s="2"/>
      <c r="I46" s="2"/>
      <c r="J46" s="532"/>
      <c r="K46" s="87"/>
      <c r="L46" s="2"/>
      <c r="M46" s="2"/>
      <c r="N46" s="2"/>
      <c r="O46" s="2"/>
      <c r="P46" s="2"/>
      <c r="Q46" s="2"/>
      <c r="R46" s="233"/>
      <c r="S46" s="212"/>
      <c r="T46" s="234"/>
      <c r="U46" s="87"/>
      <c r="V46" s="2"/>
      <c r="W46" s="2"/>
      <c r="X46" s="2"/>
      <c r="Y46" s="2"/>
      <c r="Z46" s="2"/>
      <c r="AA46" s="2"/>
      <c r="AB46" s="2"/>
      <c r="AC46" s="2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1:42" ht="16.5" customHeight="1" x14ac:dyDescent="0.4">
      <c r="A47" s="87"/>
      <c r="B47" s="103"/>
      <c r="C47" s="161"/>
      <c r="D47" s="161"/>
      <c r="E47" s="161"/>
      <c r="F47" s="161"/>
      <c r="G47" s="161"/>
      <c r="H47" s="156"/>
      <c r="I47" s="156"/>
      <c r="J47" s="103"/>
      <c r="K47" s="161"/>
      <c r="L47" s="161"/>
      <c r="M47" s="161"/>
      <c r="N47" s="161"/>
      <c r="O47" s="161"/>
      <c r="P47" s="23"/>
      <c r="Q47" s="161"/>
      <c r="R47" s="87"/>
      <c r="S47" s="87"/>
      <c r="T47" s="103"/>
      <c r="U47" s="161"/>
      <c r="V47" s="161"/>
      <c r="W47" s="161"/>
      <c r="X47" s="161"/>
      <c r="Y47" s="161"/>
      <c r="Z47" s="161"/>
      <c r="AA47" s="161"/>
      <c r="AB47" s="161"/>
      <c r="AC47" s="2"/>
    </row>
    <row r="48" spans="1:42" s="94" customFormat="1" ht="16.5" customHeight="1" x14ac:dyDescent="0.35">
      <c r="A48" s="2"/>
      <c r="B48" s="103"/>
      <c r="C48" s="23"/>
      <c r="D48" s="23"/>
      <c r="E48" s="23"/>
      <c r="F48" s="23"/>
      <c r="G48" s="23"/>
      <c r="H48" s="156"/>
      <c r="I48" s="156"/>
      <c r="J48" s="103"/>
      <c r="K48" s="23"/>
      <c r="L48" s="23"/>
      <c r="M48" s="23"/>
      <c r="N48" s="23"/>
      <c r="O48" s="23"/>
      <c r="P48" s="2"/>
      <c r="Q48" s="23"/>
      <c r="R48" s="2"/>
      <c r="S48" s="2"/>
      <c r="T48" s="103"/>
      <c r="U48" s="23"/>
      <c r="V48" s="23"/>
      <c r="W48" s="23"/>
      <c r="X48" s="2"/>
      <c r="Y48" s="2"/>
      <c r="Z48" s="2"/>
      <c r="AA48" s="2"/>
      <c r="AB48" s="2"/>
      <c r="AC48" s="2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1:42" s="91" customFormat="1" ht="16.5" customHeight="1" x14ac:dyDescent="0.25">
      <c r="A49" s="95"/>
      <c r="B49" s="534"/>
      <c r="C49" s="533"/>
      <c r="D49" s="533"/>
      <c r="E49" s="533"/>
      <c r="F49" s="533"/>
      <c r="G49" s="533"/>
      <c r="H49" s="139"/>
      <c r="I49" s="139"/>
      <c r="J49" s="534"/>
      <c r="K49" s="533"/>
      <c r="L49" s="533"/>
      <c r="M49" s="533"/>
      <c r="N49" s="533"/>
      <c r="O49" s="236"/>
      <c r="P49" s="237"/>
      <c r="Q49" s="236"/>
      <c r="R49" s="140"/>
      <c r="S49" s="140"/>
      <c r="T49" s="237"/>
      <c r="U49" s="236"/>
      <c r="V49" s="236"/>
      <c r="W49" s="236"/>
      <c r="X49" s="236"/>
      <c r="Y49" s="236"/>
      <c r="Z49" s="236"/>
      <c r="AA49" s="236"/>
      <c r="AB49" s="236"/>
      <c r="AC49" s="2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 s="2" customFormat="1" ht="16.5" customHeight="1" x14ac:dyDescent="0.25">
      <c r="A50" s="92"/>
      <c r="B50" s="534"/>
      <c r="C50" s="533"/>
      <c r="D50" s="533"/>
      <c r="E50" s="533"/>
      <c r="F50" s="533"/>
      <c r="G50" s="533"/>
      <c r="H50" s="139"/>
      <c r="I50" s="139"/>
      <c r="J50" s="534"/>
      <c r="K50" s="533"/>
      <c r="L50" s="533"/>
      <c r="M50" s="533"/>
      <c r="N50" s="533"/>
      <c r="O50" s="236"/>
      <c r="P50" s="237"/>
      <c r="Q50" s="236"/>
      <c r="R50" s="141"/>
      <c r="S50" s="141"/>
      <c r="T50" s="237"/>
      <c r="U50" s="236"/>
      <c r="V50" s="236"/>
      <c r="W50" s="236"/>
      <c r="X50" s="236"/>
      <c r="Y50" s="236"/>
      <c r="Z50" s="236"/>
      <c r="AA50" s="236"/>
      <c r="AB50" s="236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 s="2" customFormat="1" ht="16.5" customHeight="1" x14ac:dyDescent="0.25">
      <c r="A51" s="89"/>
      <c r="B51" s="536"/>
      <c r="C51" s="533"/>
      <c r="D51" s="533"/>
      <c r="E51" s="533"/>
      <c r="F51" s="533"/>
      <c r="G51" s="533"/>
      <c r="H51" s="139"/>
      <c r="I51" s="139"/>
      <c r="J51" s="534"/>
      <c r="K51" s="533"/>
      <c r="L51" s="533"/>
      <c r="M51" s="533"/>
      <c r="N51" s="533"/>
      <c r="O51" s="236"/>
      <c r="P51" s="237"/>
      <c r="Q51" s="236"/>
      <c r="R51" s="141"/>
      <c r="S51" s="141"/>
      <c r="T51" s="237"/>
      <c r="U51" s="236"/>
      <c r="V51" s="236"/>
      <c r="W51" s="236"/>
      <c r="X51" s="236"/>
      <c r="Y51" s="236"/>
      <c r="Z51" s="236"/>
      <c r="AA51" s="236"/>
      <c r="AB51" s="236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1:42" s="2" customFormat="1" ht="16.5" customHeight="1" x14ac:dyDescent="0.25">
      <c r="A52" s="89"/>
      <c r="B52" s="536"/>
      <c r="C52" s="533"/>
      <c r="D52" s="533"/>
      <c r="E52" s="533"/>
      <c r="F52" s="533"/>
      <c r="G52" s="533"/>
      <c r="H52" s="139"/>
      <c r="I52" s="139"/>
      <c r="J52" s="534"/>
      <c r="K52" s="533"/>
      <c r="L52" s="533"/>
      <c r="M52" s="533"/>
      <c r="N52" s="533"/>
      <c r="O52" s="236"/>
      <c r="P52" s="237"/>
      <c r="Q52" s="236"/>
      <c r="R52" s="141"/>
      <c r="S52" s="141"/>
      <c r="T52" s="237"/>
      <c r="U52" s="236"/>
      <c r="V52" s="236"/>
      <c r="W52" s="236"/>
      <c r="X52" s="236"/>
      <c r="Y52" s="236"/>
      <c r="Z52" s="236"/>
      <c r="AA52" s="236"/>
      <c r="AB52" s="236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 s="2" customFormat="1" ht="20.100000000000001" customHeight="1" x14ac:dyDescent="0.25">
      <c r="A53" s="89"/>
      <c r="B53" s="535"/>
      <c r="C53" s="533"/>
      <c r="D53" s="533"/>
      <c r="E53" s="533"/>
      <c r="F53" s="533"/>
      <c r="G53" s="533"/>
      <c r="H53" s="156"/>
      <c r="I53" s="156"/>
      <c r="J53" s="535"/>
      <c r="K53" s="533"/>
      <c r="L53" s="533"/>
      <c r="M53" s="533"/>
      <c r="N53" s="533"/>
      <c r="O53" s="236"/>
      <c r="P53" s="238"/>
      <c r="Q53" s="236"/>
      <c r="T53" s="238"/>
      <c r="U53" s="236"/>
      <c r="V53" s="236"/>
      <c r="W53" s="236"/>
      <c r="X53" s="236"/>
      <c r="Y53" s="236"/>
      <c r="Z53" s="236"/>
      <c r="AA53" s="236"/>
      <c r="AB53" s="236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 s="2" customFormat="1" ht="20.100000000000001" customHeight="1" x14ac:dyDescent="0.25">
      <c r="A54" s="89"/>
      <c r="B54" s="535"/>
      <c r="C54" s="533"/>
      <c r="D54" s="533"/>
      <c r="E54" s="533"/>
      <c r="F54" s="533"/>
      <c r="G54" s="533"/>
      <c r="H54" s="139"/>
      <c r="I54" s="139"/>
      <c r="J54" s="535"/>
      <c r="K54" s="533"/>
      <c r="L54" s="533"/>
      <c r="M54" s="533"/>
      <c r="N54" s="533"/>
      <c r="O54" s="236"/>
      <c r="P54" s="238"/>
      <c r="Q54" s="236"/>
      <c r="R54" s="140"/>
      <c r="S54" s="140"/>
      <c r="T54" s="238"/>
      <c r="U54" s="236"/>
      <c r="V54" s="236"/>
      <c r="W54" s="236"/>
      <c r="X54" s="236"/>
      <c r="Y54" s="236"/>
      <c r="Z54" s="236"/>
      <c r="AA54" s="236"/>
      <c r="AB54" s="236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 ht="23.25" x14ac:dyDescent="0.25">
      <c r="A55" s="89"/>
      <c r="B55" s="168"/>
      <c r="C55" s="152"/>
      <c r="D55" s="152"/>
      <c r="E55" s="152"/>
      <c r="F55" s="152"/>
      <c r="G55" s="152"/>
      <c r="H55" s="139"/>
      <c r="I55" s="139"/>
      <c r="J55" s="169"/>
      <c r="K55" s="152"/>
      <c r="L55" s="152"/>
      <c r="M55" s="152"/>
      <c r="N55" s="152"/>
      <c r="O55" s="152"/>
      <c r="P55" s="2"/>
      <c r="Q55" s="152"/>
      <c r="R55" s="141"/>
      <c r="S55" s="141"/>
      <c r="T55" s="2"/>
      <c r="U55" s="152"/>
      <c r="V55" s="152"/>
      <c r="W55" s="152"/>
      <c r="X55" s="152"/>
      <c r="Y55" s="152"/>
      <c r="Z55" s="152"/>
      <c r="AA55" s="152"/>
      <c r="AB55" s="152"/>
      <c r="AC55" s="2"/>
    </row>
    <row r="56" spans="1:42" x14ac:dyDescent="0.35">
      <c r="R56"/>
      <c r="T56" s="147"/>
      <c r="AC56" s="2"/>
    </row>
    <row r="57" spans="1:42" x14ac:dyDescent="0.35">
      <c r="R57"/>
      <c r="T57" s="147"/>
      <c r="AC57" s="2"/>
    </row>
    <row r="58" spans="1:42" x14ac:dyDescent="0.35">
      <c r="R58"/>
      <c r="T58" s="147"/>
      <c r="AC58" s="2"/>
    </row>
    <row r="59" spans="1:42" x14ac:dyDescent="0.35">
      <c r="R59"/>
      <c r="T59" s="147"/>
      <c r="AC59" s="2"/>
    </row>
    <row r="60" spans="1:42" x14ac:dyDescent="0.35">
      <c r="R60"/>
      <c r="T60" s="147"/>
      <c r="AC60" s="2"/>
    </row>
    <row r="61" spans="1:42" x14ac:dyDescent="0.35">
      <c r="R61"/>
      <c r="T61" s="147"/>
    </row>
    <row r="62" spans="1:42" x14ac:dyDescent="0.35">
      <c r="R62"/>
      <c r="T62" s="147"/>
    </row>
    <row r="63" spans="1:42" x14ac:dyDescent="0.35">
      <c r="R63"/>
      <c r="T63" s="147"/>
    </row>
    <row r="64" spans="1:42" x14ac:dyDescent="0.35">
      <c r="R64"/>
      <c r="T64" s="147"/>
    </row>
    <row r="65" spans="1:42" x14ac:dyDescent="0.35">
      <c r="R65"/>
      <c r="T65" s="147"/>
    </row>
    <row r="66" spans="1:42" x14ac:dyDescent="0.35">
      <c r="R66" s="19"/>
      <c r="S66" s="242">
        <v>6</v>
      </c>
      <c r="T66" s="242">
        <f>S66+1</f>
        <v>7</v>
      </c>
      <c r="U66" s="242">
        <f t="shared" ref="U66:V66" si="3">T66+1</f>
        <v>8</v>
      </c>
      <c r="V66" s="242">
        <f t="shared" si="3"/>
        <v>9</v>
      </c>
      <c r="W66" s="242">
        <f>N66</f>
        <v>0</v>
      </c>
    </row>
    <row r="67" spans="1:42" x14ac:dyDescent="0.35">
      <c r="R67" s="527" t="s">
        <v>91</v>
      </c>
      <c r="S67" s="527">
        <f ca="1">VLOOKUP(S66,'Récap devis'!$C$5:$J$57,8,FALSE)</f>
        <v>314</v>
      </c>
      <c r="T67" s="527">
        <f ca="1">VLOOKUP(T66,'Récap devis'!$C$5:$J$57,8,FALSE)</f>
        <v>343</v>
      </c>
      <c r="U67" s="527">
        <f ca="1">VLOOKUP(U66,'Récap devis'!$C$5:$J$57,8,FALSE)</f>
        <v>299</v>
      </c>
      <c r="V67" s="527">
        <f ca="1">VLOOKUP(V66,'Récap devis'!$C$5:$J$57,8,FALSE)</f>
        <v>277</v>
      </c>
      <c r="W67" s="527"/>
    </row>
    <row r="68" spans="1:42" x14ac:dyDescent="0.35">
      <c r="R68" s="509"/>
      <c r="S68" s="509"/>
      <c r="T68" s="509"/>
      <c r="U68" s="509"/>
      <c r="V68" s="509"/>
      <c r="W68" s="509"/>
    </row>
    <row r="69" spans="1:42" x14ac:dyDescent="0.35">
      <c r="R69" s="527" t="s">
        <v>31</v>
      </c>
      <c r="S69" s="527">
        <f ca="1">+S67</f>
        <v>314</v>
      </c>
      <c r="T69" s="527">
        <f ca="1">+S69+T67</f>
        <v>657</v>
      </c>
      <c r="U69" s="527">
        <f t="shared" ref="U69:V69" ca="1" si="4">+T69+U67</f>
        <v>956</v>
      </c>
      <c r="V69" s="527">
        <f t="shared" ca="1" si="4"/>
        <v>1233</v>
      </c>
      <c r="W69" s="527"/>
    </row>
    <row r="70" spans="1:42" x14ac:dyDescent="0.35">
      <c r="R70" s="509"/>
      <c r="S70" s="509"/>
      <c r="T70" s="509"/>
      <c r="U70" s="509"/>
      <c r="V70" s="509"/>
      <c r="W70" s="509"/>
      <c r="AN70" s="73"/>
      <c r="AO70" s="73"/>
      <c r="AP70" s="73"/>
    </row>
    <row r="71" spans="1:42" x14ac:dyDescent="0.35">
      <c r="R71" s="240" t="s">
        <v>63</v>
      </c>
      <c r="S71" s="241">
        <f ca="1">VLOOKUP(S66,'Récap devis'!$C$5:$L$57,10,FALSE)</f>
        <v>40</v>
      </c>
      <c r="T71" s="241">
        <f ca="1">VLOOKUP(T66,'Récap devis'!$C$5:$L$57,10,FALSE)</f>
        <v>61</v>
      </c>
      <c r="U71" s="241">
        <f ca="1">VLOOKUP(U66,'Récap devis'!$C$5:$L$57,10,FALSE)</f>
        <v>69</v>
      </c>
      <c r="V71" s="241">
        <f ca="1">VLOOKUP(V66,'Récap devis'!$C$5:$L$57,10,FALSE)</f>
        <v>24</v>
      </c>
      <c r="W71" s="241" t="e">
        <f>VLOOKUP(W66,'Récap devis'!$C$5:$L$57,10,FALSE)</f>
        <v>#N/A</v>
      </c>
    </row>
    <row r="72" spans="1:42" s="73" customFormat="1" ht="15" customHeight="1" x14ac:dyDescent="0.35">
      <c r="A72"/>
      <c r="B72" s="147"/>
      <c r="C72"/>
      <c r="D72"/>
      <c r="E72"/>
      <c r="F72"/>
      <c r="G72"/>
      <c r="H72"/>
      <c r="I72"/>
      <c r="J72" s="147"/>
      <c r="K72"/>
      <c r="L72"/>
      <c r="M72"/>
      <c r="N72"/>
      <c r="O72"/>
      <c r="P72"/>
      <c r="Q72"/>
      <c r="R72"/>
      <c r="S72"/>
      <c r="T72" s="147"/>
      <c r="U72"/>
      <c r="V72"/>
      <c r="W72"/>
      <c r="X72"/>
      <c r="Y72"/>
      <c r="Z72"/>
      <c r="AA72"/>
      <c r="AB72"/>
      <c r="AH72"/>
      <c r="AI72"/>
      <c r="AJ72"/>
    </row>
    <row r="73" spans="1:42" ht="16.5" customHeight="1" x14ac:dyDescent="0.35">
      <c r="A73" s="73"/>
      <c r="C73" s="73"/>
      <c r="D73" s="73"/>
      <c r="E73" s="73"/>
      <c r="F73" s="73"/>
      <c r="G73" s="73"/>
      <c r="H73" s="73"/>
      <c r="I73" s="73"/>
      <c r="K73" s="73"/>
      <c r="L73" s="73"/>
      <c r="M73" s="73"/>
      <c r="N73" s="73"/>
      <c r="O73" s="73"/>
      <c r="P73" s="73"/>
      <c r="Q73" s="73"/>
      <c r="S73" s="73"/>
      <c r="T73" s="73"/>
      <c r="U73" s="73"/>
      <c r="V73" s="73"/>
      <c r="W73" s="73"/>
      <c r="X73" s="73"/>
      <c r="Y73" s="73"/>
      <c r="Z73" s="73"/>
      <c r="AA73" s="73"/>
      <c r="AB73" s="73"/>
    </row>
    <row r="74" spans="1:42" ht="16.5" customHeight="1" x14ac:dyDescent="0.25">
      <c r="A74" s="48"/>
      <c r="B74" s="48"/>
      <c r="C74" s="48"/>
      <c r="D74" s="48"/>
      <c r="E74" s="48"/>
      <c r="F74" s="48"/>
      <c r="G74" s="62"/>
      <c r="H74" s="148"/>
      <c r="I74" s="148"/>
      <c r="J74" s="48"/>
      <c r="K74" s="48"/>
      <c r="L74" s="48"/>
      <c r="M74" s="48"/>
      <c r="N74" s="48"/>
      <c r="O74" s="48"/>
      <c r="P74" s="148"/>
      <c r="Q74" s="148"/>
      <c r="R74" s="48"/>
      <c r="S74" s="48"/>
      <c r="T74" s="48"/>
      <c r="U74" s="48"/>
      <c r="V74" s="48"/>
      <c r="W74" s="148"/>
      <c r="X74" s="48"/>
      <c r="Y74" s="230"/>
      <c r="Z74" s="48"/>
      <c r="AA74" s="48"/>
      <c r="AB74" s="48"/>
    </row>
    <row r="75" spans="1:42" ht="16.5" customHeight="1" x14ac:dyDescent="0.25">
      <c r="A75" s="418" t="s">
        <v>42</v>
      </c>
      <c r="B75" s="418"/>
      <c r="C75" s="418"/>
      <c r="D75" s="418"/>
      <c r="E75" s="418"/>
      <c r="F75" s="418"/>
      <c r="G75" s="464">
        <v>2020</v>
      </c>
      <c r="H75" s="464"/>
      <c r="I75" s="464"/>
      <c r="J75" s="464"/>
      <c r="K75" s="464"/>
      <c r="L75" s="171"/>
      <c r="M75" s="171"/>
      <c r="N75" s="171"/>
      <c r="O75" s="171"/>
      <c r="P75" s="171"/>
      <c r="Q75" s="171"/>
      <c r="R75" s="57"/>
      <c r="S75" s="57"/>
      <c r="T75" s="57"/>
      <c r="U75" s="57"/>
      <c r="V75" s="57"/>
      <c r="W75" s="150"/>
      <c r="X75" s="57"/>
      <c r="Y75" s="214"/>
      <c r="Z75" s="57"/>
      <c r="AA75" s="57"/>
      <c r="AB75" s="57"/>
    </row>
    <row r="76" spans="1:42" ht="16.5" customHeight="1" x14ac:dyDescent="0.25">
      <c r="A76" s="418"/>
      <c r="B76" s="418"/>
      <c r="C76" s="418"/>
      <c r="D76" s="418"/>
      <c r="E76" s="418"/>
      <c r="F76" s="418"/>
      <c r="G76" s="464"/>
      <c r="H76" s="464"/>
      <c r="I76" s="464"/>
      <c r="J76" s="464"/>
      <c r="K76" s="464"/>
      <c r="L76" s="171"/>
      <c r="M76" s="171"/>
      <c r="N76" s="171"/>
      <c r="O76" s="171"/>
      <c r="P76" s="171"/>
      <c r="Q76" s="171"/>
      <c r="R76" s="57"/>
      <c r="S76" s="57"/>
      <c r="T76" s="57"/>
      <c r="U76" s="57"/>
      <c r="V76" s="57"/>
      <c r="W76" s="150"/>
      <c r="X76" s="57"/>
      <c r="Y76" s="214"/>
      <c r="Z76" s="57"/>
      <c r="AA76" s="57"/>
      <c r="AB76" s="57"/>
    </row>
    <row r="77" spans="1:42" ht="16.5" customHeight="1" x14ac:dyDescent="0.25">
      <c r="A77" s="418"/>
      <c r="B77" s="418"/>
      <c r="C77" s="418"/>
      <c r="D77" s="418"/>
      <c r="E77" s="418"/>
      <c r="F77" s="418"/>
      <c r="G77" s="464"/>
      <c r="H77" s="464"/>
      <c r="I77" s="464"/>
      <c r="J77" s="464"/>
      <c r="K77" s="464"/>
      <c r="L77" s="171"/>
      <c r="M77" s="171"/>
      <c r="N77" s="171"/>
      <c r="O77" s="171"/>
      <c r="P77" s="171"/>
      <c r="Q77" s="171"/>
      <c r="R77" s="57"/>
      <c r="S77" s="57"/>
      <c r="T77" s="57"/>
      <c r="U77" s="57"/>
      <c r="V77" s="57"/>
      <c r="W77" s="150"/>
      <c r="X77" s="57"/>
      <c r="Y77" s="214"/>
      <c r="Z77" s="57"/>
      <c r="AA77" s="57"/>
      <c r="AB77" s="57"/>
    </row>
    <row r="78" spans="1:42" ht="61.5" x14ac:dyDescent="0.25">
      <c r="A78" s="50"/>
      <c r="B78" s="50"/>
      <c r="C78" s="50"/>
      <c r="D78" s="50"/>
      <c r="E78" s="50"/>
      <c r="F78" s="50"/>
      <c r="G78" s="61"/>
      <c r="H78" s="149"/>
      <c r="I78" s="149"/>
      <c r="J78" s="50"/>
      <c r="K78" s="50"/>
      <c r="L78" s="50"/>
      <c r="M78" s="50"/>
      <c r="N78" s="50"/>
      <c r="O78" s="50"/>
      <c r="P78" s="149"/>
      <c r="Q78" s="149"/>
      <c r="R78" s="50"/>
      <c r="S78" s="50"/>
      <c r="T78" s="50"/>
      <c r="U78" s="50"/>
      <c r="V78" s="50"/>
      <c r="W78" s="149"/>
      <c r="X78" s="50"/>
      <c r="Y78" s="231"/>
      <c r="Z78" s="50"/>
      <c r="AA78" s="50"/>
      <c r="AB78" s="50"/>
    </row>
    <row r="107" spans="1:1" x14ac:dyDescent="0.35">
      <c r="A107" s="10"/>
    </row>
  </sheetData>
  <mergeCells count="106">
    <mergeCell ref="A75:F77"/>
    <mergeCell ref="A1:Y5"/>
    <mergeCell ref="F53:F54"/>
    <mergeCell ref="G53:G54"/>
    <mergeCell ref="J53:J54"/>
    <mergeCell ref="K53:K54"/>
    <mergeCell ref="L53:L54"/>
    <mergeCell ref="M53:M54"/>
    <mergeCell ref="B53:B54"/>
    <mergeCell ref="C53:C54"/>
    <mergeCell ref="D53:D54"/>
    <mergeCell ref="E53:E54"/>
    <mergeCell ref="J51:J52"/>
    <mergeCell ref="K51:K52"/>
    <mergeCell ref="L51:L52"/>
    <mergeCell ref="M51:M52"/>
    <mergeCell ref="N51:N52"/>
    <mergeCell ref="J49:J50"/>
    <mergeCell ref="K49:K50"/>
    <mergeCell ref="N53:N54"/>
    <mergeCell ref="B51:B52"/>
    <mergeCell ref="C51:C52"/>
    <mergeCell ref="M49:M50"/>
    <mergeCell ref="N49:N50"/>
    <mergeCell ref="D51:D52"/>
    <mergeCell ref="E51:E52"/>
    <mergeCell ref="F51:F52"/>
    <mergeCell ref="G51:G52"/>
    <mergeCell ref="B49:B50"/>
    <mergeCell ref="C49:C50"/>
    <mergeCell ref="D49:D50"/>
    <mergeCell ref="E49:E50"/>
    <mergeCell ref="F49:F50"/>
    <mergeCell ref="G49:G50"/>
    <mergeCell ref="B41:B42"/>
    <mergeCell ref="J41:J42"/>
    <mergeCell ref="B39:B40"/>
    <mergeCell ref="J39:J40"/>
    <mergeCell ref="B45:B46"/>
    <mergeCell ref="J45:J46"/>
    <mergeCell ref="B43:B44"/>
    <mergeCell ref="J43:J44"/>
    <mergeCell ref="L49:L50"/>
    <mergeCell ref="J27:J28"/>
    <mergeCell ref="B33:B34"/>
    <mergeCell ref="J33:J34"/>
    <mergeCell ref="B31:B32"/>
    <mergeCell ref="J31:J32"/>
    <mergeCell ref="B37:B38"/>
    <mergeCell ref="J37:J38"/>
    <mergeCell ref="B35:B36"/>
    <mergeCell ref="J35:J36"/>
    <mergeCell ref="C9:N9"/>
    <mergeCell ref="G75:K77"/>
    <mergeCell ref="A7:AB7"/>
    <mergeCell ref="B13:B14"/>
    <mergeCell ref="J13:J14"/>
    <mergeCell ref="B11:B12"/>
    <mergeCell ref="J11:J12"/>
    <mergeCell ref="B17:B18"/>
    <mergeCell ref="J17:J18"/>
    <mergeCell ref="B15:B16"/>
    <mergeCell ref="J15:J16"/>
    <mergeCell ref="B21:B22"/>
    <mergeCell ref="J21:J22"/>
    <mergeCell ref="B19:B20"/>
    <mergeCell ref="J19:J20"/>
    <mergeCell ref="B25:B26"/>
    <mergeCell ref="J25:J26"/>
    <mergeCell ref="B23:B24"/>
    <mergeCell ref="J23:J24"/>
    <mergeCell ref="B29:B30"/>
    <mergeCell ref="J29:J30"/>
    <mergeCell ref="B27:B28"/>
    <mergeCell ref="U67:U68"/>
    <mergeCell ref="V67:V68"/>
    <mergeCell ref="W67:W68"/>
    <mergeCell ref="S69:S70"/>
    <mergeCell ref="T69:T70"/>
    <mergeCell ref="U69:U70"/>
    <mergeCell ref="V69:V70"/>
    <mergeCell ref="W69:W70"/>
    <mergeCell ref="R69:R70"/>
    <mergeCell ref="T17:T19"/>
    <mergeCell ref="T20:T22"/>
    <mergeCell ref="T23:T25"/>
    <mergeCell ref="S26:S28"/>
    <mergeCell ref="T26:T28"/>
    <mergeCell ref="R67:R68"/>
    <mergeCell ref="S67:S68"/>
    <mergeCell ref="T67:T68"/>
    <mergeCell ref="S32:T34"/>
    <mergeCell ref="S17:S19"/>
    <mergeCell ref="S20:S22"/>
    <mergeCell ref="S23:S25"/>
    <mergeCell ref="T12:T16"/>
    <mergeCell ref="U17:U19"/>
    <mergeCell ref="U20:U22"/>
    <mergeCell ref="U23:U25"/>
    <mergeCell ref="U26:U28"/>
    <mergeCell ref="V17:V19"/>
    <mergeCell ref="V20:V22"/>
    <mergeCell ref="V23:V25"/>
    <mergeCell ref="V26:V28"/>
    <mergeCell ref="U12:U16"/>
    <mergeCell ref="V12:V16"/>
  </mergeCells>
  <printOptions verticalCentered="1"/>
  <pageMargins left="0.19685039370078741" right="0.19685039370078741" top="0" bottom="0" header="0" footer="0"/>
  <pageSetup paperSize="8" scale="6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filterMode="1">
    <tabColor theme="0" tint="-0.249977111117893"/>
  </sheetPr>
  <dimension ref="A1:W78"/>
  <sheetViews>
    <sheetView view="pageBreakPreview" zoomScale="60" zoomScaleNormal="96" workbookViewId="0">
      <selection activeCell="J81" sqref="J81"/>
    </sheetView>
  </sheetViews>
  <sheetFormatPr baseColWidth="10" defaultRowHeight="15" x14ac:dyDescent="0.25"/>
  <cols>
    <col min="1" max="1" width="3.5703125" customWidth="1"/>
    <col min="2" max="2" width="10.140625" bestFit="1" customWidth="1"/>
    <col min="3" max="3" width="12.140625" customWidth="1"/>
    <col min="4" max="4" width="10.5703125" customWidth="1"/>
    <col min="5" max="5" width="12.7109375" customWidth="1"/>
    <col min="6" max="6" width="11.140625" customWidth="1"/>
    <col min="7" max="7" width="12" customWidth="1"/>
    <col min="8" max="8" width="10.140625" customWidth="1"/>
    <col min="9" max="9" width="8.5703125" customWidth="1"/>
    <col min="10" max="10" width="9.7109375" customWidth="1"/>
    <col min="11" max="11" width="8.42578125" customWidth="1"/>
    <col min="12" max="12" width="6.140625" customWidth="1"/>
    <col min="14" max="14" width="12.140625" customWidth="1"/>
    <col min="15" max="15" width="10.5703125" customWidth="1"/>
    <col min="16" max="16" width="8.85546875" bestFit="1" customWidth="1"/>
    <col min="17" max="17" width="11.140625" customWidth="1"/>
    <col min="18" max="18" width="9.5703125" bestFit="1" customWidth="1"/>
    <col min="19" max="19" width="10.140625" customWidth="1"/>
    <col min="20" max="20" width="8.5703125" customWidth="1"/>
    <col min="21" max="22" width="10.5703125" bestFit="1" customWidth="1"/>
    <col min="23" max="23" width="6.140625" customWidth="1"/>
    <col min="27" max="27" width="8.85546875" bestFit="1" customWidth="1"/>
    <col min="29" max="29" width="9.42578125" bestFit="1" customWidth="1"/>
    <col min="31" max="31" width="9.42578125" customWidth="1"/>
  </cols>
  <sheetData>
    <row r="1" spans="1:23" x14ac:dyDescent="0.25">
      <c r="A1" s="265" t="s">
        <v>203</v>
      </c>
      <c r="B1" s="263"/>
      <c r="C1" s="263"/>
      <c r="N1" s="265" t="s">
        <v>203</v>
      </c>
    </row>
    <row r="2" spans="1:23" x14ac:dyDescent="0.25">
      <c r="A2" s="263"/>
      <c r="B2" s="263"/>
      <c r="C2" s="263"/>
      <c r="N2" s="263"/>
    </row>
    <row r="3" spans="1:23" ht="15.75" thickBot="1" x14ac:dyDescent="0.3">
      <c r="A3" s="263">
        <v>25</v>
      </c>
      <c r="B3" s="263"/>
      <c r="C3" s="266" t="s">
        <v>204</v>
      </c>
      <c r="D3" t="s">
        <v>59</v>
      </c>
      <c r="F3" t="s">
        <v>61</v>
      </c>
      <c r="H3" t="s">
        <v>60</v>
      </c>
      <c r="J3" t="s">
        <v>62</v>
      </c>
      <c r="N3" s="267" t="s">
        <v>70</v>
      </c>
      <c r="O3" t="s">
        <v>59</v>
      </c>
      <c r="Q3" t="s">
        <v>61</v>
      </c>
      <c r="S3" t="s">
        <v>60</v>
      </c>
      <c r="U3" t="s">
        <v>62</v>
      </c>
    </row>
    <row r="4" spans="1:23" x14ac:dyDescent="0.25">
      <c r="A4" s="264"/>
      <c r="B4" s="263" t="s">
        <v>74</v>
      </c>
      <c r="C4" s="263" t="s">
        <v>55</v>
      </c>
      <c r="D4" s="209" t="s">
        <v>56</v>
      </c>
      <c r="E4" s="209" t="s">
        <v>57</v>
      </c>
      <c r="F4" s="210" t="s">
        <v>56</v>
      </c>
      <c r="G4" s="210" t="s">
        <v>57</v>
      </c>
      <c r="H4" s="208" t="s">
        <v>56</v>
      </c>
      <c r="I4" s="208" t="s">
        <v>57</v>
      </c>
      <c r="J4" s="244" t="s">
        <v>58</v>
      </c>
      <c r="K4" s="245" t="s">
        <v>48</v>
      </c>
      <c r="L4" s="247" t="s">
        <v>63</v>
      </c>
      <c r="N4" s="263" t="s">
        <v>55</v>
      </c>
      <c r="O4" s="209" t="s">
        <v>56</v>
      </c>
      <c r="P4" s="209" t="s">
        <v>57</v>
      </c>
      <c r="Q4" s="210" t="s">
        <v>56</v>
      </c>
      <c r="R4" s="210" t="s">
        <v>57</v>
      </c>
      <c r="S4" s="208" t="s">
        <v>56</v>
      </c>
      <c r="T4" s="208" t="s">
        <v>57</v>
      </c>
      <c r="U4" s="244" t="s">
        <v>58</v>
      </c>
      <c r="V4" s="245" t="s">
        <v>48</v>
      </c>
      <c r="W4" s="247" t="s">
        <v>63</v>
      </c>
    </row>
    <row r="5" spans="1:23" x14ac:dyDescent="0.25">
      <c r="A5" s="268"/>
      <c r="B5" s="217">
        <v>43831</v>
      </c>
      <c r="C5">
        <v>1</v>
      </c>
      <c r="J5" s="246"/>
      <c r="K5" s="246"/>
      <c r="L5" s="248"/>
      <c r="N5">
        <v>1</v>
      </c>
      <c r="O5">
        <v>42</v>
      </c>
      <c r="P5">
        <v>164</v>
      </c>
      <c r="Q5">
        <v>36</v>
      </c>
      <c r="R5">
        <v>549</v>
      </c>
      <c r="S5">
        <v>36</v>
      </c>
      <c r="T5">
        <v>189</v>
      </c>
      <c r="U5" s="246">
        <v>114</v>
      </c>
      <c r="V5" s="246">
        <v>902</v>
      </c>
      <c r="W5" s="248">
        <v>0</v>
      </c>
    </row>
    <row r="6" spans="1:23" x14ac:dyDescent="0.25">
      <c r="A6" s="250"/>
      <c r="B6" s="217">
        <v>43831</v>
      </c>
      <c r="C6">
        <v>2</v>
      </c>
      <c r="D6">
        <f>[2]Devis!$T$25</f>
        <v>79</v>
      </c>
      <c r="E6">
        <f>[2]Devis!$U$25</f>
        <v>585</v>
      </c>
      <c r="F6">
        <f>[2]Devis!$T$26</f>
        <v>124</v>
      </c>
      <c r="G6">
        <f>[2]Devis!$U$26</f>
        <v>672</v>
      </c>
      <c r="H6">
        <f>[2]Devis!$T$27</f>
        <v>94</v>
      </c>
      <c r="I6">
        <f>[2]Devis!$U$27</f>
        <v>618</v>
      </c>
      <c r="J6" s="246">
        <f>SUM(D6,F6,H6)</f>
        <v>297</v>
      </c>
      <c r="K6" s="246">
        <f>SUM(E6,G6,I6)</f>
        <v>1875</v>
      </c>
      <c r="L6" s="248">
        <f>[2]Devis!$T$29</f>
        <v>32</v>
      </c>
      <c r="N6">
        <v>2</v>
      </c>
      <c r="O6">
        <v>101</v>
      </c>
      <c r="P6">
        <v>452</v>
      </c>
      <c r="Q6">
        <v>85</v>
      </c>
      <c r="R6">
        <v>583</v>
      </c>
      <c r="S6">
        <v>90</v>
      </c>
      <c r="T6">
        <v>529</v>
      </c>
      <c r="U6" s="246">
        <v>276</v>
      </c>
      <c r="V6" s="246">
        <v>1564</v>
      </c>
      <c r="W6" s="248">
        <v>5</v>
      </c>
    </row>
    <row r="7" spans="1:23" x14ac:dyDescent="0.25">
      <c r="A7" s="250">
        <v>1</v>
      </c>
      <c r="B7" s="217">
        <v>43831</v>
      </c>
      <c r="C7">
        <v>3</v>
      </c>
      <c r="D7">
        <f ca="1">OFFSET([2]Devis!$T$25,$A$3*A7,0)</f>
        <v>109</v>
      </c>
      <c r="E7">
        <f ca="1">OFFSET([2]Devis!$U$25,$A$3*A7,0)</f>
        <v>743</v>
      </c>
      <c r="F7">
        <f ca="1">OFFSET([2]Devis!$T$26,$A$3*A7,0)</f>
        <v>109</v>
      </c>
      <c r="G7">
        <f ca="1">OFFSET([2]Devis!$U$26,$A$3*A7,0)</f>
        <v>703</v>
      </c>
      <c r="H7">
        <f ca="1">OFFSET([2]Devis!$T$27,$A$3*A7,0)</f>
        <v>92</v>
      </c>
      <c r="I7">
        <f ca="1">OFFSET([2]Devis!$U$27,$A$3*A7,0)</f>
        <v>391</v>
      </c>
      <c r="J7" s="246">
        <f ca="1">SUM(D7,F7,H7)</f>
        <v>310</v>
      </c>
      <c r="K7" s="246">
        <f ca="1">SUM(E7,G7,I7)</f>
        <v>1837</v>
      </c>
      <c r="L7" s="248">
        <f ca="1">OFFSET([2]Devis!$T$29,$A$3*A7,0)</f>
        <v>36</v>
      </c>
      <c r="N7">
        <v>3</v>
      </c>
      <c r="O7">
        <v>117</v>
      </c>
      <c r="P7">
        <v>559</v>
      </c>
      <c r="Q7">
        <v>103</v>
      </c>
      <c r="R7">
        <v>664</v>
      </c>
      <c r="S7">
        <v>97</v>
      </c>
      <c r="T7">
        <v>414</v>
      </c>
      <c r="U7" s="246">
        <v>317</v>
      </c>
      <c r="V7" s="246">
        <v>1637</v>
      </c>
      <c r="W7" s="248">
        <v>26</v>
      </c>
    </row>
    <row r="8" spans="1:23" x14ac:dyDescent="0.25">
      <c r="A8" s="250">
        <v>2</v>
      </c>
      <c r="B8" s="217">
        <v>43831</v>
      </c>
      <c r="C8">
        <v>4</v>
      </c>
      <c r="D8">
        <f ca="1">OFFSET([2]Devis!$T$25,$A$3*A8,0)</f>
        <v>126</v>
      </c>
      <c r="E8">
        <f ca="1">OFFSET([2]Devis!$U$25,$A$3*A8,0)</f>
        <v>749</v>
      </c>
      <c r="F8">
        <f ca="1">OFFSET([2]Devis!$T$26,$A$3*A8,0)</f>
        <v>112</v>
      </c>
      <c r="G8">
        <f ca="1">OFFSET([2]Devis!$U$26,$A$3*A8,0)</f>
        <v>517</v>
      </c>
      <c r="H8">
        <f ca="1">OFFSET([2]Devis!$T$27,$A$3*A8,0)</f>
        <v>104</v>
      </c>
      <c r="I8">
        <f ca="1">OFFSET([2]Devis!$U$27,$A$3*A8,0)</f>
        <v>370</v>
      </c>
      <c r="J8" s="246">
        <f t="shared" ref="J8:J56" ca="1" si="0">SUM(D8,F8,H8)</f>
        <v>342</v>
      </c>
      <c r="K8" s="246">
        <f t="shared" ref="K8:K56" ca="1" si="1">SUM(E8,G8,I8)</f>
        <v>1636</v>
      </c>
      <c r="L8" s="248">
        <f ca="1">OFFSET([2]Devis!$T$29,$A$3*A8,0)</f>
        <v>48</v>
      </c>
      <c r="N8">
        <v>4</v>
      </c>
      <c r="O8">
        <v>112</v>
      </c>
      <c r="P8">
        <v>537</v>
      </c>
      <c r="Q8">
        <v>111</v>
      </c>
      <c r="R8">
        <v>704</v>
      </c>
      <c r="S8">
        <v>103</v>
      </c>
      <c r="T8">
        <v>373</v>
      </c>
      <c r="U8" s="246">
        <v>326</v>
      </c>
      <c r="V8" s="246">
        <v>1614</v>
      </c>
      <c r="W8" s="248">
        <v>49</v>
      </c>
    </row>
    <row r="9" spans="1:23" x14ac:dyDescent="0.25">
      <c r="A9" s="250">
        <v>3</v>
      </c>
      <c r="B9" s="217">
        <v>43831</v>
      </c>
      <c r="C9" s="218">
        <v>5</v>
      </c>
      <c r="D9" s="218">
        <f ca="1">OFFSET([2]Devis!$T$25,$A$3*A9,0)</f>
        <v>126</v>
      </c>
      <c r="E9" s="218">
        <f ca="1">OFFSET([2]Devis!$U$25,$A$3*A9,0)</f>
        <v>453</v>
      </c>
      <c r="F9" s="218">
        <f ca="1">OFFSET([2]Devis!$T$26,$A$3*A9,0)</f>
        <v>104</v>
      </c>
      <c r="G9" s="218">
        <f ca="1">OFFSET([2]Devis!$U$26,$A$3*A9,0)</f>
        <v>668</v>
      </c>
      <c r="H9" s="218">
        <f ca="1">OFFSET([2]Devis!$T$27,$A$3*A9,0)</f>
        <v>123</v>
      </c>
      <c r="I9" s="218">
        <f ca="1">OFFSET([2]Devis!$U$27,$A$3*A9,0)</f>
        <v>536</v>
      </c>
      <c r="J9" s="252">
        <f t="shared" ca="1" si="0"/>
        <v>353</v>
      </c>
      <c r="K9" s="252">
        <f t="shared" ca="1" si="1"/>
        <v>1657</v>
      </c>
      <c r="L9" s="253">
        <f ca="1">OFFSET([2]Devis!$T$29,$A$3*A9,0)</f>
        <v>61</v>
      </c>
      <c r="N9" s="218">
        <v>5</v>
      </c>
      <c r="O9" s="218">
        <v>103</v>
      </c>
      <c r="P9" s="218">
        <v>794</v>
      </c>
      <c r="Q9" s="218">
        <v>111</v>
      </c>
      <c r="R9" s="218">
        <v>838</v>
      </c>
      <c r="S9" s="218">
        <v>105</v>
      </c>
      <c r="T9" s="218">
        <v>467</v>
      </c>
      <c r="U9" s="252">
        <v>319</v>
      </c>
      <c r="V9" s="252">
        <v>2099</v>
      </c>
      <c r="W9" s="253">
        <v>52</v>
      </c>
    </row>
    <row r="10" spans="1:23" x14ac:dyDescent="0.25">
      <c r="A10" s="250">
        <v>4</v>
      </c>
      <c r="B10" s="217">
        <v>43862</v>
      </c>
      <c r="C10">
        <v>6</v>
      </c>
      <c r="D10">
        <f ca="1">OFFSET([2]Devis!$T$25,$A$3*A10,0)</f>
        <v>105</v>
      </c>
      <c r="E10">
        <f ca="1">OFFSET([2]Devis!$U$25,$A$3*A10,0)</f>
        <v>386</v>
      </c>
      <c r="F10">
        <f ca="1">OFFSET([2]Devis!$T$26,$A$3*A10,0)</f>
        <v>104</v>
      </c>
      <c r="G10">
        <f ca="1">OFFSET([2]Devis!$U$26,$A$3*A10,0)</f>
        <v>762</v>
      </c>
      <c r="H10">
        <f ca="1">OFFSET([2]Devis!$T$27,$A$3*A10,0)</f>
        <v>105</v>
      </c>
      <c r="I10">
        <f ca="1">OFFSET([2]Devis!$U$27,$A$3*A10,0)</f>
        <v>729</v>
      </c>
      <c r="J10" s="246">
        <f t="shared" ca="1" si="0"/>
        <v>314</v>
      </c>
      <c r="K10" s="246">
        <f t="shared" ca="1" si="1"/>
        <v>1877</v>
      </c>
      <c r="L10" s="248">
        <f ca="1">OFFSET([2]Devis!$T$29,$A$3*A10,0)</f>
        <v>40</v>
      </c>
      <c r="N10">
        <v>6</v>
      </c>
      <c r="O10">
        <v>117</v>
      </c>
      <c r="P10">
        <v>822</v>
      </c>
      <c r="Q10">
        <v>92</v>
      </c>
      <c r="R10">
        <v>512</v>
      </c>
      <c r="S10">
        <v>111</v>
      </c>
      <c r="T10">
        <v>596</v>
      </c>
      <c r="U10" s="246">
        <v>320</v>
      </c>
      <c r="V10" s="246">
        <v>1930</v>
      </c>
      <c r="W10" s="248">
        <v>47</v>
      </c>
    </row>
    <row r="11" spans="1:23" x14ac:dyDescent="0.25">
      <c r="A11" s="250">
        <v>5</v>
      </c>
      <c r="B11" s="217">
        <v>43862</v>
      </c>
      <c r="C11">
        <v>7</v>
      </c>
      <c r="D11">
        <f ca="1">OFFSET([2]Devis!$T$25,$A$3*A11,0)</f>
        <v>132</v>
      </c>
      <c r="E11">
        <f ca="1">OFFSET([2]Devis!$U$25,$A$3*A11,0)</f>
        <v>1088</v>
      </c>
      <c r="F11">
        <f ca="1">OFFSET([2]Devis!$T$26,$A$3*A11,0)</f>
        <v>114</v>
      </c>
      <c r="G11">
        <f ca="1">OFFSET([2]Devis!$U$26,$A$3*A11,0)</f>
        <v>638</v>
      </c>
      <c r="H11">
        <f ca="1">OFFSET([2]Devis!$T$27,$A$3*A11,0)</f>
        <v>97</v>
      </c>
      <c r="I11">
        <f ca="1">OFFSET([2]Devis!$U$27,$A$3*A11,0)</f>
        <v>382</v>
      </c>
      <c r="J11" s="246">
        <f t="shared" ca="1" si="0"/>
        <v>343</v>
      </c>
      <c r="K11" s="246">
        <f t="shared" ca="1" si="1"/>
        <v>2108</v>
      </c>
      <c r="L11" s="248">
        <f ca="1">OFFSET([2]Devis!$T$29,$A$3*A11,0)</f>
        <v>61</v>
      </c>
      <c r="N11">
        <v>7</v>
      </c>
      <c r="O11">
        <v>95</v>
      </c>
      <c r="P11">
        <v>809</v>
      </c>
      <c r="Q11">
        <v>101</v>
      </c>
      <c r="R11">
        <v>1033</v>
      </c>
      <c r="S11">
        <v>96</v>
      </c>
      <c r="T11">
        <v>537</v>
      </c>
      <c r="U11" s="246">
        <v>292</v>
      </c>
      <c r="V11" s="246">
        <v>2379</v>
      </c>
      <c r="W11" s="248">
        <v>50</v>
      </c>
    </row>
    <row r="12" spans="1:23" x14ac:dyDescent="0.25">
      <c r="A12" s="250">
        <v>6</v>
      </c>
      <c r="B12" s="217">
        <v>43862</v>
      </c>
      <c r="C12">
        <v>8</v>
      </c>
      <c r="D12">
        <f ca="1">OFFSET([2]Devis!$T$25,$A$3*A12,0)</f>
        <v>94</v>
      </c>
      <c r="E12">
        <f ca="1">OFFSET([2]Devis!$U$25,$A$3*A12,0)</f>
        <v>412</v>
      </c>
      <c r="F12">
        <f ca="1">OFFSET([2]Devis!$T$26,$A$3*A12,0)</f>
        <v>114</v>
      </c>
      <c r="G12">
        <f ca="1">OFFSET([2]Devis!$U$26,$A$3*A12,0)</f>
        <v>1211</v>
      </c>
      <c r="H12">
        <f ca="1">OFFSET([2]Devis!$T$27,$A$3*A12,0)</f>
        <v>91</v>
      </c>
      <c r="I12">
        <f ca="1">OFFSET([2]Devis!$U$27,$A$3*A12,0)</f>
        <v>408</v>
      </c>
      <c r="J12" s="246">
        <f t="shared" ca="1" si="0"/>
        <v>299</v>
      </c>
      <c r="K12" s="246">
        <f t="shared" ca="1" si="1"/>
        <v>2031</v>
      </c>
      <c r="L12" s="248">
        <f ca="1">OFFSET([2]Devis!$T$29,$A$3*A12,0)</f>
        <v>69</v>
      </c>
      <c r="N12">
        <v>8</v>
      </c>
      <c r="O12">
        <v>102</v>
      </c>
      <c r="P12">
        <v>506</v>
      </c>
      <c r="Q12">
        <v>100</v>
      </c>
      <c r="R12">
        <v>582</v>
      </c>
      <c r="S12">
        <v>98</v>
      </c>
      <c r="T12">
        <v>513</v>
      </c>
      <c r="U12" s="246">
        <v>300</v>
      </c>
      <c r="V12" s="246">
        <v>1601</v>
      </c>
      <c r="W12" s="248">
        <v>75</v>
      </c>
    </row>
    <row r="13" spans="1:23" x14ac:dyDescent="0.25">
      <c r="A13" s="250">
        <v>7</v>
      </c>
      <c r="B13" s="217">
        <v>43862</v>
      </c>
      <c r="C13" s="218">
        <v>9</v>
      </c>
      <c r="D13" s="218">
        <f ca="1">OFFSET([2]Devis!$T$25,$A$3*A13,0)</f>
        <v>113</v>
      </c>
      <c r="E13" s="218">
        <f ca="1">OFFSET([2]Devis!$U$25,$A$3*A13,0)</f>
        <v>589</v>
      </c>
      <c r="F13" s="218">
        <f ca="1">OFFSET([2]Devis!$T$26,$A$3*A13,0)</f>
        <v>86</v>
      </c>
      <c r="G13" s="218">
        <f ca="1">OFFSET([2]Devis!$U$26,$A$3*A13,0)</f>
        <v>381</v>
      </c>
      <c r="H13" s="218">
        <f ca="1">OFFSET([2]Devis!$T$27,$A$3*A13,0)</f>
        <v>78</v>
      </c>
      <c r="I13" s="218">
        <f ca="1">OFFSET([2]Devis!$U$27,$A$3*A13,0)</f>
        <v>323</v>
      </c>
      <c r="J13" s="252">
        <f t="shared" ca="1" si="0"/>
        <v>277</v>
      </c>
      <c r="K13" s="252">
        <f t="shared" ca="1" si="1"/>
        <v>1293</v>
      </c>
      <c r="L13" s="253">
        <f ca="1">OFFSET([2]Devis!$T$29,$A$3*A13,0)</f>
        <v>24</v>
      </c>
      <c r="N13" s="218">
        <v>9</v>
      </c>
      <c r="O13" s="218">
        <v>111</v>
      </c>
      <c r="P13" s="218">
        <v>462</v>
      </c>
      <c r="Q13" s="218">
        <v>79</v>
      </c>
      <c r="R13" s="218">
        <v>388</v>
      </c>
      <c r="S13" s="218">
        <v>122</v>
      </c>
      <c r="T13" s="218">
        <v>533</v>
      </c>
      <c r="U13" s="252">
        <v>312</v>
      </c>
      <c r="V13" s="252">
        <v>1383</v>
      </c>
      <c r="W13" s="253">
        <v>35</v>
      </c>
    </row>
    <row r="14" spans="1:23" x14ac:dyDescent="0.25">
      <c r="A14" s="250">
        <v>8</v>
      </c>
      <c r="B14" s="217">
        <v>43891</v>
      </c>
      <c r="C14">
        <v>10</v>
      </c>
      <c r="D14">
        <f ca="1">OFFSET([2]Devis!$T$25,$A$3*A14,0)</f>
        <v>0</v>
      </c>
      <c r="E14">
        <f ca="1">OFFSET([2]Devis!$U$25,$A$3*A14,0)</f>
        <v>0</v>
      </c>
      <c r="F14">
        <f ca="1">OFFSET([2]Devis!$T$26,$A$3*A14,0)</f>
        <v>0</v>
      </c>
      <c r="G14">
        <f ca="1">OFFSET([2]Devis!$U$26,$A$3*A14,0)</f>
        <v>0</v>
      </c>
      <c r="H14">
        <f ca="1">OFFSET([2]Devis!$T$27,$A$3*A14,0)</f>
        <v>0</v>
      </c>
      <c r="I14">
        <f ca="1">OFFSET([2]Devis!$U$27,$A$3*A14,0)</f>
        <v>0</v>
      </c>
      <c r="J14" s="246">
        <f t="shared" ca="1" si="0"/>
        <v>0</v>
      </c>
      <c r="K14" s="246">
        <f t="shared" ca="1" si="1"/>
        <v>0</v>
      </c>
      <c r="L14" s="248">
        <f ca="1">OFFSET([2]Devis!$T$29,$A$3*A14,0)</f>
        <v>0</v>
      </c>
      <c r="N14">
        <v>10</v>
      </c>
      <c r="O14">
        <v>91</v>
      </c>
      <c r="P14">
        <v>336</v>
      </c>
      <c r="Q14">
        <v>85</v>
      </c>
      <c r="R14">
        <v>429</v>
      </c>
      <c r="S14">
        <v>108</v>
      </c>
      <c r="T14">
        <v>432</v>
      </c>
      <c r="U14" s="246">
        <v>284</v>
      </c>
      <c r="V14" s="246">
        <v>1197</v>
      </c>
      <c r="W14" s="248">
        <v>13</v>
      </c>
    </row>
    <row r="15" spans="1:23" x14ac:dyDescent="0.25">
      <c r="A15" s="250">
        <v>9</v>
      </c>
      <c r="B15" s="217">
        <v>43891</v>
      </c>
      <c r="C15">
        <v>11</v>
      </c>
      <c r="D15">
        <f ca="1">OFFSET([2]Devis!$T$25,$A$3*A15,0)</f>
        <v>0</v>
      </c>
      <c r="E15">
        <f ca="1">OFFSET([2]Devis!$U$25,$A$3*A15,0)</f>
        <v>0</v>
      </c>
      <c r="F15">
        <f ca="1">OFFSET([2]Devis!$T$26,$A$3*A15,0)</f>
        <v>0</v>
      </c>
      <c r="G15">
        <f ca="1">OFFSET([2]Devis!$U$26,$A$3*A15,0)</f>
        <v>0</v>
      </c>
      <c r="H15">
        <f ca="1">OFFSET([2]Devis!$T$27,$A$3*A15,0)</f>
        <v>0</v>
      </c>
      <c r="I15">
        <f ca="1">OFFSET([2]Devis!$U$27,$A$3*A15,0)</f>
        <v>0</v>
      </c>
      <c r="J15" s="246">
        <f t="shared" ca="1" si="0"/>
        <v>0</v>
      </c>
      <c r="K15" s="246">
        <f t="shared" ca="1" si="1"/>
        <v>0</v>
      </c>
      <c r="L15" s="248">
        <f ca="1">OFFSET([2]Devis!$T$29,$A$3*A15,0)</f>
        <v>0</v>
      </c>
      <c r="N15">
        <v>11</v>
      </c>
      <c r="O15">
        <v>107</v>
      </c>
      <c r="P15">
        <v>559</v>
      </c>
      <c r="Q15">
        <v>95</v>
      </c>
      <c r="R15">
        <v>681</v>
      </c>
      <c r="S15">
        <v>115</v>
      </c>
      <c r="T15">
        <v>368</v>
      </c>
      <c r="U15" s="246">
        <v>317</v>
      </c>
      <c r="V15" s="246">
        <v>1608</v>
      </c>
      <c r="W15" s="248">
        <v>53</v>
      </c>
    </row>
    <row r="16" spans="1:23" x14ac:dyDescent="0.25">
      <c r="A16" s="250">
        <v>10</v>
      </c>
      <c r="B16" s="217">
        <v>43891</v>
      </c>
      <c r="C16">
        <v>12</v>
      </c>
      <c r="D16">
        <f ca="1">OFFSET([2]Devis!$T$25,$A$3*A16,0)</f>
        <v>0</v>
      </c>
      <c r="E16">
        <f ca="1">OFFSET([2]Devis!$U$25,$A$3*A16,0)</f>
        <v>0</v>
      </c>
      <c r="F16">
        <f ca="1">OFFSET([2]Devis!$T$26,$A$3*A16,0)</f>
        <v>0</v>
      </c>
      <c r="G16">
        <f ca="1">OFFSET([2]Devis!$U$26,$A$3*A16,0)</f>
        <v>0</v>
      </c>
      <c r="H16">
        <f ca="1">OFFSET([2]Devis!$T$27,$A$3*A16,0)</f>
        <v>0</v>
      </c>
      <c r="I16">
        <f ca="1">OFFSET([2]Devis!$U$27,$A$3*A16,0)</f>
        <v>0</v>
      </c>
      <c r="J16" s="246">
        <f t="shared" ca="1" si="0"/>
        <v>0</v>
      </c>
      <c r="K16" s="246">
        <f t="shared" ca="1" si="1"/>
        <v>0</v>
      </c>
      <c r="L16" s="248">
        <f ca="1">OFFSET([2]Devis!$T$29,$A$3*A16,0)</f>
        <v>0</v>
      </c>
      <c r="N16">
        <v>12</v>
      </c>
      <c r="O16">
        <v>115</v>
      </c>
      <c r="P16">
        <v>631</v>
      </c>
      <c r="Q16">
        <v>93</v>
      </c>
      <c r="R16">
        <v>463</v>
      </c>
      <c r="S16">
        <v>99</v>
      </c>
      <c r="T16">
        <v>465</v>
      </c>
      <c r="U16" s="246">
        <v>307</v>
      </c>
      <c r="V16" s="246">
        <v>1559</v>
      </c>
      <c r="W16" s="248">
        <v>65</v>
      </c>
    </row>
    <row r="17" spans="1:23" x14ac:dyDescent="0.25">
      <c r="A17" s="250">
        <v>11</v>
      </c>
      <c r="B17" s="217">
        <v>43891</v>
      </c>
      <c r="C17" s="218">
        <v>13</v>
      </c>
      <c r="D17" s="218">
        <f ca="1">OFFSET([2]Devis!$T$25,$A$3*A17,0)</f>
        <v>0</v>
      </c>
      <c r="E17" s="218">
        <f ca="1">OFFSET([2]Devis!$U$25,$A$3*A17,0)</f>
        <v>0</v>
      </c>
      <c r="F17" s="218">
        <f ca="1">OFFSET([2]Devis!$T$26,$A$3*A17,0)</f>
        <v>0</v>
      </c>
      <c r="G17" s="218">
        <f ca="1">OFFSET([2]Devis!$U$26,$A$3*A17,0)</f>
        <v>0</v>
      </c>
      <c r="H17" s="218">
        <f ca="1">OFFSET([2]Devis!$T$27,$A$3*A17,0)</f>
        <v>0</v>
      </c>
      <c r="I17" s="218">
        <f ca="1">OFFSET([2]Devis!$U$27,$A$3*A17,0)</f>
        <v>0</v>
      </c>
      <c r="J17" s="252">
        <f t="shared" ca="1" si="0"/>
        <v>0</v>
      </c>
      <c r="K17" s="252">
        <f t="shared" ca="1" si="1"/>
        <v>0</v>
      </c>
      <c r="L17" s="253">
        <f ca="1">OFFSET([2]Devis!$T$29,$A$3*A17,0)</f>
        <v>0</v>
      </c>
      <c r="N17" s="218">
        <v>13</v>
      </c>
      <c r="O17" s="218">
        <v>91</v>
      </c>
      <c r="P17" s="218">
        <v>467</v>
      </c>
      <c r="Q17" s="218">
        <v>85</v>
      </c>
      <c r="R17" s="218">
        <v>330</v>
      </c>
      <c r="S17" s="218">
        <v>103</v>
      </c>
      <c r="T17" s="218">
        <v>533</v>
      </c>
      <c r="U17" s="252">
        <v>279</v>
      </c>
      <c r="V17" s="252">
        <v>1330</v>
      </c>
      <c r="W17" s="253">
        <v>46</v>
      </c>
    </row>
    <row r="18" spans="1:23" x14ac:dyDescent="0.25">
      <c r="A18" s="250">
        <v>12</v>
      </c>
      <c r="B18" s="217">
        <v>43922</v>
      </c>
      <c r="C18">
        <v>14</v>
      </c>
      <c r="D18">
        <f ca="1">OFFSET([2]Devis!$T$25,$A$3*A18,0)</f>
        <v>0</v>
      </c>
      <c r="E18">
        <f ca="1">OFFSET([2]Devis!$U$25,$A$3*A18,0)</f>
        <v>0</v>
      </c>
      <c r="F18">
        <f ca="1">OFFSET([2]Devis!$T$26,$A$3*A18,0)</f>
        <v>0</v>
      </c>
      <c r="G18">
        <f ca="1">OFFSET([2]Devis!$U$26,$A$3*A18,0)</f>
        <v>0</v>
      </c>
      <c r="H18">
        <f ca="1">OFFSET([2]Devis!$T$27,$A$3*A18,0)</f>
        <v>0</v>
      </c>
      <c r="I18">
        <f ca="1">OFFSET([2]Devis!$U$27,$A$3*A18,0)</f>
        <v>0</v>
      </c>
      <c r="J18" s="246">
        <f t="shared" ca="1" si="0"/>
        <v>0</v>
      </c>
      <c r="K18" s="246">
        <f t="shared" ca="1" si="1"/>
        <v>0</v>
      </c>
      <c r="L18" s="248">
        <f ca="1">OFFSET([2]Devis!$T$29,$A$3*A18,0)</f>
        <v>0</v>
      </c>
      <c r="N18">
        <v>14</v>
      </c>
      <c r="O18">
        <v>105</v>
      </c>
      <c r="P18">
        <v>686</v>
      </c>
      <c r="Q18">
        <v>104</v>
      </c>
      <c r="R18">
        <v>1072</v>
      </c>
      <c r="S18">
        <v>115</v>
      </c>
      <c r="T18">
        <v>456</v>
      </c>
      <c r="U18" s="246">
        <v>324</v>
      </c>
      <c r="V18" s="246">
        <v>2214</v>
      </c>
      <c r="W18" s="248">
        <v>62</v>
      </c>
    </row>
    <row r="19" spans="1:23" x14ac:dyDescent="0.25">
      <c r="A19" s="250">
        <v>13</v>
      </c>
      <c r="B19" s="217">
        <v>43922</v>
      </c>
      <c r="C19">
        <v>15</v>
      </c>
      <c r="D19">
        <f ca="1">OFFSET([2]Devis!$T$25,$A$3*A19,0)</f>
        <v>0</v>
      </c>
      <c r="E19">
        <f ca="1">OFFSET([2]Devis!$U$25,$A$3*A19,0)</f>
        <v>0</v>
      </c>
      <c r="F19">
        <f ca="1">OFFSET([2]Devis!$T$26,$A$3*A19,0)</f>
        <v>0</v>
      </c>
      <c r="G19">
        <f ca="1">OFFSET([2]Devis!$U$26,$A$3*A19,0)</f>
        <v>0</v>
      </c>
      <c r="H19">
        <f ca="1">OFFSET([2]Devis!$T$27,$A$3*A19,0)</f>
        <v>0</v>
      </c>
      <c r="I19">
        <f ca="1">OFFSET([2]Devis!$U$27,$A$3*A19,0)</f>
        <v>0</v>
      </c>
      <c r="J19" s="246">
        <f t="shared" ca="1" si="0"/>
        <v>0</v>
      </c>
      <c r="K19" s="246">
        <f t="shared" ca="1" si="1"/>
        <v>0</v>
      </c>
      <c r="L19" s="248">
        <f ca="1">OFFSET([2]Devis!$T$29,$A$3*A19,0)</f>
        <v>0</v>
      </c>
      <c r="N19">
        <v>15</v>
      </c>
      <c r="O19">
        <v>88</v>
      </c>
      <c r="P19">
        <v>584</v>
      </c>
      <c r="Q19">
        <v>99</v>
      </c>
      <c r="R19">
        <v>601</v>
      </c>
      <c r="S19">
        <v>110</v>
      </c>
      <c r="T19">
        <v>725</v>
      </c>
      <c r="U19" s="246">
        <v>297</v>
      </c>
      <c r="V19" s="246">
        <v>1910</v>
      </c>
      <c r="W19" s="248">
        <v>61</v>
      </c>
    </row>
    <row r="20" spans="1:23" x14ac:dyDescent="0.25">
      <c r="A20" s="250">
        <v>14</v>
      </c>
      <c r="B20" s="217">
        <v>43922</v>
      </c>
      <c r="C20">
        <v>16</v>
      </c>
      <c r="D20">
        <f ca="1">OFFSET([2]Devis!$T$25,$A$3*A20,0)</f>
        <v>0</v>
      </c>
      <c r="E20">
        <f ca="1">OFFSET([2]Devis!$U$25,$A$3*A20,0)</f>
        <v>0</v>
      </c>
      <c r="F20">
        <f ca="1">OFFSET([2]Devis!$T$26,$A$3*A20,0)</f>
        <v>0</v>
      </c>
      <c r="G20">
        <f ca="1">OFFSET([2]Devis!$U$26,$A$3*A20,0)</f>
        <v>0</v>
      </c>
      <c r="H20">
        <f ca="1">OFFSET([2]Devis!$T$27,$A$3*A20,0)</f>
        <v>0</v>
      </c>
      <c r="I20">
        <f ca="1">OFFSET([2]Devis!$U$27,$A$3*A20,0)</f>
        <v>0</v>
      </c>
      <c r="J20" s="246">
        <f t="shared" ca="1" si="0"/>
        <v>0</v>
      </c>
      <c r="K20" s="246">
        <f t="shared" ca="1" si="1"/>
        <v>0</v>
      </c>
      <c r="L20" s="248">
        <f ca="1">OFFSET([2]Devis!$T$29,$A$3*A20,0)</f>
        <v>0</v>
      </c>
      <c r="N20">
        <v>16</v>
      </c>
      <c r="O20">
        <v>92</v>
      </c>
      <c r="P20">
        <v>887</v>
      </c>
      <c r="Q20">
        <v>98</v>
      </c>
      <c r="R20">
        <v>472</v>
      </c>
      <c r="S20">
        <v>96</v>
      </c>
      <c r="T20">
        <v>589</v>
      </c>
      <c r="U20" s="246">
        <v>286</v>
      </c>
      <c r="V20" s="246">
        <v>1948</v>
      </c>
      <c r="W20" s="248">
        <v>97</v>
      </c>
    </row>
    <row r="21" spans="1:23" x14ac:dyDescent="0.25">
      <c r="A21" s="250">
        <v>15</v>
      </c>
      <c r="B21" s="217">
        <v>43922</v>
      </c>
      <c r="C21">
        <v>17</v>
      </c>
      <c r="D21">
        <f ca="1">OFFSET([2]Devis!$T$25,$A$3*A21,0)</f>
        <v>0</v>
      </c>
      <c r="E21">
        <f ca="1">OFFSET([2]Devis!$U$25,$A$3*A21,0)</f>
        <v>0</v>
      </c>
      <c r="F21">
        <f ca="1">OFFSET([2]Devis!$T$26,$A$3*A21,0)</f>
        <v>0</v>
      </c>
      <c r="G21">
        <f ca="1">OFFSET([2]Devis!$U$26,$A$3*A21,0)</f>
        <v>0</v>
      </c>
      <c r="H21">
        <f ca="1">OFFSET([2]Devis!$T$27,$A$3*A21,0)</f>
        <v>0</v>
      </c>
      <c r="I21">
        <f ca="1">OFFSET([2]Devis!$U$27,$A$3*A21,0)</f>
        <v>0</v>
      </c>
      <c r="J21" s="246">
        <f t="shared" ca="1" si="0"/>
        <v>0</v>
      </c>
      <c r="K21" s="246">
        <f t="shared" ca="1" si="1"/>
        <v>0</v>
      </c>
      <c r="L21" s="248">
        <f ca="1">OFFSET([2]Devis!$T$29,$A$3*A21,0)</f>
        <v>0</v>
      </c>
      <c r="N21">
        <v>17</v>
      </c>
      <c r="O21">
        <v>72</v>
      </c>
      <c r="P21">
        <v>292</v>
      </c>
      <c r="Q21">
        <v>72</v>
      </c>
      <c r="R21">
        <v>280</v>
      </c>
      <c r="S21">
        <v>70</v>
      </c>
      <c r="T21">
        <v>268</v>
      </c>
      <c r="U21" s="246">
        <v>214</v>
      </c>
      <c r="V21" s="246">
        <v>840</v>
      </c>
      <c r="W21" s="248">
        <v>58</v>
      </c>
    </row>
    <row r="22" spans="1:23" x14ac:dyDescent="0.25">
      <c r="A22" s="250">
        <v>16</v>
      </c>
      <c r="B22" s="217">
        <v>43922</v>
      </c>
      <c r="C22" s="218">
        <v>18</v>
      </c>
      <c r="D22" s="218">
        <f ca="1">OFFSET([2]Devis!$T$25,$A$3*A22,0)</f>
        <v>0</v>
      </c>
      <c r="E22" s="218">
        <f ca="1">OFFSET([2]Devis!$U$25,$A$3*A22,0)</f>
        <v>0</v>
      </c>
      <c r="F22" s="218">
        <f ca="1">OFFSET([2]Devis!$T$26,$A$3*A22,0)</f>
        <v>0</v>
      </c>
      <c r="G22" s="218">
        <f ca="1">OFFSET([2]Devis!$U$26,$A$3*A22,0)</f>
        <v>0</v>
      </c>
      <c r="H22" s="218">
        <f ca="1">OFFSET([2]Devis!$T$27,$A$3*A22,0)</f>
        <v>0</v>
      </c>
      <c r="I22" s="218">
        <f ca="1">OFFSET([2]Devis!$U$27,$A$3*A22,0)</f>
        <v>0</v>
      </c>
      <c r="J22" s="252">
        <f t="shared" ca="1" si="0"/>
        <v>0</v>
      </c>
      <c r="K22" s="252">
        <f t="shared" ca="1" si="1"/>
        <v>0</v>
      </c>
      <c r="L22" s="253">
        <f ca="1">OFFSET([2]Devis!$T$29,$A$3*A22,0)</f>
        <v>0</v>
      </c>
      <c r="N22" s="218">
        <v>18</v>
      </c>
      <c r="O22" s="218">
        <v>77</v>
      </c>
      <c r="P22" s="218">
        <v>396</v>
      </c>
      <c r="Q22" s="218">
        <v>73</v>
      </c>
      <c r="R22" s="218">
        <v>543</v>
      </c>
      <c r="S22" s="218">
        <v>80</v>
      </c>
      <c r="T22" s="218">
        <v>249</v>
      </c>
      <c r="U22" s="252">
        <v>230</v>
      </c>
      <c r="V22" s="252">
        <v>1188</v>
      </c>
      <c r="W22" s="253">
        <v>28</v>
      </c>
    </row>
    <row r="23" spans="1:23" x14ac:dyDescent="0.25">
      <c r="A23" s="250">
        <v>17</v>
      </c>
      <c r="B23" s="217">
        <v>43952</v>
      </c>
      <c r="C23">
        <v>19</v>
      </c>
      <c r="D23">
        <f ca="1">OFFSET([2]Devis!$T$25,$A$3*A23,0)</f>
        <v>0</v>
      </c>
      <c r="E23">
        <f ca="1">OFFSET([2]Devis!$U$25,$A$3*A23,0)</f>
        <v>0</v>
      </c>
      <c r="F23">
        <f ca="1">OFFSET([2]Devis!$T$26,$A$3*A23,0)</f>
        <v>0</v>
      </c>
      <c r="G23">
        <f ca="1">OFFSET([2]Devis!$U$26,$A$3*A23,0)</f>
        <v>0</v>
      </c>
      <c r="H23">
        <f ca="1">OFFSET([2]Devis!$T$27,$A$3*A23,0)</f>
        <v>0</v>
      </c>
      <c r="I23">
        <f ca="1">OFFSET([2]Devis!$U$27,$A$3*A23,0)</f>
        <v>0</v>
      </c>
      <c r="J23" s="246">
        <f t="shared" ca="1" si="0"/>
        <v>0</v>
      </c>
      <c r="K23" s="246">
        <f t="shared" ca="1" si="1"/>
        <v>0</v>
      </c>
      <c r="L23" s="248">
        <f ca="1">OFFSET([2]Devis!$T$29,$A$3*A23,0)</f>
        <v>0</v>
      </c>
      <c r="N23">
        <v>19</v>
      </c>
      <c r="O23">
        <v>70</v>
      </c>
      <c r="P23">
        <v>300</v>
      </c>
      <c r="Q23">
        <v>93</v>
      </c>
      <c r="R23">
        <v>470</v>
      </c>
      <c r="S23">
        <v>68</v>
      </c>
      <c r="T23">
        <v>336</v>
      </c>
      <c r="U23" s="246">
        <v>231</v>
      </c>
      <c r="V23" s="246">
        <v>1106</v>
      </c>
      <c r="W23" s="248">
        <v>36</v>
      </c>
    </row>
    <row r="24" spans="1:23" x14ac:dyDescent="0.25">
      <c r="A24" s="250">
        <v>18</v>
      </c>
      <c r="B24" s="217">
        <v>43952</v>
      </c>
      <c r="C24">
        <v>20</v>
      </c>
      <c r="D24">
        <f ca="1">OFFSET([2]Devis!$T$25,$A$3*A24,0)</f>
        <v>0</v>
      </c>
      <c r="E24">
        <f ca="1">OFFSET([2]Devis!$U$25,$A$3*A24,0)</f>
        <v>0</v>
      </c>
      <c r="F24">
        <f ca="1">OFFSET([2]Devis!$T$26,$A$3*A24,0)</f>
        <v>0</v>
      </c>
      <c r="G24">
        <f ca="1">OFFSET([2]Devis!$U$26,$A$3*A24,0)</f>
        <v>0</v>
      </c>
      <c r="H24">
        <f ca="1">OFFSET([2]Devis!$T$27,$A$3*A24,0)</f>
        <v>0</v>
      </c>
      <c r="I24">
        <f ca="1">OFFSET([2]Devis!$U$27,$A$3*A24,0)</f>
        <v>0</v>
      </c>
      <c r="J24" s="246">
        <f t="shared" ca="1" si="0"/>
        <v>0</v>
      </c>
      <c r="K24" s="246">
        <f t="shared" ca="1" si="1"/>
        <v>0</v>
      </c>
      <c r="L24" s="248">
        <f ca="1">OFFSET([2]Devis!$T$29,$A$3*A24,0)</f>
        <v>0</v>
      </c>
      <c r="N24">
        <v>20</v>
      </c>
      <c r="O24">
        <v>121</v>
      </c>
      <c r="P24">
        <v>534</v>
      </c>
      <c r="Q24">
        <v>107</v>
      </c>
      <c r="R24">
        <v>751</v>
      </c>
      <c r="S24">
        <v>103</v>
      </c>
      <c r="T24">
        <v>492</v>
      </c>
      <c r="U24" s="246">
        <v>331</v>
      </c>
      <c r="V24" s="246">
        <v>1777</v>
      </c>
      <c r="W24" s="248">
        <v>47</v>
      </c>
    </row>
    <row r="25" spans="1:23" x14ac:dyDescent="0.25">
      <c r="A25" s="250">
        <v>19</v>
      </c>
      <c r="B25" s="217">
        <v>43952</v>
      </c>
      <c r="C25">
        <v>21</v>
      </c>
      <c r="D25">
        <f ca="1">OFFSET([2]Devis!$T$25,$A$3*A25,0)</f>
        <v>0</v>
      </c>
      <c r="E25">
        <f ca="1">OFFSET([2]Devis!$U$25,$A$3*A25,0)</f>
        <v>0</v>
      </c>
      <c r="F25">
        <f ca="1">OFFSET([2]Devis!$T$26,$A$3*A25,0)</f>
        <v>0</v>
      </c>
      <c r="G25">
        <f ca="1">OFFSET([2]Devis!$U$26,$A$3*A25,0)</f>
        <v>0</v>
      </c>
      <c r="H25">
        <f ca="1">OFFSET([2]Devis!$T$27,$A$3*A25,0)</f>
        <v>0</v>
      </c>
      <c r="I25">
        <f ca="1">OFFSET([2]Devis!$U$27,$A$3*A25,0)</f>
        <v>0</v>
      </c>
      <c r="J25" s="246">
        <f t="shared" ca="1" si="0"/>
        <v>0</v>
      </c>
      <c r="K25" s="246">
        <f t="shared" ca="1" si="1"/>
        <v>0</v>
      </c>
      <c r="L25" s="248">
        <f ca="1">OFFSET([2]Devis!$T$29,$A$3*A25,0)</f>
        <v>0</v>
      </c>
      <c r="N25">
        <v>21</v>
      </c>
      <c r="O25">
        <v>95</v>
      </c>
      <c r="P25">
        <v>917</v>
      </c>
      <c r="Q25">
        <v>121</v>
      </c>
      <c r="R25">
        <v>828</v>
      </c>
      <c r="S25">
        <v>80</v>
      </c>
      <c r="T25">
        <v>362</v>
      </c>
      <c r="U25" s="246">
        <v>296</v>
      </c>
      <c r="V25" s="246">
        <v>2107</v>
      </c>
      <c r="W25" s="248">
        <v>42</v>
      </c>
    </row>
    <row r="26" spans="1:23" x14ac:dyDescent="0.25">
      <c r="A26" s="250">
        <v>20</v>
      </c>
      <c r="B26" s="217">
        <v>43952</v>
      </c>
      <c r="C26" s="218">
        <v>22</v>
      </c>
      <c r="D26" s="218">
        <f ca="1">OFFSET([2]Devis!$T$25,$A$3*A26,0)</f>
        <v>0</v>
      </c>
      <c r="E26" s="218">
        <f ca="1">OFFSET([2]Devis!$U$25,$A$3*A26,0)</f>
        <v>0</v>
      </c>
      <c r="F26" s="218">
        <f ca="1">OFFSET([2]Devis!$T$26,$A$3*A26,0)</f>
        <v>0</v>
      </c>
      <c r="G26" s="218">
        <f ca="1">OFFSET([2]Devis!$U$26,$A$3*A26,0)</f>
        <v>0</v>
      </c>
      <c r="H26" s="218">
        <f ca="1">OFFSET([2]Devis!$T$27,$A$3*A26,0)</f>
        <v>0</v>
      </c>
      <c r="I26" s="218">
        <f ca="1">OFFSET([2]Devis!$U$27,$A$3*A26,0)</f>
        <v>0</v>
      </c>
      <c r="J26" s="252">
        <f t="shared" ca="1" si="0"/>
        <v>0</v>
      </c>
      <c r="K26" s="252">
        <f t="shared" ca="1" si="1"/>
        <v>0</v>
      </c>
      <c r="L26" s="253">
        <f ca="1">OFFSET([2]Devis!$T$29,$A$3*A26,0)</f>
        <v>0</v>
      </c>
      <c r="N26" s="218">
        <v>22</v>
      </c>
      <c r="O26" s="218">
        <v>67</v>
      </c>
      <c r="P26" s="218">
        <v>321</v>
      </c>
      <c r="Q26" s="218">
        <v>79</v>
      </c>
      <c r="R26" s="218">
        <v>679</v>
      </c>
      <c r="S26" s="218">
        <v>52</v>
      </c>
      <c r="T26" s="218">
        <v>281</v>
      </c>
      <c r="U26" s="252">
        <v>198</v>
      </c>
      <c r="V26" s="252">
        <v>1281</v>
      </c>
      <c r="W26" s="253">
        <v>42</v>
      </c>
    </row>
    <row r="27" spans="1:23" x14ac:dyDescent="0.25">
      <c r="A27" s="250">
        <v>21</v>
      </c>
      <c r="B27" s="217">
        <v>43983</v>
      </c>
      <c r="C27">
        <v>23</v>
      </c>
      <c r="D27">
        <f ca="1">OFFSET([2]Devis!$T$25,$A$3*A27,0)</f>
        <v>0</v>
      </c>
      <c r="E27">
        <f ca="1">OFFSET([2]Devis!$U$25,$A$3*A27,0)</f>
        <v>0</v>
      </c>
      <c r="F27">
        <f ca="1">OFFSET([2]Devis!$T$26,$A$3*A27,0)</f>
        <v>0</v>
      </c>
      <c r="G27">
        <f ca="1">OFFSET([2]Devis!$U$26,$A$3*A27,0)</f>
        <v>0</v>
      </c>
      <c r="H27">
        <f ca="1">OFFSET([2]Devis!$T$27,$A$3*A27,0)</f>
        <v>0</v>
      </c>
      <c r="I27">
        <f ca="1">OFFSET([2]Devis!$U$27,$A$3*A27,0)</f>
        <v>0</v>
      </c>
      <c r="J27" s="246">
        <f t="shared" ca="1" si="0"/>
        <v>0</v>
      </c>
      <c r="K27" s="246">
        <f t="shared" ca="1" si="1"/>
        <v>0</v>
      </c>
      <c r="L27" s="248">
        <f ca="1">OFFSET([2]Devis!$T$29,$A$3*A27,0)</f>
        <v>0</v>
      </c>
      <c r="N27">
        <v>23</v>
      </c>
      <c r="O27">
        <v>98</v>
      </c>
      <c r="P27">
        <v>785</v>
      </c>
      <c r="Q27">
        <v>109</v>
      </c>
      <c r="R27">
        <v>659</v>
      </c>
      <c r="S27">
        <v>86</v>
      </c>
      <c r="T27">
        <v>403</v>
      </c>
      <c r="U27" s="246">
        <v>293</v>
      </c>
      <c r="V27" s="246">
        <v>1847</v>
      </c>
      <c r="W27" s="248">
        <v>41</v>
      </c>
    </row>
    <row r="28" spans="1:23" x14ac:dyDescent="0.25">
      <c r="A28" s="250">
        <v>22</v>
      </c>
      <c r="B28" s="217">
        <v>43983</v>
      </c>
      <c r="C28">
        <v>24</v>
      </c>
      <c r="D28">
        <f ca="1">OFFSET([2]Devis!$T$25,$A$3*A28,0)</f>
        <v>0</v>
      </c>
      <c r="E28">
        <f ca="1">OFFSET([2]Devis!$U$25,$A$3*A28,0)</f>
        <v>0</v>
      </c>
      <c r="F28">
        <f ca="1">OFFSET([2]Devis!$T$26,$A$3*A28,0)</f>
        <v>0</v>
      </c>
      <c r="G28">
        <f ca="1">OFFSET([2]Devis!$U$26,$A$3*A28,0)</f>
        <v>0</v>
      </c>
      <c r="H28">
        <f ca="1">OFFSET([2]Devis!$T$27,$A$3*A28,0)</f>
        <v>0</v>
      </c>
      <c r="I28">
        <f ca="1">OFFSET([2]Devis!$U$27,$A$3*A28,0)</f>
        <v>0</v>
      </c>
      <c r="J28" s="246">
        <f t="shared" ca="1" si="0"/>
        <v>0</v>
      </c>
      <c r="K28" s="246">
        <f t="shared" ca="1" si="1"/>
        <v>0</v>
      </c>
      <c r="L28" s="248">
        <f ca="1">OFFSET([2]Devis!$T$29,$A$3*A28,0)</f>
        <v>0</v>
      </c>
      <c r="N28">
        <v>24</v>
      </c>
      <c r="O28">
        <v>58</v>
      </c>
      <c r="P28">
        <v>319</v>
      </c>
      <c r="Q28">
        <v>76</v>
      </c>
      <c r="R28">
        <v>357</v>
      </c>
      <c r="S28">
        <v>76</v>
      </c>
      <c r="T28">
        <v>250</v>
      </c>
      <c r="U28" s="246">
        <v>210</v>
      </c>
      <c r="V28" s="246">
        <v>926</v>
      </c>
      <c r="W28" s="248">
        <v>27</v>
      </c>
    </row>
    <row r="29" spans="1:23" x14ac:dyDescent="0.25">
      <c r="A29" s="250">
        <v>23</v>
      </c>
      <c r="B29" s="217">
        <v>43983</v>
      </c>
      <c r="C29">
        <v>25</v>
      </c>
      <c r="D29">
        <f ca="1">OFFSET([2]Devis!$T$25,$A$3*A29,0)</f>
        <v>0</v>
      </c>
      <c r="E29">
        <f ca="1">OFFSET([2]Devis!$U$25,$A$3*A29,0)</f>
        <v>0</v>
      </c>
      <c r="F29">
        <f ca="1">OFFSET([2]Devis!$T$26,$A$3*A29,0)</f>
        <v>0</v>
      </c>
      <c r="G29">
        <f ca="1">OFFSET([2]Devis!$U$26,$A$3*A29,0)</f>
        <v>0</v>
      </c>
      <c r="H29">
        <f ca="1">OFFSET([2]Devis!$T$27,$A$3*A29,0)</f>
        <v>0</v>
      </c>
      <c r="I29">
        <f ca="1">OFFSET([2]Devis!$U$27,$A$3*A29,0)</f>
        <v>0</v>
      </c>
      <c r="J29" s="246">
        <f t="shared" ca="1" si="0"/>
        <v>0</v>
      </c>
      <c r="K29" s="246">
        <f t="shared" ca="1" si="1"/>
        <v>0</v>
      </c>
      <c r="L29" s="248">
        <f ca="1">OFFSET([2]Devis!$T$29,$A$3*A29,0)</f>
        <v>0</v>
      </c>
      <c r="N29">
        <v>25</v>
      </c>
      <c r="O29">
        <v>104</v>
      </c>
      <c r="P29">
        <v>3048</v>
      </c>
      <c r="Q29">
        <v>124</v>
      </c>
      <c r="R29">
        <v>823</v>
      </c>
      <c r="S29">
        <v>88</v>
      </c>
      <c r="T29">
        <v>287</v>
      </c>
      <c r="U29" s="246">
        <v>316</v>
      </c>
      <c r="V29" s="246">
        <v>4158</v>
      </c>
      <c r="W29" s="248">
        <v>63</v>
      </c>
    </row>
    <row r="30" spans="1:23" x14ac:dyDescent="0.25">
      <c r="A30" s="250">
        <v>24</v>
      </c>
      <c r="B30" s="217">
        <v>43983</v>
      </c>
      <c r="C30" s="218">
        <v>26</v>
      </c>
      <c r="D30" s="218">
        <f ca="1">OFFSET([2]Devis!$T$25,$A$3*A30,0)</f>
        <v>0</v>
      </c>
      <c r="E30" s="218">
        <f ca="1">OFFSET([2]Devis!$U$25,$A$3*A30,0)</f>
        <v>0</v>
      </c>
      <c r="F30" s="218">
        <f ca="1">OFFSET([2]Devis!$T$26,$A$3*A30,0)</f>
        <v>0</v>
      </c>
      <c r="G30" s="218">
        <f ca="1">OFFSET([2]Devis!$U$26,$A$3*A30,0)</f>
        <v>0</v>
      </c>
      <c r="H30" s="218">
        <f ca="1">OFFSET([2]Devis!$T$27,$A$3*A30,0)</f>
        <v>0</v>
      </c>
      <c r="I30" s="218">
        <f ca="1">OFFSET([2]Devis!$U$27,$A$3*A30,0)</f>
        <v>0</v>
      </c>
      <c r="J30" s="252">
        <f t="shared" ca="1" si="0"/>
        <v>0</v>
      </c>
      <c r="K30" s="252">
        <f t="shared" ca="1" si="1"/>
        <v>0</v>
      </c>
      <c r="L30" s="253">
        <f ca="1">OFFSET([2]Devis!$T$29,$A$3*A30,0)</f>
        <v>0</v>
      </c>
      <c r="N30" s="218">
        <v>26</v>
      </c>
      <c r="O30" s="218">
        <v>73</v>
      </c>
      <c r="P30" s="218">
        <v>365</v>
      </c>
      <c r="Q30" s="218">
        <v>119</v>
      </c>
      <c r="R30" s="218">
        <v>949</v>
      </c>
      <c r="S30" s="218">
        <v>88</v>
      </c>
      <c r="T30" s="218">
        <v>374</v>
      </c>
      <c r="U30" s="252">
        <v>280</v>
      </c>
      <c r="V30" s="252">
        <v>1688</v>
      </c>
      <c r="W30" s="253">
        <v>29</v>
      </c>
    </row>
    <row r="31" spans="1:23" x14ac:dyDescent="0.25">
      <c r="A31" s="250">
        <v>25</v>
      </c>
      <c r="B31" s="217">
        <v>44013</v>
      </c>
      <c r="C31">
        <v>27</v>
      </c>
      <c r="D31">
        <f ca="1">OFFSET([2]Devis!$T$25,$A$3*A31,0)</f>
        <v>0</v>
      </c>
      <c r="E31">
        <f ca="1">OFFSET([2]Devis!$U$25,$A$3*A31,0)</f>
        <v>0</v>
      </c>
      <c r="F31">
        <f ca="1">OFFSET([2]Devis!$T$26,$A$3*A31,0)</f>
        <v>0</v>
      </c>
      <c r="G31">
        <f ca="1">OFFSET([2]Devis!$U$26,$A$3*A31,0)</f>
        <v>0</v>
      </c>
      <c r="H31">
        <f ca="1">OFFSET([2]Devis!$T$27,$A$3*A31,0)</f>
        <v>0</v>
      </c>
      <c r="I31">
        <f ca="1">OFFSET([2]Devis!$U$27,$A$3*A31,0)</f>
        <v>0</v>
      </c>
      <c r="J31" s="246">
        <f t="shared" ca="1" si="0"/>
        <v>0</v>
      </c>
      <c r="K31" s="246">
        <f t="shared" ca="1" si="1"/>
        <v>0</v>
      </c>
      <c r="L31" s="248">
        <f ca="1">OFFSET([2]Devis!$T$29,$A$3*A31,0)</f>
        <v>0</v>
      </c>
      <c r="N31">
        <v>27</v>
      </c>
      <c r="O31">
        <v>61</v>
      </c>
      <c r="P31">
        <v>293</v>
      </c>
      <c r="Q31">
        <v>95</v>
      </c>
      <c r="R31">
        <v>934</v>
      </c>
      <c r="S31">
        <v>98</v>
      </c>
      <c r="T31">
        <v>682</v>
      </c>
      <c r="U31" s="246">
        <v>254</v>
      </c>
      <c r="V31" s="246">
        <v>1909</v>
      </c>
      <c r="W31" s="248">
        <v>20</v>
      </c>
    </row>
    <row r="32" spans="1:23" x14ac:dyDescent="0.25">
      <c r="A32" s="250">
        <v>26</v>
      </c>
      <c r="B32" s="217">
        <v>44013</v>
      </c>
      <c r="C32">
        <v>28</v>
      </c>
      <c r="D32">
        <f ca="1">OFFSET([2]Devis!$T$25,$A$3*A32,0)</f>
        <v>0</v>
      </c>
      <c r="E32">
        <f ca="1">OFFSET([2]Devis!$U$25,$A$3*A32,0)</f>
        <v>0</v>
      </c>
      <c r="F32">
        <f ca="1">OFFSET([2]Devis!$T$26,$A$3*A32,0)</f>
        <v>0</v>
      </c>
      <c r="G32">
        <f ca="1">OFFSET([2]Devis!$U$26,$A$3*A32,0)</f>
        <v>0</v>
      </c>
      <c r="H32">
        <f ca="1">OFFSET([2]Devis!$T$27,$A$3*A32,0)</f>
        <v>0</v>
      </c>
      <c r="I32">
        <f ca="1">OFFSET([2]Devis!$U$27,$A$3*A32,0)</f>
        <v>0</v>
      </c>
      <c r="J32" s="246">
        <f t="shared" ca="1" si="0"/>
        <v>0</v>
      </c>
      <c r="K32" s="246">
        <f t="shared" ca="1" si="1"/>
        <v>0</v>
      </c>
      <c r="L32" s="248">
        <f ca="1">OFFSET([2]Devis!$T$29,$A$3*A32,0)</f>
        <v>0</v>
      </c>
      <c r="N32">
        <v>28</v>
      </c>
      <c r="O32">
        <v>74</v>
      </c>
      <c r="P32">
        <v>439</v>
      </c>
      <c r="Q32">
        <v>117</v>
      </c>
      <c r="R32">
        <v>616</v>
      </c>
      <c r="S32">
        <v>82</v>
      </c>
      <c r="T32">
        <v>591</v>
      </c>
      <c r="U32" s="246">
        <v>273</v>
      </c>
      <c r="V32" s="246">
        <v>1646</v>
      </c>
      <c r="W32" s="248">
        <v>39</v>
      </c>
    </row>
    <row r="33" spans="1:23" x14ac:dyDescent="0.25">
      <c r="A33" s="250">
        <v>27</v>
      </c>
      <c r="B33" s="217">
        <v>44013</v>
      </c>
      <c r="C33">
        <v>29</v>
      </c>
      <c r="D33">
        <f ca="1">OFFSET([2]Devis!$T$25,$A$3*A33,0)</f>
        <v>0</v>
      </c>
      <c r="E33">
        <f ca="1">OFFSET([2]Devis!$U$25,$A$3*A33,0)</f>
        <v>0</v>
      </c>
      <c r="F33">
        <f ca="1">OFFSET([2]Devis!$T$26,$A$3*A33,0)</f>
        <v>0</v>
      </c>
      <c r="G33">
        <f ca="1">OFFSET([2]Devis!$U$26,$A$3*A33,0)</f>
        <v>0</v>
      </c>
      <c r="H33">
        <f ca="1">OFFSET([2]Devis!$T$27,$A$3*A33,0)</f>
        <v>0</v>
      </c>
      <c r="I33">
        <f ca="1">OFFSET([2]Devis!$U$27,$A$3*A33,0)</f>
        <v>0</v>
      </c>
      <c r="J33" s="246">
        <f t="shared" ca="1" si="0"/>
        <v>0</v>
      </c>
      <c r="K33" s="246">
        <f t="shared" ca="1" si="1"/>
        <v>0</v>
      </c>
      <c r="L33" s="248">
        <f ca="1">OFFSET([2]Devis!$T$29,$A$3*A33,0)</f>
        <v>0</v>
      </c>
      <c r="N33">
        <v>29</v>
      </c>
      <c r="O33">
        <v>89</v>
      </c>
      <c r="P33">
        <v>282</v>
      </c>
      <c r="Q33">
        <v>115</v>
      </c>
      <c r="R33">
        <v>752</v>
      </c>
      <c r="S33">
        <v>85</v>
      </c>
      <c r="T33">
        <v>471</v>
      </c>
      <c r="U33" s="246">
        <v>289</v>
      </c>
      <c r="V33" s="246">
        <v>1505</v>
      </c>
      <c r="W33" s="248">
        <v>34</v>
      </c>
    </row>
    <row r="34" spans="1:23" x14ac:dyDescent="0.25">
      <c r="A34" s="250">
        <v>28</v>
      </c>
      <c r="B34" s="217">
        <v>44013</v>
      </c>
      <c r="C34">
        <v>30</v>
      </c>
      <c r="D34">
        <f ca="1">OFFSET([2]Devis!$T$25,$A$3*A34,0)</f>
        <v>0</v>
      </c>
      <c r="E34">
        <f ca="1">OFFSET([2]Devis!$U$25,$A$3*A34,0)</f>
        <v>0</v>
      </c>
      <c r="F34">
        <f ca="1">OFFSET([2]Devis!$T$26,$A$3*A34,0)</f>
        <v>0</v>
      </c>
      <c r="G34">
        <f ca="1">OFFSET([2]Devis!$U$26,$A$3*A34,0)</f>
        <v>0</v>
      </c>
      <c r="H34">
        <f ca="1">OFFSET([2]Devis!$T$27,$A$3*A34,0)</f>
        <v>0</v>
      </c>
      <c r="I34">
        <f ca="1">OFFSET([2]Devis!$U$27,$A$3*A34,0)</f>
        <v>0</v>
      </c>
      <c r="J34" s="246">
        <f t="shared" ca="1" si="0"/>
        <v>0</v>
      </c>
      <c r="K34" s="246">
        <f t="shared" ca="1" si="1"/>
        <v>0</v>
      </c>
      <c r="L34" s="248">
        <f ca="1">OFFSET([2]Devis!$T$29,$A$3*A34,0)</f>
        <v>0</v>
      </c>
      <c r="N34">
        <v>30</v>
      </c>
      <c r="O34">
        <v>87</v>
      </c>
      <c r="P34">
        <v>398</v>
      </c>
      <c r="Q34">
        <v>91</v>
      </c>
      <c r="R34">
        <v>467</v>
      </c>
      <c r="S34">
        <v>86</v>
      </c>
      <c r="T34">
        <v>298</v>
      </c>
      <c r="U34" s="246">
        <v>264</v>
      </c>
      <c r="V34" s="246">
        <v>1163</v>
      </c>
      <c r="W34" s="248">
        <v>49</v>
      </c>
    </row>
    <row r="35" spans="1:23" x14ac:dyDescent="0.25">
      <c r="A35" s="250">
        <v>29</v>
      </c>
      <c r="B35" s="217">
        <v>44013</v>
      </c>
      <c r="C35" s="218">
        <v>31</v>
      </c>
      <c r="D35" s="218">
        <f ca="1">OFFSET([2]Devis!$T$25,$A$3*A35,0)</f>
        <v>0</v>
      </c>
      <c r="E35" s="218">
        <f ca="1">OFFSET([2]Devis!$U$25,$A$3*A35,0)</f>
        <v>0</v>
      </c>
      <c r="F35" s="218">
        <f ca="1">OFFSET([2]Devis!$T$26,$A$3*A35,0)</f>
        <v>0</v>
      </c>
      <c r="G35" s="218">
        <f ca="1">OFFSET([2]Devis!$U$26,$A$3*A35,0)</f>
        <v>0</v>
      </c>
      <c r="H35" s="218">
        <f ca="1">OFFSET([2]Devis!$T$27,$A$3*A35,0)</f>
        <v>0</v>
      </c>
      <c r="I35" s="218">
        <f ca="1">OFFSET([2]Devis!$U$27,$A$3*A35,0)</f>
        <v>0</v>
      </c>
      <c r="J35" s="252">
        <f t="shared" ca="1" si="0"/>
        <v>0</v>
      </c>
      <c r="K35" s="252">
        <f t="shared" ca="1" si="1"/>
        <v>0</v>
      </c>
      <c r="L35" s="253">
        <f ca="1">OFFSET([2]Devis!$T$29,$A$3*A35,0)</f>
        <v>0</v>
      </c>
      <c r="N35" s="218">
        <v>31</v>
      </c>
      <c r="O35" s="218">
        <v>67</v>
      </c>
      <c r="P35" s="218">
        <v>459</v>
      </c>
      <c r="Q35" s="218">
        <v>64</v>
      </c>
      <c r="R35" s="218">
        <v>471</v>
      </c>
      <c r="S35" s="218">
        <v>60</v>
      </c>
      <c r="T35" s="218">
        <v>425</v>
      </c>
      <c r="U35" s="252">
        <v>191</v>
      </c>
      <c r="V35" s="252">
        <v>1355</v>
      </c>
      <c r="W35" s="253">
        <v>90</v>
      </c>
    </row>
    <row r="36" spans="1:23" x14ac:dyDescent="0.25">
      <c r="A36" s="250">
        <v>30</v>
      </c>
      <c r="B36" s="217">
        <v>44044</v>
      </c>
      <c r="C36">
        <v>32</v>
      </c>
      <c r="D36">
        <f ca="1">OFFSET([2]Devis!$T$25,$A$3*A36,0)</f>
        <v>0</v>
      </c>
      <c r="E36">
        <f ca="1">OFFSET([2]Devis!$U$25,$A$3*A36,0)</f>
        <v>0</v>
      </c>
      <c r="F36">
        <f ca="1">OFFSET([2]Devis!$T$26,$A$3*A36,0)</f>
        <v>0</v>
      </c>
      <c r="G36">
        <f ca="1">OFFSET([2]Devis!$U$26,$A$3*A36,0)</f>
        <v>0</v>
      </c>
      <c r="H36">
        <f ca="1">OFFSET([2]Devis!$T$27,$A$3*A36,0)</f>
        <v>0</v>
      </c>
      <c r="I36">
        <f ca="1">OFFSET([2]Devis!$U$27,$A$3*A36,0)</f>
        <v>0</v>
      </c>
      <c r="J36" s="246">
        <f t="shared" ca="1" si="0"/>
        <v>0</v>
      </c>
      <c r="K36" s="246">
        <f t="shared" ca="1" si="1"/>
        <v>0</v>
      </c>
      <c r="L36" s="248">
        <f ca="1">OFFSET([2]Devis!$T$29,$A$3*A36,0)</f>
        <v>0</v>
      </c>
      <c r="N36">
        <v>32</v>
      </c>
      <c r="O36">
        <v>31</v>
      </c>
      <c r="P36">
        <v>149</v>
      </c>
      <c r="Q36">
        <v>26</v>
      </c>
      <c r="R36">
        <v>198</v>
      </c>
      <c r="S36">
        <v>17</v>
      </c>
      <c r="T36">
        <v>75</v>
      </c>
      <c r="U36" s="246">
        <v>74</v>
      </c>
      <c r="V36" s="246">
        <v>422</v>
      </c>
      <c r="W36" s="248">
        <v>0</v>
      </c>
    </row>
    <row r="37" spans="1:23" x14ac:dyDescent="0.25">
      <c r="A37" s="250">
        <v>31</v>
      </c>
      <c r="B37" s="217">
        <v>44044</v>
      </c>
      <c r="C37">
        <v>33</v>
      </c>
      <c r="D37">
        <f ca="1">OFFSET([2]Devis!$T$25,$A$3*A37,0)</f>
        <v>0</v>
      </c>
      <c r="E37">
        <f ca="1">OFFSET([2]Devis!$U$25,$A$3*A37,0)</f>
        <v>0</v>
      </c>
      <c r="F37">
        <f ca="1">OFFSET([2]Devis!$T$26,$A$3*A37,0)</f>
        <v>0</v>
      </c>
      <c r="G37">
        <f ca="1">OFFSET([2]Devis!$U$26,$A$3*A37,0)</f>
        <v>0</v>
      </c>
      <c r="H37">
        <f ca="1">OFFSET([2]Devis!$T$27,$A$3*A37,0)</f>
        <v>0</v>
      </c>
      <c r="I37">
        <f ca="1">OFFSET([2]Devis!$U$27,$A$3*A37,0)</f>
        <v>0</v>
      </c>
      <c r="J37" s="246">
        <f t="shared" ca="1" si="0"/>
        <v>0</v>
      </c>
      <c r="K37" s="246">
        <f t="shared" ca="1" si="1"/>
        <v>0</v>
      </c>
      <c r="L37" s="248">
        <f ca="1">OFFSET([2]Devis!$T$29,$A$3*A37,0)</f>
        <v>0</v>
      </c>
      <c r="N37">
        <v>33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 s="246">
        <v>0</v>
      </c>
      <c r="V37" s="246">
        <v>0</v>
      </c>
      <c r="W37" s="248">
        <v>0</v>
      </c>
    </row>
    <row r="38" spans="1:23" x14ac:dyDescent="0.25">
      <c r="A38" s="250">
        <v>32</v>
      </c>
      <c r="B38" s="217">
        <v>44044</v>
      </c>
      <c r="C38">
        <v>34</v>
      </c>
      <c r="D38">
        <f ca="1">OFFSET([2]Devis!$T$25,$A$3*A38,0)</f>
        <v>0</v>
      </c>
      <c r="E38">
        <f ca="1">OFFSET([2]Devis!$U$25,$A$3*A38,0)</f>
        <v>0</v>
      </c>
      <c r="F38">
        <f ca="1">OFFSET([2]Devis!$T$26,$A$3*A38,0)</f>
        <v>0</v>
      </c>
      <c r="G38">
        <f ca="1">OFFSET([2]Devis!$U$26,$A$3*A38,0)</f>
        <v>0</v>
      </c>
      <c r="H38">
        <f ca="1">OFFSET([2]Devis!$T$27,$A$3*A38,0)</f>
        <v>0</v>
      </c>
      <c r="I38">
        <f ca="1">OFFSET([2]Devis!$U$27,$A$3*A38,0)</f>
        <v>0</v>
      </c>
      <c r="J38" s="246">
        <f t="shared" ca="1" si="0"/>
        <v>0</v>
      </c>
      <c r="K38" s="246">
        <f t="shared" ca="1" si="1"/>
        <v>0</v>
      </c>
      <c r="L38" s="248">
        <f ca="1">OFFSET([2]Devis!$T$29,$A$3*A38,0)</f>
        <v>0</v>
      </c>
      <c r="N38">
        <v>34</v>
      </c>
      <c r="O38">
        <v>63</v>
      </c>
      <c r="P38">
        <v>189</v>
      </c>
      <c r="Q38">
        <v>76</v>
      </c>
      <c r="R38">
        <v>443</v>
      </c>
      <c r="S38">
        <v>51</v>
      </c>
      <c r="T38">
        <v>194</v>
      </c>
      <c r="U38" s="246">
        <v>190</v>
      </c>
      <c r="V38" s="246">
        <v>826</v>
      </c>
      <c r="W38" s="248">
        <v>50</v>
      </c>
    </row>
    <row r="39" spans="1:23" x14ac:dyDescent="0.25">
      <c r="A39" s="250">
        <v>33</v>
      </c>
      <c r="B39" s="217">
        <v>44044</v>
      </c>
      <c r="C39" s="218">
        <v>35</v>
      </c>
      <c r="D39" s="218">
        <f ca="1">OFFSET([2]Devis!$T$25,$A$3*A39,0)</f>
        <v>0</v>
      </c>
      <c r="E39" s="218">
        <f ca="1">OFFSET([2]Devis!$U$25,$A$3*A39,0)</f>
        <v>0</v>
      </c>
      <c r="F39" s="218">
        <f ca="1">OFFSET([2]Devis!$T$26,$A$3*A39,0)</f>
        <v>0</v>
      </c>
      <c r="G39" s="218">
        <f ca="1">OFFSET([2]Devis!$U$26,$A$3*A39,0)</f>
        <v>0</v>
      </c>
      <c r="H39" s="218">
        <f ca="1">OFFSET([2]Devis!$T$27,$A$3*A39,0)</f>
        <v>0</v>
      </c>
      <c r="I39" s="218">
        <f ca="1">OFFSET([2]Devis!$U$27,$A$3*A39,0)</f>
        <v>0</v>
      </c>
      <c r="J39" s="252">
        <f t="shared" ca="1" si="0"/>
        <v>0</v>
      </c>
      <c r="K39" s="252">
        <f t="shared" ca="1" si="1"/>
        <v>0</v>
      </c>
      <c r="L39" s="253">
        <f ca="1">OFFSET([2]Devis!$T$29,$A$3*A39,0)</f>
        <v>0</v>
      </c>
      <c r="N39" s="218">
        <v>35</v>
      </c>
      <c r="O39" s="218">
        <v>0</v>
      </c>
      <c r="P39" s="218">
        <v>0</v>
      </c>
      <c r="Q39" s="218">
        <v>0</v>
      </c>
      <c r="R39" s="218">
        <v>0</v>
      </c>
      <c r="S39" s="218">
        <v>0</v>
      </c>
      <c r="T39" s="218">
        <v>0</v>
      </c>
      <c r="U39" s="252">
        <v>0</v>
      </c>
      <c r="V39" s="252">
        <v>0</v>
      </c>
      <c r="W39" s="253">
        <v>0</v>
      </c>
    </row>
    <row r="40" spans="1:23" x14ac:dyDescent="0.25">
      <c r="A40" s="250">
        <v>34</v>
      </c>
      <c r="B40" s="217">
        <v>44075</v>
      </c>
      <c r="C40">
        <v>36</v>
      </c>
      <c r="D40">
        <f ca="1">OFFSET([2]Devis!$T$25,$A$3*A40,0)</f>
        <v>0</v>
      </c>
      <c r="E40">
        <f ca="1">OFFSET([2]Devis!$U$25,$A$3*A40,0)</f>
        <v>0</v>
      </c>
      <c r="F40">
        <f ca="1">OFFSET([2]Devis!$T$26,$A$3*A40,0)</f>
        <v>0</v>
      </c>
      <c r="G40">
        <f ca="1">OFFSET([2]Devis!$U$26,$A$3*A40,0)</f>
        <v>0</v>
      </c>
      <c r="H40">
        <f ca="1">OFFSET([2]Devis!$T$27,$A$3*A40,0)</f>
        <v>0</v>
      </c>
      <c r="I40">
        <f ca="1">OFFSET([2]Devis!$U$27,$A$3*A40,0)</f>
        <v>0</v>
      </c>
      <c r="J40" s="246">
        <f t="shared" ca="1" si="0"/>
        <v>0</v>
      </c>
      <c r="K40" s="246">
        <f t="shared" ca="1" si="1"/>
        <v>0</v>
      </c>
      <c r="L40" s="248">
        <f ca="1">OFFSET([2]Devis!$T$29,$A$3*A40,0)</f>
        <v>0</v>
      </c>
      <c r="N40">
        <v>36</v>
      </c>
      <c r="O40">
        <v>114</v>
      </c>
      <c r="P40">
        <v>446</v>
      </c>
      <c r="Q40">
        <v>134</v>
      </c>
      <c r="R40">
        <v>634</v>
      </c>
      <c r="S40">
        <v>86</v>
      </c>
      <c r="T40">
        <v>321</v>
      </c>
      <c r="U40" s="246">
        <v>334</v>
      </c>
      <c r="V40" s="246">
        <v>1401</v>
      </c>
      <c r="W40" s="248">
        <v>41</v>
      </c>
    </row>
    <row r="41" spans="1:23" x14ac:dyDescent="0.25">
      <c r="A41" s="250">
        <v>35</v>
      </c>
      <c r="B41" s="217">
        <v>44075</v>
      </c>
      <c r="C41">
        <v>37</v>
      </c>
      <c r="D41">
        <f ca="1">OFFSET([2]Devis!$T$25,$A$3*A41,0)</f>
        <v>0</v>
      </c>
      <c r="E41">
        <f ca="1">OFFSET([2]Devis!$U$25,$A$3*A41,0)</f>
        <v>0</v>
      </c>
      <c r="F41">
        <f ca="1">OFFSET([2]Devis!$T$26,$A$3*A41,0)</f>
        <v>0</v>
      </c>
      <c r="G41">
        <f ca="1">OFFSET([2]Devis!$U$26,$A$3*A41,0)</f>
        <v>0</v>
      </c>
      <c r="H41">
        <f ca="1">OFFSET([2]Devis!$T$27,$A$3*A41,0)</f>
        <v>0</v>
      </c>
      <c r="I41">
        <f ca="1">OFFSET([2]Devis!$U$27,$A$3*A41,0)</f>
        <v>0</v>
      </c>
      <c r="J41" s="246">
        <f t="shared" ca="1" si="0"/>
        <v>0</v>
      </c>
      <c r="K41" s="246">
        <f t="shared" ca="1" si="1"/>
        <v>0</v>
      </c>
      <c r="L41" s="248">
        <f ca="1">OFFSET([2]Devis!$T$29,$A$3*A41,0)</f>
        <v>0</v>
      </c>
      <c r="N41">
        <v>37</v>
      </c>
      <c r="O41">
        <v>115</v>
      </c>
      <c r="P41">
        <v>534</v>
      </c>
      <c r="Q41">
        <v>115</v>
      </c>
      <c r="R41">
        <v>549</v>
      </c>
      <c r="S41">
        <v>99</v>
      </c>
      <c r="T41">
        <v>374</v>
      </c>
      <c r="U41" s="246">
        <v>329</v>
      </c>
      <c r="V41" s="246">
        <v>1457</v>
      </c>
      <c r="W41" s="248">
        <v>44</v>
      </c>
    </row>
    <row r="42" spans="1:23" x14ac:dyDescent="0.25">
      <c r="A42" s="250">
        <v>36</v>
      </c>
      <c r="B42" s="217">
        <v>44075</v>
      </c>
      <c r="C42">
        <v>38</v>
      </c>
      <c r="D42">
        <f ca="1">OFFSET([2]Devis!$T$25,$A$3*A42,0)</f>
        <v>0</v>
      </c>
      <c r="E42">
        <f ca="1">OFFSET([2]Devis!$U$25,$A$3*A42,0)</f>
        <v>0</v>
      </c>
      <c r="F42">
        <f ca="1">OFFSET([2]Devis!$T$26,$A$3*A42,0)</f>
        <v>0</v>
      </c>
      <c r="G42">
        <f ca="1">OFFSET([2]Devis!$U$26,$A$3*A42,0)</f>
        <v>0</v>
      </c>
      <c r="H42">
        <f ca="1">OFFSET([2]Devis!$T$27,$A$3*A42,0)</f>
        <v>0</v>
      </c>
      <c r="I42">
        <f ca="1">OFFSET([2]Devis!$U$27,$A$3*A42,0)</f>
        <v>0</v>
      </c>
      <c r="J42" s="246">
        <f t="shared" ca="1" si="0"/>
        <v>0</v>
      </c>
      <c r="K42" s="246">
        <f t="shared" ca="1" si="1"/>
        <v>0</v>
      </c>
      <c r="L42" s="248">
        <f ca="1">OFFSET([2]Devis!$T$29,$A$3*A42,0)</f>
        <v>0</v>
      </c>
      <c r="N42">
        <v>38</v>
      </c>
      <c r="O42">
        <v>114</v>
      </c>
      <c r="P42">
        <v>395</v>
      </c>
      <c r="Q42">
        <v>118</v>
      </c>
      <c r="R42">
        <v>709</v>
      </c>
      <c r="S42">
        <v>79</v>
      </c>
      <c r="T42">
        <v>615</v>
      </c>
      <c r="U42" s="246">
        <v>311</v>
      </c>
      <c r="V42" s="246">
        <v>1719</v>
      </c>
      <c r="W42" s="248">
        <v>54</v>
      </c>
    </row>
    <row r="43" spans="1:23" x14ac:dyDescent="0.25">
      <c r="A43" s="250">
        <v>37</v>
      </c>
      <c r="B43" s="217">
        <v>44075</v>
      </c>
      <c r="C43">
        <v>39</v>
      </c>
      <c r="D43">
        <f ca="1">OFFSET([2]Devis!$T$25,$A$3*A43,0)</f>
        <v>0</v>
      </c>
      <c r="E43">
        <f ca="1">OFFSET([2]Devis!$U$25,$A$3*A43,0)</f>
        <v>0</v>
      </c>
      <c r="F43">
        <f ca="1">OFFSET([2]Devis!$T$26,$A$3*A43,0)</f>
        <v>0</v>
      </c>
      <c r="G43">
        <f ca="1">OFFSET([2]Devis!$U$26,$A$3*A43,0)</f>
        <v>0</v>
      </c>
      <c r="H43">
        <f ca="1">OFFSET([2]Devis!$T$27,$A$3*A43,0)</f>
        <v>0</v>
      </c>
      <c r="I43">
        <f ca="1">OFFSET([2]Devis!$U$27,$A$3*A43,0)</f>
        <v>0</v>
      </c>
      <c r="J43" s="246">
        <f t="shared" ca="1" si="0"/>
        <v>0</v>
      </c>
      <c r="K43" s="246">
        <f t="shared" ca="1" si="1"/>
        <v>0</v>
      </c>
      <c r="L43" s="248">
        <f ca="1">OFFSET([2]Devis!$T$29,$A$3*A43,0)</f>
        <v>0</v>
      </c>
      <c r="N43">
        <v>39</v>
      </c>
      <c r="O43">
        <v>118</v>
      </c>
      <c r="P43">
        <v>735</v>
      </c>
      <c r="Q43">
        <v>129</v>
      </c>
      <c r="R43">
        <v>746</v>
      </c>
      <c r="S43">
        <v>103</v>
      </c>
      <c r="T43">
        <v>330</v>
      </c>
      <c r="U43" s="246">
        <v>350</v>
      </c>
      <c r="V43" s="246">
        <v>1811</v>
      </c>
      <c r="W43" s="248">
        <v>72</v>
      </c>
    </row>
    <row r="44" spans="1:23" x14ac:dyDescent="0.25">
      <c r="A44" s="250">
        <v>38</v>
      </c>
      <c r="B44" s="217">
        <v>44075</v>
      </c>
      <c r="C44" s="218">
        <v>40</v>
      </c>
      <c r="D44" s="218">
        <f ca="1">OFFSET([2]Devis!$T$25,$A$3*A44,0)</f>
        <v>0</v>
      </c>
      <c r="E44" s="218">
        <f ca="1">OFFSET([2]Devis!$U$25,$A$3*A44,0)</f>
        <v>0</v>
      </c>
      <c r="F44" s="218">
        <f ca="1">OFFSET([2]Devis!$T$26,$A$3*A44,0)</f>
        <v>0</v>
      </c>
      <c r="G44" s="218">
        <f ca="1">OFFSET([2]Devis!$U$26,$A$3*A44,0)</f>
        <v>0</v>
      </c>
      <c r="H44" s="218">
        <f ca="1">OFFSET([2]Devis!$T$27,$A$3*A44,0)</f>
        <v>0</v>
      </c>
      <c r="I44" s="218">
        <f ca="1">OFFSET([2]Devis!$U$27,$A$3*A44,0)</f>
        <v>0</v>
      </c>
      <c r="J44" s="252">
        <f t="shared" ca="1" si="0"/>
        <v>0</v>
      </c>
      <c r="K44" s="252">
        <f t="shared" ca="1" si="1"/>
        <v>0</v>
      </c>
      <c r="L44" s="253">
        <f ca="1">OFFSET([2]Devis!$T$29,$A$3*A44,0)</f>
        <v>0</v>
      </c>
      <c r="N44" s="218">
        <v>40</v>
      </c>
      <c r="O44" s="218">
        <v>137</v>
      </c>
      <c r="P44" s="218">
        <v>612</v>
      </c>
      <c r="Q44" s="218">
        <v>127</v>
      </c>
      <c r="R44" s="218">
        <v>1008</v>
      </c>
      <c r="S44" s="218">
        <v>106</v>
      </c>
      <c r="T44" s="218">
        <v>404</v>
      </c>
      <c r="U44" s="252">
        <v>370</v>
      </c>
      <c r="V44" s="252">
        <v>2024</v>
      </c>
      <c r="W44" s="253">
        <v>69</v>
      </c>
    </row>
    <row r="45" spans="1:23" x14ac:dyDescent="0.25">
      <c r="A45" s="250">
        <v>39</v>
      </c>
      <c r="B45" s="217">
        <v>44105</v>
      </c>
      <c r="C45">
        <v>41</v>
      </c>
      <c r="D45">
        <f ca="1">OFFSET([2]Devis!$T$25,$A$3*A45,0)</f>
        <v>0</v>
      </c>
      <c r="E45">
        <f ca="1">OFFSET([2]Devis!$U$25,$A$3*A45,0)</f>
        <v>0</v>
      </c>
      <c r="F45">
        <f ca="1">OFFSET([2]Devis!$T$26,$A$3*A45,0)</f>
        <v>0</v>
      </c>
      <c r="G45">
        <f ca="1">OFFSET([2]Devis!$U$26,$A$3*A45,0)</f>
        <v>0</v>
      </c>
      <c r="H45">
        <f ca="1">OFFSET([2]Devis!$T$27,$A$3*A45,0)</f>
        <v>0</v>
      </c>
      <c r="I45">
        <f ca="1">OFFSET([2]Devis!$U$27,$A$3*A45,0)</f>
        <v>0</v>
      </c>
      <c r="J45" s="246">
        <f t="shared" ca="1" si="0"/>
        <v>0</v>
      </c>
      <c r="K45" s="246">
        <f t="shared" ca="1" si="1"/>
        <v>0</v>
      </c>
      <c r="L45" s="248">
        <f ca="1">OFFSET([2]Devis!$T$29,$A$3*A45,0)</f>
        <v>0</v>
      </c>
      <c r="N45">
        <v>41</v>
      </c>
      <c r="O45">
        <v>115</v>
      </c>
      <c r="P45">
        <v>809</v>
      </c>
      <c r="Q45">
        <v>110</v>
      </c>
      <c r="R45">
        <v>437</v>
      </c>
      <c r="S45">
        <v>106</v>
      </c>
      <c r="T45">
        <v>568</v>
      </c>
      <c r="U45" s="246">
        <v>331</v>
      </c>
      <c r="V45" s="246">
        <v>1814</v>
      </c>
      <c r="W45" s="248">
        <v>19</v>
      </c>
    </row>
    <row r="46" spans="1:23" x14ac:dyDescent="0.25">
      <c r="A46" s="250">
        <v>40</v>
      </c>
      <c r="B46" s="217">
        <v>44105</v>
      </c>
      <c r="C46">
        <v>42</v>
      </c>
      <c r="D46">
        <f ca="1">OFFSET([2]Devis!$T$25,$A$3*A46,0)</f>
        <v>0</v>
      </c>
      <c r="E46">
        <f ca="1">OFFSET([2]Devis!$U$25,$A$3*A46,0)</f>
        <v>0</v>
      </c>
      <c r="F46">
        <f ca="1">OFFSET([2]Devis!$T$26,$A$3*A46,0)</f>
        <v>0</v>
      </c>
      <c r="G46">
        <f ca="1">OFFSET([2]Devis!$U$26,$A$3*A46,0)</f>
        <v>0</v>
      </c>
      <c r="H46">
        <f ca="1">OFFSET([2]Devis!$T$27,$A$3*A46,0)</f>
        <v>0</v>
      </c>
      <c r="I46">
        <f ca="1">OFFSET([2]Devis!$U$27,$A$3*A46,0)</f>
        <v>0</v>
      </c>
      <c r="J46" s="246">
        <f t="shared" ca="1" si="0"/>
        <v>0</v>
      </c>
      <c r="K46" s="246">
        <f t="shared" ca="1" si="1"/>
        <v>0</v>
      </c>
      <c r="L46" s="248">
        <f ca="1">OFFSET([2]Devis!$T$29,$A$3*A46,0)</f>
        <v>0</v>
      </c>
      <c r="N46">
        <v>42</v>
      </c>
      <c r="O46">
        <v>114</v>
      </c>
      <c r="P46">
        <v>434</v>
      </c>
      <c r="Q46">
        <v>114</v>
      </c>
      <c r="R46">
        <v>670</v>
      </c>
      <c r="S46">
        <v>108</v>
      </c>
      <c r="T46">
        <v>366</v>
      </c>
      <c r="U46" s="246">
        <v>336</v>
      </c>
      <c r="V46" s="246">
        <v>1470</v>
      </c>
      <c r="W46" s="248">
        <v>80</v>
      </c>
    </row>
    <row r="47" spans="1:23" x14ac:dyDescent="0.25">
      <c r="A47" s="250">
        <v>41</v>
      </c>
      <c r="B47" s="217">
        <v>44105</v>
      </c>
      <c r="C47">
        <v>43</v>
      </c>
      <c r="D47">
        <f ca="1">OFFSET([2]Devis!$T$25,$A$3*A47,0)</f>
        <v>0</v>
      </c>
      <c r="E47">
        <f ca="1">OFFSET([2]Devis!$U$25,$A$3*A47,0)</f>
        <v>0</v>
      </c>
      <c r="F47">
        <f ca="1">OFFSET([2]Devis!$T$26,$A$3*A47,0)</f>
        <v>0</v>
      </c>
      <c r="G47">
        <f ca="1">OFFSET([2]Devis!$U$26,$A$3*A47,0)</f>
        <v>0</v>
      </c>
      <c r="H47">
        <f ca="1">OFFSET([2]Devis!$T$27,$A$3*A47,0)</f>
        <v>0</v>
      </c>
      <c r="I47">
        <f ca="1">OFFSET([2]Devis!$U$27,$A$3*A47,0)</f>
        <v>0</v>
      </c>
      <c r="J47" s="246">
        <f t="shared" ca="1" si="0"/>
        <v>0</v>
      </c>
      <c r="K47" s="246">
        <f t="shared" ca="1" si="1"/>
        <v>0</v>
      </c>
      <c r="L47" s="248">
        <f ca="1">OFFSET([2]Devis!$T$29,$A$3*A47,0)</f>
        <v>0</v>
      </c>
      <c r="N47">
        <v>43</v>
      </c>
      <c r="O47">
        <v>110</v>
      </c>
      <c r="P47">
        <v>609</v>
      </c>
      <c r="Q47">
        <v>106</v>
      </c>
      <c r="R47">
        <v>657</v>
      </c>
      <c r="S47">
        <v>92</v>
      </c>
      <c r="T47">
        <v>460</v>
      </c>
      <c r="U47" s="246">
        <v>308</v>
      </c>
      <c r="V47" s="246">
        <v>1726</v>
      </c>
      <c r="W47" s="248">
        <v>101</v>
      </c>
    </row>
    <row r="48" spans="1:23" x14ac:dyDescent="0.25">
      <c r="A48" s="250">
        <v>42</v>
      </c>
      <c r="B48" s="217">
        <v>44105</v>
      </c>
      <c r="C48" s="218">
        <v>44</v>
      </c>
      <c r="D48" s="218">
        <f ca="1">OFFSET([2]Devis!$T$25,$A$3*A48,0)</f>
        <v>0</v>
      </c>
      <c r="E48" s="218">
        <f ca="1">OFFSET([2]Devis!$U$25,$A$3*A48,0)</f>
        <v>0</v>
      </c>
      <c r="F48" s="218">
        <f ca="1">OFFSET([2]Devis!$T$26,$A$3*A48,0)</f>
        <v>0</v>
      </c>
      <c r="G48" s="218">
        <f ca="1">OFFSET([2]Devis!$U$26,$A$3*A48,0)</f>
        <v>0</v>
      </c>
      <c r="H48" s="218">
        <f ca="1">OFFSET([2]Devis!$T$27,$A$3*A48,0)</f>
        <v>0</v>
      </c>
      <c r="I48" s="218">
        <f ca="1">OFFSET([2]Devis!$U$27,$A$3*A48,0)</f>
        <v>0</v>
      </c>
      <c r="J48" s="252">
        <f t="shared" ca="1" si="0"/>
        <v>0</v>
      </c>
      <c r="K48" s="252">
        <f t="shared" ca="1" si="1"/>
        <v>0</v>
      </c>
      <c r="L48" s="253">
        <f ca="1">OFFSET([2]Devis!$T$29,$A$3*A48,0)</f>
        <v>0</v>
      </c>
      <c r="N48" s="218">
        <v>44</v>
      </c>
      <c r="O48" s="218">
        <v>78</v>
      </c>
      <c r="P48" s="218">
        <v>948</v>
      </c>
      <c r="Q48" s="218">
        <v>89</v>
      </c>
      <c r="R48" s="218">
        <v>522</v>
      </c>
      <c r="S48" s="218">
        <v>70</v>
      </c>
      <c r="T48" s="218">
        <v>362</v>
      </c>
      <c r="U48" s="252">
        <v>237</v>
      </c>
      <c r="V48" s="252">
        <v>1832</v>
      </c>
      <c r="W48" s="253">
        <v>0</v>
      </c>
    </row>
    <row r="49" spans="1:23" x14ac:dyDescent="0.25">
      <c r="A49" s="250">
        <v>43</v>
      </c>
      <c r="B49" s="217">
        <v>44136</v>
      </c>
      <c r="C49">
        <v>45</v>
      </c>
      <c r="D49">
        <f ca="1">OFFSET([2]Devis!$T$25,$A$3*A49,0)</f>
        <v>0</v>
      </c>
      <c r="E49">
        <f ca="1">OFFSET([2]Devis!$U$25,$A$3*A49,0)</f>
        <v>0</v>
      </c>
      <c r="F49">
        <f ca="1">OFFSET([2]Devis!$T$26,$A$3*A49,0)</f>
        <v>0</v>
      </c>
      <c r="G49">
        <f ca="1">OFFSET([2]Devis!$U$26,$A$3*A49,0)</f>
        <v>0</v>
      </c>
      <c r="H49">
        <f ca="1">OFFSET([2]Devis!$T$27,$A$3*A49,0)</f>
        <v>0</v>
      </c>
      <c r="I49">
        <f ca="1">OFFSET([2]Devis!$U$27,$A$3*A49,0)</f>
        <v>0</v>
      </c>
      <c r="J49" s="246">
        <f t="shared" ca="1" si="0"/>
        <v>0</v>
      </c>
      <c r="K49" s="246">
        <f t="shared" ca="1" si="1"/>
        <v>0</v>
      </c>
      <c r="L49" s="248">
        <f ca="1">OFFSET([2]Devis!$T$29,$A$3*A49,0)</f>
        <v>0</v>
      </c>
      <c r="N49">
        <v>45</v>
      </c>
      <c r="O49">
        <v>112</v>
      </c>
      <c r="P49">
        <v>454</v>
      </c>
      <c r="Q49">
        <v>124</v>
      </c>
      <c r="R49">
        <v>893</v>
      </c>
      <c r="S49">
        <v>108</v>
      </c>
      <c r="T49">
        <v>386</v>
      </c>
      <c r="U49" s="246">
        <v>344</v>
      </c>
      <c r="V49" s="246">
        <v>1733</v>
      </c>
      <c r="W49" s="248">
        <v>113</v>
      </c>
    </row>
    <row r="50" spans="1:23" x14ac:dyDescent="0.25">
      <c r="A50" s="250">
        <v>44</v>
      </c>
      <c r="B50" s="217">
        <v>44136</v>
      </c>
      <c r="C50">
        <v>46</v>
      </c>
      <c r="D50">
        <f ca="1">OFFSET([2]Devis!$T$25,$A$3*A50,0)</f>
        <v>0</v>
      </c>
      <c r="E50">
        <f ca="1">OFFSET([2]Devis!$U$25,$A$3*A50,0)</f>
        <v>0</v>
      </c>
      <c r="F50">
        <f ca="1">OFFSET([2]Devis!$T$26,$A$3*A50,0)</f>
        <v>0</v>
      </c>
      <c r="G50">
        <f ca="1">OFFSET([2]Devis!$U$26,$A$3*A50,0)</f>
        <v>0</v>
      </c>
      <c r="H50">
        <f ca="1">OFFSET([2]Devis!$T$27,$A$3*A50,0)</f>
        <v>0</v>
      </c>
      <c r="I50">
        <f ca="1">OFFSET([2]Devis!$U$27,$A$3*A50,0)</f>
        <v>0</v>
      </c>
      <c r="J50" s="246">
        <f t="shared" ca="1" si="0"/>
        <v>0</v>
      </c>
      <c r="K50" s="246">
        <f t="shared" ca="1" si="1"/>
        <v>0</v>
      </c>
      <c r="L50" s="248">
        <f ca="1">OFFSET([2]Devis!$T$29,$A$3*A50,0)</f>
        <v>0</v>
      </c>
      <c r="N50">
        <v>46</v>
      </c>
      <c r="O50">
        <v>89</v>
      </c>
      <c r="P50">
        <v>530</v>
      </c>
      <c r="Q50">
        <v>77</v>
      </c>
      <c r="R50">
        <v>418</v>
      </c>
      <c r="S50">
        <v>65</v>
      </c>
      <c r="T50">
        <v>298</v>
      </c>
      <c r="U50" s="246">
        <v>231</v>
      </c>
      <c r="V50" s="246">
        <v>1246</v>
      </c>
      <c r="W50" s="248">
        <v>104</v>
      </c>
    </row>
    <row r="51" spans="1:23" x14ac:dyDescent="0.25">
      <c r="A51" s="250">
        <v>45</v>
      </c>
      <c r="B51" s="217">
        <v>44136</v>
      </c>
      <c r="C51">
        <v>47</v>
      </c>
      <c r="D51">
        <f ca="1">OFFSET([2]Devis!$T$25,$A$3*A51,0)</f>
        <v>0</v>
      </c>
      <c r="E51">
        <f ca="1">OFFSET([2]Devis!$U$25,$A$3*A51,0)</f>
        <v>0</v>
      </c>
      <c r="F51">
        <f ca="1">OFFSET([2]Devis!$T$26,$A$3*A51,0)</f>
        <v>0</v>
      </c>
      <c r="G51">
        <f ca="1">OFFSET([2]Devis!$U$26,$A$3*A51,0)</f>
        <v>0</v>
      </c>
      <c r="H51">
        <f ca="1">OFFSET([2]Devis!$T$27,$A$3*A51,0)</f>
        <v>0</v>
      </c>
      <c r="I51">
        <f ca="1">OFFSET([2]Devis!$U$27,$A$3*A51,0)</f>
        <v>0</v>
      </c>
      <c r="J51" s="246">
        <f t="shared" ca="1" si="0"/>
        <v>0</v>
      </c>
      <c r="K51" s="246">
        <f t="shared" ca="1" si="1"/>
        <v>0</v>
      </c>
      <c r="L51" s="248">
        <f ca="1">OFFSET([2]Devis!$T$29,$A$3*A51,0)</f>
        <v>0</v>
      </c>
      <c r="N51">
        <v>47</v>
      </c>
      <c r="O51">
        <v>118</v>
      </c>
      <c r="P51">
        <v>617</v>
      </c>
      <c r="Q51">
        <v>114</v>
      </c>
      <c r="R51">
        <v>914</v>
      </c>
      <c r="S51">
        <v>80</v>
      </c>
      <c r="T51">
        <v>378</v>
      </c>
      <c r="U51" s="246">
        <v>312</v>
      </c>
      <c r="V51" s="246">
        <v>1909</v>
      </c>
      <c r="W51" s="248">
        <v>85</v>
      </c>
    </row>
    <row r="52" spans="1:23" x14ac:dyDescent="0.25">
      <c r="A52" s="250">
        <v>46</v>
      </c>
      <c r="B52" s="217">
        <v>44136</v>
      </c>
      <c r="C52" s="218">
        <v>48</v>
      </c>
      <c r="D52" s="218">
        <f ca="1">OFFSET([2]Devis!$T$25,$A$3*A52,0)</f>
        <v>0</v>
      </c>
      <c r="E52" s="218">
        <f ca="1">OFFSET([2]Devis!$U$25,$A$3*A52,0)</f>
        <v>0</v>
      </c>
      <c r="F52" s="218">
        <f ca="1">OFFSET([2]Devis!$T$26,$A$3*A52,0)</f>
        <v>0</v>
      </c>
      <c r="G52" s="218">
        <f ca="1">OFFSET([2]Devis!$U$26,$A$3*A52,0)</f>
        <v>0</v>
      </c>
      <c r="H52" s="218">
        <f ca="1">OFFSET([2]Devis!$T$27,$A$3*A52,0)</f>
        <v>0</v>
      </c>
      <c r="I52" s="218">
        <f ca="1">OFFSET([2]Devis!$U$27,$A$3*A52,0)</f>
        <v>0</v>
      </c>
      <c r="J52" s="252">
        <f t="shared" ca="1" si="0"/>
        <v>0</v>
      </c>
      <c r="K52" s="252">
        <f t="shared" ca="1" si="1"/>
        <v>0</v>
      </c>
      <c r="L52" s="253">
        <f ca="1">OFFSET([2]Devis!$T$29,$A$3*A52,0)</f>
        <v>0</v>
      </c>
      <c r="N52" s="218">
        <v>48</v>
      </c>
      <c r="O52" s="218">
        <v>97</v>
      </c>
      <c r="P52" s="218">
        <v>264</v>
      </c>
      <c r="Q52" s="218">
        <v>110</v>
      </c>
      <c r="R52" s="218">
        <v>641</v>
      </c>
      <c r="S52" s="218">
        <v>94</v>
      </c>
      <c r="T52" s="218">
        <v>1371</v>
      </c>
      <c r="U52" s="252">
        <v>301</v>
      </c>
      <c r="V52" s="252">
        <v>2276</v>
      </c>
      <c r="W52" s="253">
        <v>45</v>
      </c>
    </row>
    <row r="53" spans="1:23" x14ac:dyDescent="0.25">
      <c r="A53" s="250">
        <v>47</v>
      </c>
      <c r="B53" s="217">
        <v>44166</v>
      </c>
      <c r="C53">
        <v>49</v>
      </c>
      <c r="D53">
        <f ca="1">OFFSET([2]Devis!$T$25,$A$3*A53,0)</f>
        <v>0</v>
      </c>
      <c r="E53">
        <f ca="1">OFFSET([2]Devis!$U$25,$A$3*A53,0)</f>
        <v>0</v>
      </c>
      <c r="F53">
        <f ca="1">OFFSET([2]Devis!$T$26,$A$3*A53,0)</f>
        <v>0</v>
      </c>
      <c r="G53">
        <f ca="1">OFFSET([2]Devis!$U$26,$A$3*A53,0)</f>
        <v>0</v>
      </c>
      <c r="H53">
        <f ca="1">OFFSET([2]Devis!$T$27,$A$3*A53,0)</f>
        <v>0</v>
      </c>
      <c r="I53">
        <f ca="1">OFFSET([2]Devis!$U$27,$A$3*A53,0)</f>
        <v>0</v>
      </c>
      <c r="J53" s="246">
        <f t="shared" ca="1" si="0"/>
        <v>0</v>
      </c>
      <c r="K53" s="246">
        <f t="shared" ca="1" si="1"/>
        <v>0</v>
      </c>
      <c r="L53" s="248">
        <f ca="1">OFFSET([2]Devis!$T$29,$A$3*A53,0)</f>
        <v>0</v>
      </c>
      <c r="N53">
        <v>49</v>
      </c>
      <c r="O53">
        <v>96</v>
      </c>
      <c r="P53">
        <v>556</v>
      </c>
      <c r="Q53">
        <v>98</v>
      </c>
      <c r="R53">
        <v>624</v>
      </c>
      <c r="S53">
        <v>92</v>
      </c>
      <c r="T53">
        <v>523</v>
      </c>
      <c r="U53" s="246">
        <v>286</v>
      </c>
      <c r="V53" s="246">
        <v>1703</v>
      </c>
      <c r="W53" s="248">
        <v>18</v>
      </c>
    </row>
    <row r="54" spans="1:23" x14ac:dyDescent="0.25">
      <c r="A54" s="250">
        <v>48</v>
      </c>
      <c r="B54" s="217">
        <v>44166</v>
      </c>
      <c r="C54">
        <v>50</v>
      </c>
      <c r="D54">
        <f ca="1">OFFSET([2]Devis!$T$25,$A$3*A54,0)</f>
        <v>0</v>
      </c>
      <c r="E54">
        <f ca="1">OFFSET([2]Devis!$U$25,$A$3*A54,0)</f>
        <v>0</v>
      </c>
      <c r="F54">
        <f ca="1">OFFSET([2]Devis!$T$26,$A$3*A54,0)</f>
        <v>0</v>
      </c>
      <c r="G54">
        <f ca="1">OFFSET([2]Devis!$U$26,$A$3*A54,0)</f>
        <v>0</v>
      </c>
      <c r="H54">
        <f ca="1">OFFSET([2]Devis!$T$27,$A$3*A54,0)</f>
        <v>0</v>
      </c>
      <c r="I54">
        <f ca="1">OFFSET([2]Devis!$U$27,$A$3*A54,0)</f>
        <v>0</v>
      </c>
      <c r="J54" s="246">
        <f t="shared" ca="1" si="0"/>
        <v>0</v>
      </c>
      <c r="K54" s="246">
        <f t="shared" ca="1" si="1"/>
        <v>0</v>
      </c>
      <c r="L54" s="248">
        <f ca="1">OFFSET([2]Devis!$T$29,$A$3*A54,0)</f>
        <v>0</v>
      </c>
      <c r="N54">
        <v>50</v>
      </c>
      <c r="O54">
        <v>98</v>
      </c>
      <c r="P54">
        <v>469</v>
      </c>
      <c r="Q54">
        <v>104</v>
      </c>
      <c r="R54">
        <v>453</v>
      </c>
      <c r="S54">
        <v>94</v>
      </c>
      <c r="T54">
        <v>387</v>
      </c>
      <c r="U54" s="246">
        <v>296</v>
      </c>
      <c r="V54" s="246">
        <v>1309</v>
      </c>
      <c r="W54" s="248">
        <v>20</v>
      </c>
    </row>
    <row r="55" spans="1:23" x14ac:dyDescent="0.25">
      <c r="A55" s="250">
        <v>49</v>
      </c>
      <c r="B55" s="217">
        <v>44166</v>
      </c>
      <c r="C55">
        <v>51</v>
      </c>
      <c r="D55">
        <f ca="1">OFFSET([2]Devis!$T$25,$A$3*A55,0)</f>
        <v>0</v>
      </c>
      <c r="E55">
        <f ca="1">OFFSET([2]Devis!$U$25,$A$3*A55,0)</f>
        <v>0</v>
      </c>
      <c r="F55">
        <f ca="1">OFFSET([2]Devis!$T$26,$A$3*A55,0)</f>
        <v>0</v>
      </c>
      <c r="G55">
        <f ca="1">OFFSET([2]Devis!$U$26,$A$3*A55,0)</f>
        <v>0</v>
      </c>
      <c r="H55">
        <f ca="1">OFFSET([2]Devis!$T$27,$A$3*A55,0)</f>
        <v>0</v>
      </c>
      <c r="I55">
        <f ca="1">OFFSET([2]Devis!$U$27,$A$3*A55,0)</f>
        <v>0</v>
      </c>
      <c r="J55" s="246">
        <f t="shared" ca="1" si="0"/>
        <v>0</v>
      </c>
      <c r="K55" s="246">
        <f t="shared" ca="1" si="1"/>
        <v>0</v>
      </c>
      <c r="L55" s="248">
        <f ca="1">OFFSET([2]Devis!$T$29,$A$3*A55,0)</f>
        <v>0</v>
      </c>
      <c r="N55">
        <v>51</v>
      </c>
      <c r="O55">
        <v>43</v>
      </c>
      <c r="P55">
        <v>161</v>
      </c>
      <c r="Q55">
        <v>40</v>
      </c>
      <c r="R55">
        <v>300</v>
      </c>
      <c r="S55">
        <v>35</v>
      </c>
      <c r="T55">
        <v>179</v>
      </c>
      <c r="U55" s="246">
        <v>118</v>
      </c>
      <c r="V55" s="246">
        <v>640</v>
      </c>
      <c r="W55" s="248">
        <v>0</v>
      </c>
    </row>
    <row r="56" spans="1:23" x14ac:dyDescent="0.25">
      <c r="A56" s="250">
        <v>50</v>
      </c>
      <c r="B56" s="217">
        <v>44166</v>
      </c>
      <c r="C56">
        <v>52</v>
      </c>
      <c r="D56">
        <f ca="1">OFFSET([2]Devis!$T$25,$A$3*A56,0)</f>
        <v>0</v>
      </c>
      <c r="E56">
        <f ca="1">OFFSET([2]Devis!$U$25,$A$3*A56,0)</f>
        <v>0</v>
      </c>
      <c r="F56">
        <f ca="1">OFFSET([2]Devis!$T$26,$A$3*A56,0)</f>
        <v>0</v>
      </c>
      <c r="G56">
        <f ca="1">OFFSET([2]Devis!$U$26,$A$3*A56,0)</f>
        <v>0</v>
      </c>
      <c r="H56">
        <f ca="1">OFFSET([2]Devis!$T$27,$A$3*A56,0)</f>
        <v>0</v>
      </c>
      <c r="I56">
        <f ca="1">OFFSET([2]Devis!$U$27,$A$3*A56,0)</f>
        <v>0</v>
      </c>
      <c r="J56" s="246">
        <f t="shared" ca="1" si="0"/>
        <v>0</v>
      </c>
      <c r="K56" s="246">
        <f t="shared" ca="1" si="1"/>
        <v>0</v>
      </c>
      <c r="L56" s="248">
        <f ca="1">OFFSET([2]Devis!$T$29,$A$3*A56,0)</f>
        <v>0</v>
      </c>
      <c r="N56">
        <v>52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 s="246">
        <v>0</v>
      </c>
      <c r="V56" s="246">
        <v>0</v>
      </c>
      <c r="W56" s="248">
        <v>0</v>
      </c>
    </row>
    <row r="57" spans="1:23" x14ac:dyDescent="0.25">
      <c r="A57" s="250">
        <v>51</v>
      </c>
      <c r="B57" s="217">
        <v>44166</v>
      </c>
      <c r="C57">
        <v>53</v>
      </c>
      <c r="J57" s="246"/>
      <c r="K57" s="246"/>
      <c r="L57" s="248"/>
      <c r="U57" s="246"/>
      <c r="V57" s="246"/>
      <c r="W57" s="248"/>
    </row>
    <row r="58" spans="1:23" ht="15.75" thickBot="1" x14ac:dyDescent="0.3">
      <c r="A58" s="219"/>
      <c r="B58" s="219"/>
      <c r="C58" s="219"/>
      <c r="D58" s="260">
        <f ca="1">SUM(D6:D57)</f>
        <v>884</v>
      </c>
      <c r="E58" s="260">
        <f ca="1">SUM(E6:E57)</f>
        <v>5005</v>
      </c>
      <c r="F58" s="261">
        <f t="shared" ref="F58:K58" ca="1" si="2">SUM(F5:F57)</f>
        <v>867</v>
      </c>
      <c r="G58" s="261">
        <f t="shared" ca="1" si="2"/>
        <v>5552</v>
      </c>
      <c r="H58" s="262">
        <f t="shared" ca="1" si="2"/>
        <v>784</v>
      </c>
      <c r="I58" s="262">
        <f t="shared" ca="1" si="2"/>
        <v>3757</v>
      </c>
      <c r="J58" s="259">
        <f t="shared" ca="1" si="2"/>
        <v>2535</v>
      </c>
      <c r="K58" s="243">
        <f t="shared" ca="1" si="2"/>
        <v>14314</v>
      </c>
      <c r="L58" s="249"/>
      <c r="N58" s="219"/>
      <c r="O58" s="260">
        <v>4564</v>
      </c>
      <c r="P58" s="260">
        <v>27314</v>
      </c>
      <c r="Q58" s="261">
        <v>4743</v>
      </c>
      <c r="R58" s="261">
        <v>30296</v>
      </c>
      <c r="S58" s="262">
        <v>4291</v>
      </c>
      <c r="T58" s="262">
        <v>21079</v>
      </c>
      <c r="U58" s="259">
        <v>13598</v>
      </c>
      <c r="V58" s="243">
        <v>78689</v>
      </c>
      <c r="W58" s="249"/>
    </row>
    <row r="59" spans="1:23" x14ac:dyDescent="0.25">
      <c r="D59" s="256">
        <f ca="1">AVERAGEIF(D6:D57,"&lt;&gt;0")</f>
        <v>110.5</v>
      </c>
      <c r="E59" s="256">
        <f t="shared" ref="E59:K59" ca="1" si="3">AVERAGEIF(E6:E57,"&lt;&gt;0")</f>
        <v>625.625</v>
      </c>
      <c r="F59" s="257">
        <f t="shared" ca="1" si="3"/>
        <v>108.375</v>
      </c>
      <c r="G59" s="257">
        <f t="shared" ca="1" si="3"/>
        <v>694</v>
      </c>
      <c r="H59" s="258">
        <f t="shared" ca="1" si="3"/>
        <v>98</v>
      </c>
      <c r="I59" s="258">
        <f t="shared" ca="1" si="3"/>
        <v>469.625</v>
      </c>
      <c r="J59" s="239">
        <f t="shared" ca="1" si="3"/>
        <v>316.875</v>
      </c>
      <c r="K59" s="239">
        <f t="shared" ca="1" si="3"/>
        <v>1789.25</v>
      </c>
      <c r="L59" s="255">
        <f ca="1">AVERAGEIF(L6:L57,"&lt;&gt;0")</f>
        <v>46.375</v>
      </c>
      <c r="O59" s="256">
        <v>87.769230769230774</v>
      </c>
      <c r="P59" s="256">
        <v>525.26923076923072</v>
      </c>
      <c r="Q59" s="257">
        <v>91.211538461538467</v>
      </c>
      <c r="R59" s="257">
        <v>582.61538461538464</v>
      </c>
      <c r="S59" s="258">
        <v>82.519230769230774</v>
      </c>
      <c r="T59" s="258">
        <v>405.36538461538464</v>
      </c>
      <c r="U59" s="239">
        <v>261.5</v>
      </c>
      <c r="V59" s="239">
        <v>1513.25</v>
      </c>
      <c r="W59" s="255">
        <v>44.153846153846153</v>
      </c>
    </row>
    <row r="64" spans="1:23" x14ac:dyDescent="0.25">
      <c r="C64" t="s">
        <v>94</v>
      </c>
      <c r="D64" s="185" t="s">
        <v>85</v>
      </c>
      <c r="E64" s="225" t="s">
        <v>88</v>
      </c>
      <c r="F64" s="185" t="s">
        <v>86</v>
      </c>
      <c r="G64" s="225" t="s">
        <v>89</v>
      </c>
      <c r="H64" s="185" t="s">
        <v>87</v>
      </c>
      <c r="I64" s="226" t="s">
        <v>90</v>
      </c>
      <c r="J64" s="220" t="s">
        <v>75</v>
      </c>
      <c r="K64" s="220" t="s">
        <v>48</v>
      </c>
      <c r="N64" t="s">
        <v>94</v>
      </c>
      <c r="O64" s="251" t="s">
        <v>85</v>
      </c>
      <c r="P64" s="225" t="s">
        <v>88</v>
      </c>
      <c r="Q64" s="251" t="s">
        <v>86</v>
      </c>
      <c r="R64" s="225" t="s">
        <v>89</v>
      </c>
      <c r="S64" s="251" t="s">
        <v>87</v>
      </c>
      <c r="T64" s="226" t="s">
        <v>90</v>
      </c>
      <c r="U64" s="220" t="s">
        <v>75</v>
      </c>
      <c r="V64" s="220" t="s">
        <v>48</v>
      </c>
    </row>
    <row r="65" spans="3:22" x14ac:dyDescent="0.25">
      <c r="C65" s="217">
        <v>43831</v>
      </c>
      <c r="D65">
        <f ca="1">SUMIF($B$5:$L$56,C65,$D$5:$D$56)</f>
        <v>440</v>
      </c>
      <c r="E65" s="223">
        <f ca="1">SUMIF($B$5:$L$56,C65,$E$5:$E$56)</f>
        <v>2530</v>
      </c>
      <c r="F65">
        <f ca="1">SUMIF($B$5:$L$56,C65,$F$5:$F$56)</f>
        <v>449</v>
      </c>
      <c r="G65" s="223">
        <f ca="1">SUMIF($B$5:$L$56,C65,$G$5:$G$56)</f>
        <v>2560</v>
      </c>
      <c r="H65">
        <f t="shared" ref="H65:H66" ca="1" si="4">SUMIF($B$5:$L$56,C65,$H$5:$H$56)</f>
        <v>413</v>
      </c>
      <c r="I65" s="227">
        <f ca="1">SUMIF($B$5:$L$56,C65,$I$5:$I$56)</f>
        <v>1915</v>
      </c>
      <c r="J65" s="344">
        <f ca="1">SUM(D65,F65,H65)</f>
        <v>1302</v>
      </c>
      <c r="K65" s="344">
        <f ca="1">SUM(E65,G65,I65)</f>
        <v>7005</v>
      </c>
      <c r="N65" s="217">
        <v>43466</v>
      </c>
      <c r="O65">
        <v>475</v>
      </c>
      <c r="P65" s="223">
        <v>2506</v>
      </c>
      <c r="Q65">
        <v>446</v>
      </c>
      <c r="R65" s="223">
        <v>3338</v>
      </c>
      <c r="S65">
        <v>431</v>
      </c>
      <c r="T65" s="227">
        <v>1972</v>
      </c>
      <c r="U65" s="344">
        <v>1352</v>
      </c>
      <c r="V65" s="344">
        <v>7816</v>
      </c>
    </row>
    <row r="66" spans="3:22" x14ac:dyDescent="0.25">
      <c r="C66" s="217">
        <v>43862</v>
      </c>
      <c r="D66">
        <f ca="1">SUMIF($B$5:$L$56,C66,$D$5:$D$56)</f>
        <v>444</v>
      </c>
      <c r="E66" s="223">
        <f ca="1">SUMIF($B$5:$L$56,C66,$E$5:$E$56)</f>
        <v>2475</v>
      </c>
      <c r="F66">
        <f t="shared" ref="F66" ca="1" si="5">SUMIF($B$5:$L$56,C66,$F$5:$F$56)</f>
        <v>418</v>
      </c>
      <c r="G66" s="223">
        <f t="shared" ref="G66" ca="1" si="6">SUMIF($B$5:$L$56,C66,$G$5:$G$56)</f>
        <v>2992</v>
      </c>
      <c r="H66">
        <f t="shared" ca="1" si="4"/>
        <v>371</v>
      </c>
      <c r="I66" s="227">
        <f t="shared" ref="I66" ca="1" si="7">SUMIF($B$5:$L$56,C66,$I$5:$I$56)</f>
        <v>1842</v>
      </c>
      <c r="J66" s="344">
        <f t="shared" ref="J66" ca="1" si="8">SUM(D66,F66,H66)</f>
        <v>1233</v>
      </c>
      <c r="K66" s="344">
        <f t="shared" ref="K66" ca="1" si="9">SUM(E66,G66,I66)</f>
        <v>7309</v>
      </c>
      <c r="N66" s="217">
        <v>43497</v>
      </c>
      <c r="O66">
        <v>425</v>
      </c>
      <c r="P66" s="223">
        <v>2599</v>
      </c>
      <c r="Q66">
        <v>372</v>
      </c>
      <c r="R66" s="223">
        <v>2515</v>
      </c>
      <c r="S66">
        <v>427</v>
      </c>
      <c r="T66" s="227">
        <v>2179</v>
      </c>
      <c r="U66" s="344">
        <v>1224</v>
      </c>
      <c r="V66" s="344">
        <v>7293</v>
      </c>
    </row>
    <row r="67" spans="3:22" x14ac:dyDescent="0.25">
      <c r="C67" s="217">
        <v>43891</v>
      </c>
      <c r="D67">
        <f t="shared" ref="D67:D76" ca="1" si="10">SUMIF($B$5:$L$56,C67,$D$5:$D$56)</f>
        <v>0</v>
      </c>
      <c r="E67" s="223">
        <f t="shared" ref="E67:E76" ca="1" si="11">SUMIF($B$5:$L$56,C67,$E$5:$E$56)</f>
        <v>0</v>
      </c>
      <c r="F67">
        <f t="shared" ref="F67:F76" ca="1" si="12">SUMIF($B$5:$L$56,C67,$F$5:$F$56)</f>
        <v>0</v>
      </c>
      <c r="G67" s="223">
        <f t="shared" ref="G67:G76" ca="1" si="13">SUMIF($B$5:$L$56,C67,$G$5:$G$56)</f>
        <v>0</v>
      </c>
      <c r="H67">
        <f t="shared" ref="H67:H76" ca="1" si="14">SUMIF($B$5:$L$56,C67,$H$5:$H$56)</f>
        <v>0</v>
      </c>
      <c r="I67" s="227">
        <f t="shared" ref="I67:I76" ca="1" si="15">SUMIF($B$5:$L$56,C67,$I$5:$I$56)</f>
        <v>0</v>
      </c>
      <c r="J67" s="344">
        <f t="shared" ref="J67:J76" ca="1" si="16">SUM(D67,F67,H67)</f>
        <v>0</v>
      </c>
      <c r="K67" s="344">
        <f t="shared" ref="K67:K76" ca="1" si="17">SUM(E67,G67,I67)</f>
        <v>0</v>
      </c>
      <c r="N67" s="217">
        <v>43525</v>
      </c>
      <c r="O67">
        <v>404</v>
      </c>
      <c r="P67" s="223">
        <v>1993</v>
      </c>
      <c r="Q67">
        <v>358</v>
      </c>
      <c r="R67" s="223">
        <v>1903</v>
      </c>
      <c r="S67">
        <v>425</v>
      </c>
      <c r="T67" s="227">
        <v>1798</v>
      </c>
      <c r="U67" s="344">
        <v>1187</v>
      </c>
      <c r="V67" s="344">
        <v>5694</v>
      </c>
    </row>
    <row r="68" spans="3:22" x14ac:dyDescent="0.25">
      <c r="C68" s="217">
        <v>43922</v>
      </c>
      <c r="D68">
        <f t="shared" ca="1" si="10"/>
        <v>0</v>
      </c>
      <c r="E68" s="223">
        <f t="shared" ca="1" si="11"/>
        <v>0</v>
      </c>
      <c r="F68">
        <f t="shared" ca="1" si="12"/>
        <v>0</v>
      </c>
      <c r="G68" s="223">
        <f t="shared" ca="1" si="13"/>
        <v>0</v>
      </c>
      <c r="H68">
        <f t="shared" ca="1" si="14"/>
        <v>0</v>
      </c>
      <c r="I68" s="227">
        <f t="shared" ca="1" si="15"/>
        <v>0</v>
      </c>
      <c r="J68" s="344">
        <f t="shared" ca="1" si="16"/>
        <v>0</v>
      </c>
      <c r="K68" s="344">
        <f t="shared" ca="1" si="17"/>
        <v>0</v>
      </c>
      <c r="N68" s="217">
        <v>43556</v>
      </c>
      <c r="O68">
        <v>434</v>
      </c>
      <c r="P68" s="223">
        <v>2845</v>
      </c>
      <c r="Q68">
        <v>446</v>
      </c>
      <c r="R68" s="223">
        <v>2968</v>
      </c>
      <c r="S68">
        <v>471</v>
      </c>
      <c r="T68" s="227">
        <v>2287</v>
      </c>
      <c r="U68" s="344">
        <v>1351</v>
      </c>
      <c r="V68" s="344">
        <v>8100</v>
      </c>
    </row>
    <row r="69" spans="3:22" x14ac:dyDescent="0.25">
      <c r="C69" s="217">
        <v>43952</v>
      </c>
      <c r="D69">
        <f t="shared" ca="1" si="10"/>
        <v>0</v>
      </c>
      <c r="E69" s="223">
        <f t="shared" ca="1" si="11"/>
        <v>0</v>
      </c>
      <c r="F69">
        <f t="shared" ca="1" si="12"/>
        <v>0</v>
      </c>
      <c r="G69" s="223">
        <f t="shared" ca="1" si="13"/>
        <v>0</v>
      </c>
      <c r="H69">
        <f t="shared" ca="1" si="14"/>
        <v>0</v>
      </c>
      <c r="I69" s="227">
        <f t="shared" ca="1" si="15"/>
        <v>0</v>
      </c>
      <c r="J69" s="344">
        <f t="shared" ca="1" si="16"/>
        <v>0</v>
      </c>
      <c r="K69" s="344">
        <f t="shared" ca="1" si="17"/>
        <v>0</v>
      </c>
      <c r="N69" s="217">
        <v>43586</v>
      </c>
      <c r="O69">
        <v>353</v>
      </c>
      <c r="P69" s="223">
        <v>2072</v>
      </c>
      <c r="Q69">
        <v>400</v>
      </c>
      <c r="R69" s="223">
        <v>2728</v>
      </c>
      <c r="S69">
        <v>303</v>
      </c>
      <c r="T69" s="227">
        <v>1471</v>
      </c>
      <c r="U69" s="344">
        <v>1056</v>
      </c>
      <c r="V69" s="344">
        <v>6271</v>
      </c>
    </row>
    <row r="70" spans="3:22" x14ac:dyDescent="0.25">
      <c r="C70" s="217">
        <v>43983</v>
      </c>
      <c r="D70">
        <f t="shared" ca="1" si="10"/>
        <v>0</v>
      </c>
      <c r="E70" s="223">
        <f t="shared" ca="1" si="11"/>
        <v>0</v>
      </c>
      <c r="F70">
        <f t="shared" ca="1" si="12"/>
        <v>0</v>
      </c>
      <c r="G70" s="223">
        <f t="shared" ca="1" si="13"/>
        <v>0</v>
      </c>
      <c r="H70">
        <f t="shared" ca="1" si="14"/>
        <v>0</v>
      </c>
      <c r="I70" s="227">
        <f t="shared" ca="1" si="15"/>
        <v>0</v>
      </c>
      <c r="J70" s="344">
        <f t="shared" ca="1" si="16"/>
        <v>0</v>
      </c>
      <c r="K70" s="344">
        <f t="shared" ca="1" si="17"/>
        <v>0</v>
      </c>
      <c r="N70" s="217">
        <v>43617</v>
      </c>
      <c r="O70">
        <v>333</v>
      </c>
      <c r="P70" s="223">
        <v>4517</v>
      </c>
      <c r="Q70">
        <v>428</v>
      </c>
      <c r="R70" s="223">
        <v>2788</v>
      </c>
      <c r="S70">
        <v>338</v>
      </c>
      <c r="T70" s="227">
        <v>1314</v>
      </c>
      <c r="U70" s="344">
        <v>1099</v>
      </c>
      <c r="V70" s="344">
        <v>8619</v>
      </c>
    </row>
    <row r="71" spans="3:22" x14ac:dyDescent="0.25">
      <c r="C71" s="217">
        <v>44013</v>
      </c>
      <c r="D71">
        <f t="shared" ca="1" si="10"/>
        <v>0</v>
      </c>
      <c r="E71" s="223">
        <f t="shared" ca="1" si="11"/>
        <v>0</v>
      </c>
      <c r="F71">
        <f t="shared" ca="1" si="12"/>
        <v>0</v>
      </c>
      <c r="G71" s="223">
        <f t="shared" ca="1" si="13"/>
        <v>0</v>
      </c>
      <c r="H71">
        <f t="shared" ca="1" si="14"/>
        <v>0</v>
      </c>
      <c r="I71" s="227">
        <f t="shared" ca="1" si="15"/>
        <v>0</v>
      </c>
      <c r="J71" s="344">
        <f t="shared" ca="1" si="16"/>
        <v>0</v>
      </c>
      <c r="K71" s="344">
        <f t="shared" ca="1" si="17"/>
        <v>0</v>
      </c>
      <c r="N71" s="217">
        <v>43647</v>
      </c>
      <c r="O71">
        <v>378</v>
      </c>
      <c r="P71" s="223">
        <v>1871</v>
      </c>
      <c r="Q71">
        <v>482</v>
      </c>
      <c r="R71" s="223">
        <v>3240</v>
      </c>
      <c r="S71">
        <v>411</v>
      </c>
      <c r="T71" s="227">
        <v>2467</v>
      </c>
      <c r="U71" s="344">
        <v>1271</v>
      </c>
      <c r="V71" s="344">
        <v>7578</v>
      </c>
    </row>
    <row r="72" spans="3:22" x14ac:dyDescent="0.25">
      <c r="C72" s="217">
        <v>44044</v>
      </c>
      <c r="D72">
        <f t="shared" ca="1" si="10"/>
        <v>0</v>
      </c>
      <c r="E72" s="223">
        <f t="shared" ca="1" si="11"/>
        <v>0</v>
      </c>
      <c r="F72">
        <f t="shared" ca="1" si="12"/>
        <v>0</v>
      </c>
      <c r="G72" s="223">
        <f t="shared" ca="1" si="13"/>
        <v>0</v>
      </c>
      <c r="H72">
        <f t="shared" ca="1" si="14"/>
        <v>0</v>
      </c>
      <c r="I72" s="227">
        <f t="shared" ca="1" si="15"/>
        <v>0</v>
      </c>
      <c r="J72" s="344">
        <f t="shared" ca="1" si="16"/>
        <v>0</v>
      </c>
      <c r="K72" s="344">
        <f t="shared" ca="1" si="17"/>
        <v>0</v>
      </c>
      <c r="N72" s="217">
        <v>43678</v>
      </c>
      <c r="O72">
        <v>94</v>
      </c>
      <c r="P72" s="223">
        <v>338</v>
      </c>
      <c r="Q72">
        <v>102</v>
      </c>
      <c r="R72" s="223">
        <v>641</v>
      </c>
      <c r="S72">
        <v>68</v>
      </c>
      <c r="T72" s="227">
        <v>269</v>
      </c>
      <c r="U72" s="344">
        <v>264</v>
      </c>
      <c r="V72" s="344">
        <v>1248</v>
      </c>
    </row>
    <row r="73" spans="3:22" x14ac:dyDescent="0.25">
      <c r="C73" s="217">
        <v>44075</v>
      </c>
      <c r="D73">
        <f t="shared" ca="1" si="10"/>
        <v>0</v>
      </c>
      <c r="E73" s="223">
        <f t="shared" ca="1" si="11"/>
        <v>0</v>
      </c>
      <c r="F73">
        <f t="shared" ca="1" si="12"/>
        <v>0</v>
      </c>
      <c r="G73" s="223">
        <f t="shared" ca="1" si="13"/>
        <v>0</v>
      </c>
      <c r="H73">
        <f t="shared" ca="1" si="14"/>
        <v>0</v>
      </c>
      <c r="I73" s="227">
        <f t="shared" ca="1" si="15"/>
        <v>0</v>
      </c>
      <c r="J73" s="344">
        <f t="shared" ca="1" si="16"/>
        <v>0</v>
      </c>
      <c r="K73" s="344">
        <f t="shared" ca="1" si="17"/>
        <v>0</v>
      </c>
      <c r="N73" s="217">
        <v>43709</v>
      </c>
      <c r="O73">
        <v>598</v>
      </c>
      <c r="P73" s="223">
        <v>2722</v>
      </c>
      <c r="Q73">
        <v>623</v>
      </c>
      <c r="R73" s="223">
        <v>3646</v>
      </c>
      <c r="S73">
        <v>473</v>
      </c>
      <c r="T73" s="227">
        <v>2044</v>
      </c>
      <c r="U73" s="344">
        <v>1694</v>
      </c>
      <c r="V73" s="344">
        <v>8412</v>
      </c>
    </row>
    <row r="74" spans="3:22" x14ac:dyDescent="0.25">
      <c r="C74" s="217">
        <v>44105</v>
      </c>
      <c r="D74">
        <f t="shared" ca="1" si="10"/>
        <v>0</v>
      </c>
      <c r="E74" s="223">
        <f t="shared" ca="1" si="11"/>
        <v>0</v>
      </c>
      <c r="F74">
        <f t="shared" ca="1" si="12"/>
        <v>0</v>
      </c>
      <c r="G74" s="223">
        <f t="shared" ca="1" si="13"/>
        <v>0</v>
      </c>
      <c r="H74">
        <f t="shared" ca="1" si="14"/>
        <v>0</v>
      </c>
      <c r="I74" s="227">
        <f t="shared" ca="1" si="15"/>
        <v>0</v>
      </c>
      <c r="J74" s="344">
        <f t="shared" ca="1" si="16"/>
        <v>0</v>
      </c>
      <c r="K74" s="344">
        <f t="shared" ca="1" si="17"/>
        <v>0</v>
      </c>
      <c r="N74" s="217">
        <v>43739</v>
      </c>
      <c r="O74">
        <v>417</v>
      </c>
      <c r="P74" s="223">
        <v>2800</v>
      </c>
      <c r="Q74">
        <v>419</v>
      </c>
      <c r="R74" s="223">
        <v>2286</v>
      </c>
      <c r="S74">
        <v>376</v>
      </c>
      <c r="T74" s="227">
        <v>1756</v>
      </c>
      <c r="U74" s="344">
        <v>1212</v>
      </c>
      <c r="V74" s="344">
        <v>6842</v>
      </c>
    </row>
    <row r="75" spans="3:22" x14ac:dyDescent="0.25">
      <c r="C75" s="217">
        <v>44136</v>
      </c>
      <c r="D75">
        <f t="shared" ca="1" si="10"/>
        <v>0</v>
      </c>
      <c r="E75" s="223">
        <f t="shared" ca="1" si="11"/>
        <v>0</v>
      </c>
      <c r="F75">
        <f t="shared" ca="1" si="12"/>
        <v>0</v>
      </c>
      <c r="G75" s="223">
        <f t="shared" ca="1" si="13"/>
        <v>0</v>
      </c>
      <c r="H75">
        <f t="shared" ca="1" si="14"/>
        <v>0</v>
      </c>
      <c r="I75" s="227">
        <f t="shared" ca="1" si="15"/>
        <v>0</v>
      </c>
      <c r="J75" s="344">
        <f t="shared" ca="1" si="16"/>
        <v>0</v>
      </c>
      <c r="K75" s="344">
        <f t="shared" ca="1" si="17"/>
        <v>0</v>
      </c>
      <c r="N75" s="217">
        <v>43770</v>
      </c>
      <c r="O75">
        <v>416</v>
      </c>
      <c r="P75" s="223">
        <v>1865</v>
      </c>
      <c r="Q75">
        <v>425</v>
      </c>
      <c r="R75" s="223">
        <v>2866</v>
      </c>
      <c r="S75">
        <v>347</v>
      </c>
      <c r="T75" s="227">
        <v>2433</v>
      </c>
      <c r="U75" s="344">
        <v>1188</v>
      </c>
      <c r="V75" s="344">
        <v>7164</v>
      </c>
    </row>
    <row r="76" spans="3:22" x14ac:dyDescent="0.25">
      <c r="C76" s="217">
        <v>44166</v>
      </c>
      <c r="D76">
        <f t="shared" ca="1" si="10"/>
        <v>0</v>
      </c>
      <c r="E76" s="223">
        <f t="shared" ca="1" si="11"/>
        <v>0</v>
      </c>
      <c r="F76">
        <f t="shared" ca="1" si="12"/>
        <v>0</v>
      </c>
      <c r="G76" s="223">
        <f t="shared" ca="1" si="13"/>
        <v>0</v>
      </c>
      <c r="H76">
        <f t="shared" ca="1" si="14"/>
        <v>0</v>
      </c>
      <c r="I76" s="227">
        <f t="shared" ca="1" si="15"/>
        <v>0</v>
      </c>
      <c r="J76" s="344">
        <f t="shared" ca="1" si="16"/>
        <v>0</v>
      </c>
      <c r="K76" s="344">
        <f t="shared" ca="1" si="17"/>
        <v>0</v>
      </c>
      <c r="N76" s="217">
        <v>43800</v>
      </c>
      <c r="O76">
        <v>237</v>
      </c>
      <c r="P76" s="223">
        <v>1186</v>
      </c>
      <c r="Q76">
        <v>242</v>
      </c>
      <c r="R76" s="223">
        <v>1377</v>
      </c>
      <c r="S76">
        <v>221</v>
      </c>
      <c r="T76" s="227">
        <v>1089</v>
      </c>
      <c r="U76" s="344">
        <v>700</v>
      </c>
      <c r="V76" s="344">
        <v>3652</v>
      </c>
    </row>
    <row r="77" spans="3:22" ht="15.75" thickBot="1" x14ac:dyDescent="0.3">
      <c r="C77" s="221"/>
      <c r="D77" s="219">
        <f ca="1">SUM(D65:D76)</f>
        <v>884</v>
      </c>
      <c r="E77" s="224">
        <f ca="1">SUM(E65:E76)</f>
        <v>5005</v>
      </c>
      <c r="F77" s="219">
        <f t="shared" ref="F77:K77" ca="1" si="18">SUM(F65:F76)</f>
        <v>867</v>
      </c>
      <c r="G77" s="224">
        <f t="shared" ref="G77" ca="1" si="19">SUM(G65:G76)</f>
        <v>5552</v>
      </c>
      <c r="H77" s="219">
        <f t="shared" ca="1" si="18"/>
        <v>784</v>
      </c>
      <c r="I77" s="228">
        <f t="shared" ref="I77" ca="1" si="20">SUM(I65:I76)</f>
        <v>3757</v>
      </c>
      <c r="J77" s="222">
        <f t="shared" ca="1" si="18"/>
        <v>2535</v>
      </c>
      <c r="K77" s="222">
        <f t="shared" ca="1" si="18"/>
        <v>14314</v>
      </c>
      <c r="N77" s="221"/>
      <c r="O77" s="219">
        <v>4564</v>
      </c>
      <c r="P77" s="224">
        <v>27314</v>
      </c>
      <c r="Q77" s="219">
        <v>4743</v>
      </c>
      <c r="R77" s="224">
        <v>30296</v>
      </c>
      <c r="S77" s="219">
        <v>4291</v>
      </c>
      <c r="T77" s="228">
        <v>21079</v>
      </c>
      <c r="U77" s="222">
        <v>13598</v>
      </c>
      <c r="V77" s="222">
        <v>78689</v>
      </c>
    </row>
    <row r="78" spans="3:22" x14ac:dyDescent="0.25">
      <c r="C78" s="254" t="s">
        <v>202</v>
      </c>
      <c r="D78" s="216">
        <f ca="1">AVERAGEIF(D5:D57,"&lt;&gt;0")</f>
        <v>110.5</v>
      </c>
      <c r="E78" s="229">
        <f ca="1">E77/D77</f>
        <v>5.6617647058823533</v>
      </c>
      <c r="F78" s="216">
        <f ca="1">AVERAGEIF(F5:F57,"&lt;&gt;0")</f>
        <v>108.375</v>
      </c>
      <c r="G78" s="229">
        <f ca="1">G77/F77</f>
        <v>6.4036908881199537</v>
      </c>
      <c r="H78" s="216">
        <f ca="1">AVERAGEIF(H5:H57,"&lt;&gt;0")</f>
        <v>98</v>
      </c>
      <c r="I78" s="229">
        <f ca="1">I77/H77</f>
        <v>4.7920918367346941</v>
      </c>
      <c r="J78" s="216">
        <f ca="1">AVERAGEIF(J5:J57,"&lt;&gt;0")</f>
        <v>316.875</v>
      </c>
      <c r="K78" s="216">
        <f ca="1">K77/J77</f>
        <v>5.6465483234714</v>
      </c>
      <c r="N78" s="254" t="s">
        <v>202</v>
      </c>
      <c r="O78" s="216">
        <v>87.769230769230774</v>
      </c>
      <c r="P78" s="229">
        <v>5.9846625766871169</v>
      </c>
      <c r="Q78" s="216">
        <v>91.211538461538467</v>
      </c>
      <c r="R78" s="229">
        <v>6.3875184482395104</v>
      </c>
      <c r="S78" s="216">
        <v>82.519230769230774</v>
      </c>
      <c r="T78" s="229">
        <v>4.9123747378233515</v>
      </c>
      <c r="U78">
        <v>262</v>
      </c>
      <c r="V78" s="216">
        <f>V77/U77</f>
        <v>5.7868068833652009</v>
      </c>
    </row>
  </sheetData>
  <autoFilter ref="A4:L59">
    <filterColumn colId="1">
      <filters blank="1">
        <dateGroupItem year="2020" month="1" dateTimeGrouping="month"/>
        <dateGroupItem year="2020" month="2" dateTimeGrouping="month"/>
      </filters>
    </filterColumn>
  </autoFilter>
  <pageMargins left="0.7" right="0.7" top="0.75" bottom="0.75" header="0.3" footer="0.3"/>
  <pageSetup paperSize="9" scale="64" orientation="portrait" r:id="rId1"/>
  <colBreaks count="1" manualBreakCount="1">
    <brk id="12" max="1048575" man="1"/>
  </colBreaks>
  <tableParts count="2"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5"/>
    <pageSetUpPr fitToPage="1"/>
  </sheetPr>
  <dimension ref="A1:AD77"/>
  <sheetViews>
    <sheetView zoomScaleNormal="100" workbookViewId="0">
      <pane ySplit="4" topLeftCell="A5" activePane="bottomLeft" state="frozen"/>
      <selection pane="bottomLeft" activeCell="M13" sqref="M13"/>
    </sheetView>
  </sheetViews>
  <sheetFormatPr baseColWidth="10" defaultRowHeight="12.75" outlineLevelRow="1" outlineLevelCol="1" x14ac:dyDescent="0.2"/>
  <cols>
    <col min="1" max="1" width="3" style="286" bestFit="1" customWidth="1"/>
    <col min="2" max="2" width="8" style="286" bestFit="1" customWidth="1"/>
    <col min="3" max="3" width="7.28515625" style="272" customWidth="1"/>
    <col min="4" max="4" width="8.85546875" style="272" bestFit="1" customWidth="1"/>
    <col min="5" max="11" width="6.140625" style="272" customWidth="1"/>
    <col min="12" max="12" width="6.5703125" style="272" bestFit="1" customWidth="1"/>
    <col min="13" max="13" width="7" style="272" customWidth="1"/>
    <col min="14" max="14" width="5.42578125" style="272" customWidth="1"/>
    <col min="15" max="15" width="7.28515625" style="272" customWidth="1"/>
    <col min="16" max="16" width="8.85546875" style="272" bestFit="1" customWidth="1"/>
    <col min="17" max="23" width="6.140625" style="272" customWidth="1"/>
    <col min="24" max="24" width="6.5703125" style="272" bestFit="1" customWidth="1"/>
    <col min="25" max="25" width="7" style="272" customWidth="1"/>
    <col min="26" max="27" width="0" style="272" hidden="1" customWidth="1" outlineLevel="1"/>
    <col min="28" max="28" width="8.28515625" style="272" hidden="1" customWidth="1" outlineLevel="1"/>
    <col min="29" max="29" width="8.140625" style="272" hidden="1" customWidth="1" outlineLevel="1"/>
    <col min="30" max="30" width="9" style="272" customWidth="1" collapsed="1"/>
    <col min="31" max="34" width="7.28515625" style="272" customWidth="1"/>
    <col min="35" max="16384" width="11.42578125" style="272"/>
  </cols>
  <sheetData>
    <row r="1" spans="1:25" ht="15" customHeight="1" x14ac:dyDescent="0.2">
      <c r="A1" s="313" t="s">
        <v>207</v>
      </c>
      <c r="B1" s="314"/>
      <c r="C1" s="315"/>
      <c r="D1" s="315"/>
      <c r="E1" s="315"/>
      <c r="F1" s="315"/>
      <c r="G1" s="315"/>
      <c r="H1" s="315"/>
      <c r="I1" s="315"/>
      <c r="J1" s="315"/>
      <c r="K1" s="331" t="s">
        <v>208</v>
      </c>
      <c r="L1" s="315"/>
      <c r="M1" s="315"/>
      <c r="O1" s="313" t="s">
        <v>96</v>
      </c>
      <c r="P1" s="313"/>
      <c r="Q1" s="315"/>
      <c r="R1" s="315"/>
      <c r="S1" s="315"/>
      <c r="T1" s="315"/>
      <c r="U1" s="315"/>
      <c r="V1" s="315"/>
      <c r="W1" s="331" t="s">
        <v>209</v>
      </c>
      <c r="X1" s="315"/>
      <c r="Y1" s="315"/>
    </row>
    <row r="2" spans="1:25" x14ac:dyDescent="0.2">
      <c r="A2" s="314"/>
      <c r="B2" s="314"/>
      <c r="C2" s="315"/>
      <c r="D2" s="315"/>
      <c r="E2" s="315"/>
      <c r="F2" s="315"/>
      <c r="G2" s="315"/>
      <c r="H2" s="315"/>
      <c r="I2" s="315"/>
      <c r="J2" s="315"/>
      <c r="K2" s="315"/>
      <c r="L2" s="537" t="s">
        <v>225</v>
      </c>
      <c r="M2" s="537"/>
      <c r="O2" s="315"/>
      <c r="P2" s="315"/>
      <c r="Q2" s="315"/>
      <c r="R2" s="315"/>
      <c r="S2" s="315"/>
      <c r="T2" s="315"/>
      <c r="U2" s="315"/>
      <c r="V2" s="315"/>
      <c r="W2" s="315"/>
      <c r="X2" s="537" t="s">
        <v>225</v>
      </c>
      <c r="Y2" s="537"/>
    </row>
    <row r="3" spans="1:25" ht="15.75" x14ac:dyDescent="0.25">
      <c r="A3" s="315">
        <v>11</v>
      </c>
      <c r="B3" s="315"/>
      <c r="C3" s="340" t="s">
        <v>204</v>
      </c>
      <c r="D3" s="315"/>
      <c r="E3" s="315"/>
      <c r="F3" s="315"/>
      <c r="G3" s="315"/>
      <c r="H3" s="315"/>
      <c r="I3" s="315"/>
      <c r="J3" s="315"/>
      <c r="K3" s="315"/>
      <c r="L3" s="537" t="s">
        <v>227</v>
      </c>
      <c r="M3" s="537"/>
      <c r="O3" s="340" t="s">
        <v>70</v>
      </c>
      <c r="P3" s="315"/>
      <c r="Q3" s="315"/>
      <c r="R3" s="315"/>
      <c r="S3" s="315"/>
      <c r="T3" s="315"/>
      <c r="U3" s="315"/>
      <c r="V3" s="315"/>
      <c r="W3" s="315"/>
      <c r="X3" s="537" t="s">
        <v>227</v>
      </c>
      <c r="Y3" s="537"/>
    </row>
    <row r="4" spans="1:25" x14ac:dyDescent="0.2">
      <c r="B4" s="274" t="s">
        <v>94</v>
      </c>
      <c r="C4" s="272" t="s">
        <v>65</v>
      </c>
      <c r="D4" s="401" t="s">
        <v>206</v>
      </c>
      <c r="E4" s="276" t="s">
        <v>75</v>
      </c>
      <c r="F4" s="273" t="s">
        <v>76</v>
      </c>
      <c r="G4" s="316" t="s">
        <v>77</v>
      </c>
      <c r="H4" s="273" t="s">
        <v>67</v>
      </c>
      <c r="I4" s="273" t="s">
        <v>68</v>
      </c>
      <c r="J4" s="273" t="s">
        <v>33</v>
      </c>
      <c r="K4" s="273" t="s">
        <v>69</v>
      </c>
      <c r="L4" s="397" t="s">
        <v>206</v>
      </c>
      <c r="M4" s="397" t="s">
        <v>226</v>
      </c>
      <c r="O4" s="272" t="s">
        <v>65</v>
      </c>
      <c r="P4" s="401" t="s">
        <v>206</v>
      </c>
      <c r="Q4" s="276" t="s">
        <v>75</v>
      </c>
      <c r="R4" s="273" t="s">
        <v>76</v>
      </c>
      <c r="S4" s="316" t="s">
        <v>77</v>
      </c>
      <c r="T4" s="273" t="s">
        <v>67</v>
      </c>
      <c r="U4" s="273" t="s">
        <v>68</v>
      </c>
      <c r="V4" s="273" t="s">
        <v>33</v>
      </c>
      <c r="W4" s="273" t="s">
        <v>69</v>
      </c>
      <c r="X4" s="397" t="s">
        <v>206</v>
      </c>
      <c r="Y4" s="397" t="s">
        <v>226</v>
      </c>
    </row>
    <row r="5" spans="1:25" x14ac:dyDescent="0.2">
      <c r="B5" s="279">
        <f>'Récap devis'!B5</f>
        <v>43831</v>
      </c>
      <c r="C5" s="272">
        <v>1</v>
      </c>
      <c r="D5" s="326">
        <f>E5</f>
        <v>0</v>
      </c>
      <c r="E5" s="292"/>
      <c r="G5" s="317">
        <f>SUM(H5:K5)</f>
        <v>0</v>
      </c>
      <c r="L5" s="386">
        <f>M5</f>
        <v>0</v>
      </c>
      <c r="M5" s="384"/>
      <c r="O5" s="272">
        <v>1</v>
      </c>
      <c r="P5" s="326">
        <v>167</v>
      </c>
      <c r="Q5" s="292">
        <v>167</v>
      </c>
      <c r="R5" s="272">
        <v>13</v>
      </c>
      <c r="S5" s="317">
        <v>154</v>
      </c>
      <c r="T5" s="272">
        <v>154</v>
      </c>
      <c r="X5" s="386">
        <f>Y5</f>
        <v>194</v>
      </c>
      <c r="Y5" s="384">
        <v>194</v>
      </c>
    </row>
    <row r="6" spans="1:25" x14ac:dyDescent="0.2">
      <c r="B6" s="279">
        <f>'Récap devis'!B6</f>
        <v>43831</v>
      </c>
      <c r="C6" s="272">
        <v>2</v>
      </c>
      <c r="D6" s="326">
        <f ca="1">IF(E6&lt;&gt;0,D5+E6,"")</f>
        <v>311</v>
      </c>
      <c r="E6" s="292">
        <f ca="1">F6+G6</f>
        <v>311</v>
      </c>
      <c r="F6" s="272">
        <f ca="1">INDIRECT("'[suivi cde 2020.xlsx]saisie_cde_A'!$w$10")</f>
        <v>28</v>
      </c>
      <c r="G6" s="317">
        <f ca="1">SUM(H6:K6)</f>
        <v>283</v>
      </c>
      <c r="H6" s="272">
        <f ca="1">INDIRECT("'[suivi cde 2020.xlsx]saisie_cde_A'!$w$4")</f>
        <v>166</v>
      </c>
      <c r="I6" s="272">
        <f ca="1">INDIRECT("'[suivi cde 2020.xlsx]saisie_cde_A'!$w$5")</f>
        <v>110</v>
      </c>
      <c r="J6" s="272">
        <f ca="1">INDIRECT("'[suivi cde 2020.xlsx]saisie_cde_A'!$w$6")</f>
        <v>7</v>
      </c>
      <c r="K6" s="272">
        <f ca="1">INDIRECT("'[suivi cde 2020.xlsx]saisie_cde_A'!$w$7")</f>
        <v>0</v>
      </c>
      <c r="L6" s="389">
        <f>IF(M6&lt;&gt;0,+M6,)</f>
        <v>298</v>
      </c>
      <c r="M6" s="384">
        <f>[3]Production!$K1628</f>
        <v>298</v>
      </c>
      <c r="O6" s="272">
        <v>2</v>
      </c>
      <c r="P6" s="326">
        <v>499</v>
      </c>
      <c r="Q6" s="292">
        <v>332</v>
      </c>
      <c r="R6" s="303">
        <v>45</v>
      </c>
      <c r="S6" s="317">
        <v>287</v>
      </c>
      <c r="T6" s="272">
        <v>287</v>
      </c>
      <c r="X6" s="386">
        <f>X5+Y6</f>
        <v>601</v>
      </c>
      <c r="Y6" s="384">
        <v>407</v>
      </c>
    </row>
    <row r="7" spans="1:25" x14ac:dyDescent="0.2">
      <c r="A7" s="286">
        <v>1</v>
      </c>
      <c r="B7" s="279">
        <f>'Récap devis'!B7</f>
        <v>43831</v>
      </c>
      <c r="C7" s="272">
        <v>3</v>
      </c>
      <c r="D7" s="325">
        <f t="shared" ref="D7:D56" ca="1" si="0">IF(E7&lt;&gt;0,D6+E7,"")</f>
        <v>615</v>
      </c>
      <c r="E7" s="292">
        <f t="shared" ref="E7:E16" ca="1" si="1">F7+G7</f>
        <v>304</v>
      </c>
      <c r="F7" s="303">
        <f t="shared" ref="F7:F16" ca="1" si="2">OFFSET(INDIRECT("'[suivi cde 2020.xlsx]saisie_cde_A'!$w$10"),$A$3*A7,0)</f>
        <v>29</v>
      </c>
      <c r="G7" s="317">
        <f t="shared" ref="G7:G16" ca="1" si="3">SUM(H7:K7)</f>
        <v>275</v>
      </c>
      <c r="H7" s="272">
        <f t="shared" ref="H7:H16" ca="1" si="4">OFFSET(INDIRECT("'[suivi cde 2020.xlsx]saisie_cde_A'!$w$4"),$A$3*A7,0)</f>
        <v>166</v>
      </c>
      <c r="I7" s="272">
        <f t="shared" ref="I7:I16" ca="1" si="5">OFFSET(INDIRECT("'[suivi cde 2020.xlsx]saisie_cde_A'!$w$5"),$A$3*A7,0)</f>
        <v>109</v>
      </c>
      <c r="J7" s="272">
        <f t="shared" ref="J7:J16" ca="1" si="6">OFFSET(INDIRECT("'[suivi cde 2020.xlsx]saisie_cde_A'!$w$6"),$A$3*A7,0)</f>
        <v>0</v>
      </c>
      <c r="K7" s="272">
        <f t="shared" ref="K7:K16" ca="1" si="7">OFFSET(INDIRECT("'[suivi cde 2020.xlsx]saisie_cde_A'!$w$7"),$A$3*A7,0)</f>
        <v>0</v>
      </c>
      <c r="L7" s="389">
        <f>IF(M7&lt;&gt;0,L6+M7,)</f>
        <v>582</v>
      </c>
      <c r="M7" s="384">
        <f>[3]Production!$K1629</f>
        <v>284</v>
      </c>
      <c r="O7" s="272">
        <v>3</v>
      </c>
      <c r="P7" s="325">
        <v>928</v>
      </c>
      <c r="Q7" s="292">
        <v>429</v>
      </c>
      <c r="R7" s="303">
        <v>43</v>
      </c>
      <c r="S7" s="317">
        <v>386</v>
      </c>
      <c r="T7" s="272">
        <v>386</v>
      </c>
      <c r="X7" s="386">
        <f t="shared" ref="X7:X56" si="8">X6+Y7</f>
        <v>969</v>
      </c>
      <c r="Y7" s="384">
        <v>368</v>
      </c>
    </row>
    <row r="8" spans="1:25" x14ac:dyDescent="0.2">
      <c r="A8" s="286">
        <v>2</v>
      </c>
      <c r="B8" s="279">
        <f>'Récap devis'!B8</f>
        <v>43831</v>
      </c>
      <c r="C8" s="272">
        <v>4</v>
      </c>
      <c r="D8" s="325">
        <f t="shared" ca="1" si="0"/>
        <v>871</v>
      </c>
      <c r="E8" s="292">
        <f t="shared" ca="1" si="1"/>
        <v>256</v>
      </c>
      <c r="F8" s="303">
        <f t="shared" ca="1" si="2"/>
        <v>38</v>
      </c>
      <c r="G8" s="317">
        <f t="shared" ca="1" si="3"/>
        <v>218</v>
      </c>
      <c r="H8" s="272">
        <f t="shared" ca="1" si="4"/>
        <v>131</v>
      </c>
      <c r="I8" s="272">
        <f t="shared" ca="1" si="5"/>
        <v>87</v>
      </c>
      <c r="J8" s="272">
        <f t="shared" ca="1" si="6"/>
        <v>0</v>
      </c>
      <c r="K8" s="272">
        <f t="shared" ca="1" si="7"/>
        <v>0</v>
      </c>
      <c r="L8" s="386">
        <f t="shared" ref="L8:L56" si="9">IF(M8&lt;&gt;0,L7+M8,)</f>
        <v>860</v>
      </c>
      <c r="M8" s="384">
        <f>[3]Production!$K1630</f>
        <v>278</v>
      </c>
      <c r="O8" s="272">
        <v>4</v>
      </c>
      <c r="P8" s="325">
        <v>1199</v>
      </c>
      <c r="Q8" s="292">
        <v>271</v>
      </c>
      <c r="R8" s="303">
        <v>25</v>
      </c>
      <c r="S8" s="317">
        <v>246</v>
      </c>
      <c r="T8" s="272">
        <v>246</v>
      </c>
      <c r="X8" s="386">
        <f t="shared" si="8"/>
        <v>1372</v>
      </c>
      <c r="Y8" s="384">
        <v>403</v>
      </c>
    </row>
    <row r="9" spans="1:25" x14ac:dyDescent="0.2">
      <c r="A9" s="286">
        <v>3</v>
      </c>
      <c r="B9" s="279">
        <f>'Récap devis'!B9</f>
        <v>43831</v>
      </c>
      <c r="C9" s="282">
        <v>5</v>
      </c>
      <c r="D9" s="327">
        <f t="shared" ca="1" si="0"/>
        <v>1274</v>
      </c>
      <c r="E9" s="304">
        <f t="shared" ca="1" si="1"/>
        <v>403</v>
      </c>
      <c r="F9" s="318">
        <f t="shared" ca="1" si="2"/>
        <v>40</v>
      </c>
      <c r="G9" s="319">
        <f t="shared" ca="1" si="3"/>
        <v>363</v>
      </c>
      <c r="H9" s="282">
        <f t="shared" ca="1" si="4"/>
        <v>253</v>
      </c>
      <c r="I9" s="282">
        <f t="shared" ca="1" si="5"/>
        <v>110</v>
      </c>
      <c r="J9" s="282">
        <f t="shared" ca="1" si="6"/>
        <v>0</v>
      </c>
      <c r="K9" s="282">
        <f t="shared" ca="1" si="7"/>
        <v>0</v>
      </c>
      <c r="L9" s="390">
        <f t="shared" si="9"/>
        <v>1183</v>
      </c>
      <c r="M9" s="384">
        <v>323</v>
      </c>
      <c r="O9" s="282">
        <v>5</v>
      </c>
      <c r="P9" s="327">
        <v>1671</v>
      </c>
      <c r="Q9" s="304">
        <v>472</v>
      </c>
      <c r="R9" s="318">
        <v>53</v>
      </c>
      <c r="S9" s="319">
        <v>419</v>
      </c>
      <c r="T9" s="282">
        <v>419</v>
      </c>
      <c r="U9" s="282"/>
      <c r="V9" s="282"/>
      <c r="W9" s="282"/>
      <c r="X9" s="386">
        <f t="shared" si="8"/>
        <v>1807</v>
      </c>
      <c r="Y9" s="384">
        <v>435</v>
      </c>
    </row>
    <row r="10" spans="1:25" x14ac:dyDescent="0.2">
      <c r="A10" s="286">
        <v>4</v>
      </c>
      <c r="B10" s="279">
        <f>'Récap devis'!B10</f>
        <v>43862</v>
      </c>
      <c r="C10" s="272">
        <v>6</v>
      </c>
      <c r="D10" s="325">
        <f t="shared" ca="1" si="0"/>
        <v>1610</v>
      </c>
      <c r="E10" s="292">
        <f t="shared" ca="1" si="1"/>
        <v>336</v>
      </c>
      <c r="F10" s="303">
        <f t="shared" ca="1" si="2"/>
        <v>30</v>
      </c>
      <c r="G10" s="317">
        <f t="shared" ca="1" si="3"/>
        <v>306</v>
      </c>
      <c r="H10" s="272">
        <f t="shared" ca="1" si="4"/>
        <v>220</v>
      </c>
      <c r="I10" s="272">
        <f t="shared" ca="1" si="5"/>
        <v>86</v>
      </c>
      <c r="J10" s="272">
        <f t="shared" ca="1" si="6"/>
        <v>0</v>
      </c>
      <c r="K10" s="272">
        <f t="shared" ca="1" si="7"/>
        <v>0</v>
      </c>
      <c r="L10" s="386">
        <f t="shared" si="9"/>
        <v>1501</v>
      </c>
      <c r="M10" s="384">
        <v>318</v>
      </c>
      <c r="O10" s="272">
        <v>6</v>
      </c>
      <c r="P10" s="325">
        <v>1952</v>
      </c>
      <c r="Q10" s="292">
        <v>281</v>
      </c>
      <c r="R10" s="303">
        <v>46</v>
      </c>
      <c r="S10" s="317">
        <v>235</v>
      </c>
      <c r="T10" s="272">
        <v>235</v>
      </c>
      <c r="X10" s="386">
        <f t="shared" si="8"/>
        <v>2159</v>
      </c>
      <c r="Y10" s="384">
        <v>352</v>
      </c>
    </row>
    <row r="11" spans="1:25" x14ac:dyDescent="0.2">
      <c r="A11" s="286">
        <v>5</v>
      </c>
      <c r="B11" s="279">
        <f>'Récap devis'!B11</f>
        <v>43862</v>
      </c>
      <c r="C11" s="272">
        <v>7</v>
      </c>
      <c r="D11" s="325">
        <f t="shared" ca="1" si="0"/>
        <v>1990</v>
      </c>
      <c r="E11" s="280">
        <f t="shared" ca="1" si="1"/>
        <v>380</v>
      </c>
      <c r="F11" s="303">
        <f t="shared" ca="1" si="2"/>
        <v>22</v>
      </c>
      <c r="G11" s="317">
        <f t="shared" ca="1" si="3"/>
        <v>358</v>
      </c>
      <c r="H11" s="272">
        <f t="shared" ca="1" si="4"/>
        <v>248</v>
      </c>
      <c r="I11" s="272">
        <f t="shared" ca="1" si="5"/>
        <v>110</v>
      </c>
      <c r="J11" s="272">
        <f t="shared" ca="1" si="6"/>
        <v>0</v>
      </c>
      <c r="K11" s="272">
        <f t="shared" ca="1" si="7"/>
        <v>0</v>
      </c>
      <c r="L11" s="386">
        <f t="shared" si="9"/>
        <v>1812</v>
      </c>
      <c r="M11" s="384">
        <v>311</v>
      </c>
      <c r="O11" s="272">
        <v>7</v>
      </c>
      <c r="P11" s="325">
        <v>2280</v>
      </c>
      <c r="Q11" s="280">
        <v>328</v>
      </c>
      <c r="R11" s="303">
        <v>34</v>
      </c>
      <c r="S11" s="317">
        <v>294</v>
      </c>
      <c r="T11" s="272">
        <v>294</v>
      </c>
      <c r="X11" s="386">
        <f t="shared" si="8"/>
        <v>2487</v>
      </c>
      <c r="Y11" s="384">
        <v>328</v>
      </c>
    </row>
    <row r="12" spans="1:25" x14ac:dyDescent="0.2">
      <c r="A12" s="286">
        <v>6</v>
      </c>
      <c r="B12" s="279">
        <f>'Récap devis'!B12</f>
        <v>43862</v>
      </c>
      <c r="C12" s="272">
        <v>8</v>
      </c>
      <c r="D12" s="325">
        <f t="shared" ca="1" si="0"/>
        <v>2342</v>
      </c>
      <c r="E12" s="280">
        <f t="shared" ca="1" si="1"/>
        <v>352</v>
      </c>
      <c r="F12" s="303">
        <f t="shared" ca="1" si="2"/>
        <v>59</v>
      </c>
      <c r="G12" s="317">
        <f t="shared" ca="1" si="3"/>
        <v>293</v>
      </c>
      <c r="H12" s="272">
        <f t="shared" ca="1" si="4"/>
        <v>209</v>
      </c>
      <c r="I12" s="272">
        <f t="shared" ca="1" si="5"/>
        <v>84</v>
      </c>
      <c r="J12" s="272">
        <f t="shared" ca="1" si="6"/>
        <v>0</v>
      </c>
      <c r="K12" s="272">
        <f t="shared" ca="1" si="7"/>
        <v>0</v>
      </c>
      <c r="L12" s="386">
        <f t="shared" si="9"/>
        <v>2132</v>
      </c>
      <c r="M12" s="384">
        <v>320</v>
      </c>
      <c r="O12" s="272">
        <v>8</v>
      </c>
      <c r="P12" s="325">
        <v>2561</v>
      </c>
      <c r="Q12" s="280">
        <v>281</v>
      </c>
      <c r="R12" s="303">
        <v>47</v>
      </c>
      <c r="S12" s="317">
        <v>234</v>
      </c>
      <c r="T12" s="272">
        <v>234</v>
      </c>
      <c r="X12" s="386">
        <f t="shared" si="8"/>
        <v>2849</v>
      </c>
      <c r="Y12" s="384">
        <v>362</v>
      </c>
    </row>
    <row r="13" spans="1:25" x14ac:dyDescent="0.2">
      <c r="A13" s="286">
        <v>7</v>
      </c>
      <c r="B13" s="279">
        <f>'Récap devis'!B13</f>
        <v>43862</v>
      </c>
      <c r="C13" s="282">
        <v>9</v>
      </c>
      <c r="D13" s="327">
        <f t="shared" ca="1" si="0"/>
        <v>2676</v>
      </c>
      <c r="E13" s="283">
        <f t="shared" ca="1" si="1"/>
        <v>334</v>
      </c>
      <c r="F13" s="318">
        <f t="shared" ca="1" si="2"/>
        <v>22</v>
      </c>
      <c r="G13" s="319">
        <f t="shared" ca="1" si="3"/>
        <v>312</v>
      </c>
      <c r="H13" s="282">
        <f t="shared" ca="1" si="4"/>
        <v>189</v>
      </c>
      <c r="I13" s="282">
        <f t="shared" ca="1" si="5"/>
        <v>123</v>
      </c>
      <c r="J13" s="282">
        <f t="shared" ca="1" si="6"/>
        <v>0</v>
      </c>
      <c r="K13" s="282">
        <f t="shared" ca="1" si="7"/>
        <v>0</v>
      </c>
      <c r="L13" s="390">
        <f t="shared" si="9"/>
        <v>0</v>
      </c>
      <c r="M13" s="384"/>
      <c r="O13" s="282">
        <v>9</v>
      </c>
      <c r="P13" s="327">
        <v>2919</v>
      </c>
      <c r="Q13" s="283">
        <v>358</v>
      </c>
      <c r="R13" s="318">
        <v>31</v>
      </c>
      <c r="S13" s="319">
        <v>327</v>
      </c>
      <c r="T13" s="282">
        <v>327</v>
      </c>
      <c r="U13" s="282"/>
      <c r="V13" s="282"/>
      <c r="W13" s="282"/>
      <c r="X13" s="386">
        <f t="shared" si="8"/>
        <v>3182</v>
      </c>
      <c r="Y13" s="384">
        <v>333</v>
      </c>
    </row>
    <row r="14" spans="1:25" x14ac:dyDescent="0.2">
      <c r="A14" s="286">
        <v>8</v>
      </c>
      <c r="B14" s="279">
        <f>'Récap devis'!B14</f>
        <v>43891</v>
      </c>
      <c r="C14" s="272">
        <v>10</v>
      </c>
      <c r="D14" s="325" t="str">
        <f t="shared" ca="1" si="0"/>
        <v/>
      </c>
      <c r="E14" s="280">
        <f t="shared" ca="1" si="1"/>
        <v>0</v>
      </c>
      <c r="F14" s="303">
        <f t="shared" ca="1" si="2"/>
        <v>0</v>
      </c>
      <c r="G14" s="317">
        <f t="shared" ca="1" si="3"/>
        <v>0</v>
      </c>
      <c r="H14" s="272">
        <f t="shared" ca="1" si="4"/>
        <v>0</v>
      </c>
      <c r="I14" s="272">
        <f t="shared" ca="1" si="5"/>
        <v>0</v>
      </c>
      <c r="J14" s="272">
        <f t="shared" ca="1" si="6"/>
        <v>0</v>
      </c>
      <c r="K14" s="272">
        <f t="shared" ca="1" si="7"/>
        <v>0</v>
      </c>
      <c r="L14" s="386">
        <f t="shared" si="9"/>
        <v>0</v>
      </c>
      <c r="M14" s="384"/>
      <c r="O14" s="272">
        <v>10</v>
      </c>
      <c r="P14" s="325">
        <v>3232</v>
      </c>
      <c r="Q14" s="280">
        <v>313</v>
      </c>
      <c r="R14" s="303">
        <v>40</v>
      </c>
      <c r="S14" s="317">
        <v>273</v>
      </c>
      <c r="T14" s="272">
        <v>273</v>
      </c>
      <c r="X14" s="386">
        <f t="shared" si="8"/>
        <v>3536</v>
      </c>
      <c r="Y14" s="384">
        <v>354</v>
      </c>
    </row>
    <row r="15" spans="1:25" x14ac:dyDescent="0.2">
      <c r="A15" s="286">
        <v>9</v>
      </c>
      <c r="B15" s="279">
        <f>'Récap devis'!B15</f>
        <v>43891</v>
      </c>
      <c r="C15" s="272">
        <v>11</v>
      </c>
      <c r="D15" s="325" t="str">
        <f t="shared" ca="1" si="0"/>
        <v/>
      </c>
      <c r="E15" s="280">
        <f t="shared" ca="1" si="1"/>
        <v>0</v>
      </c>
      <c r="F15" s="303">
        <f t="shared" ca="1" si="2"/>
        <v>0</v>
      </c>
      <c r="G15" s="317">
        <f t="shared" ca="1" si="3"/>
        <v>0</v>
      </c>
      <c r="H15" s="272">
        <f t="shared" ca="1" si="4"/>
        <v>0</v>
      </c>
      <c r="I15" s="272">
        <f t="shared" ca="1" si="5"/>
        <v>0</v>
      </c>
      <c r="J15" s="272">
        <f t="shared" ca="1" si="6"/>
        <v>0</v>
      </c>
      <c r="K15" s="272">
        <f t="shared" ca="1" si="7"/>
        <v>0</v>
      </c>
      <c r="L15" s="386">
        <f t="shared" si="9"/>
        <v>0</v>
      </c>
      <c r="M15" s="384"/>
      <c r="O15" s="272">
        <v>11</v>
      </c>
      <c r="P15" s="325">
        <v>3620</v>
      </c>
      <c r="Q15" s="280">
        <v>388</v>
      </c>
      <c r="R15" s="303">
        <v>40</v>
      </c>
      <c r="S15" s="317">
        <v>348</v>
      </c>
      <c r="T15" s="272">
        <v>348</v>
      </c>
      <c r="X15" s="386">
        <f t="shared" si="8"/>
        <v>3892</v>
      </c>
      <c r="Y15" s="384">
        <v>356</v>
      </c>
    </row>
    <row r="16" spans="1:25" x14ac:dyDescent="0.2">
      <c r="A16" s="286">
        <v>10</v>
      </c>
      <c r="B16" s="279">
        <f>'Récap devis'!B16</f>
        <v>43891</v>
      </c>
      <c r="C16" s="272">
        <v>12</v>
      </c>
      <c r="D16" s="325" t="str">
        <f t="shared" ca="1" si="0"/>
        <v/>
      </c>
      <c r="E16" s="280">
        <f t="shared" ca="1" si="1"/>
        <v>0</v>
      </c>
      <c r="F16" s="303">
        <f t="shared" ca="1" si="2"/>
        <v>0</v>
      </c>
      <c r="G16" s="317">
        <f t="shared" ca="1" si="3"/>
        <v>0</v>
      </c>
      <c r="H16" s="272">
        <f t="shared" ca="1" si="4"/>
        <v>0</v>
      </c>
      <c r="I16" s="272">
        <f t="shared" ca="1" si="5"/>
        <v>0</v>
      </c>
      <c r="J16" s="272">
        <f t="shared" ca="1" si="6"/>
        <v>0</v>
      </c>
      <c r="K16" s="272">
        <f t="shared" ca="1" si="7"/>
        <v>0</v>
      </c>
      <c r="L16" s="386">
        <f t="shared" si="9"/>
        <v>0</v>
      </c>
      <c r="M16" s="384"/>
      <c r="O16" s="272">
        <v>12</v>
      </c>
      <c r="P16" s="325">
        <v>4017</v>
      </c>
      <c r="Q16" s="280">
        <v>397</v>
      </c>
      <c r="R16" s="303">
        <v>43</v>
      </c>
      <c r="S16" s="317">
        <v>354</v>
      </c>
      <c r="T16" s="272">
        <v>354</v>
      </c>
      <c r="X16" s="386">
        <f t="shared" si="8"/>
        <v>4294</v>
      </c>
      <c r="Y16" s="384">
        <v>402</v>
      </c>
    </row>
    <row r="17" spans="1:25" x14ac:dyDescent="0.2">
      <c r="A17" s="286">
        <v>11</v>
      </c>
      <c r="B17" s="279">
        <f>'Récap devis'!B17</f>
        <v>43891</v>
      </c>
      <c r="C17" s="282">
        <v>13</v>
      </c>
      <c r="D17" s="327" t="str">
        <f t="shared" ca="1" si="0"/>
        <v/>
      </c>
      <c r="E17" s="285">
        <f t="shared" ref="E17:E56" ca="1" si="10">F17+G17</f>
        <v>0</v>
      </c>
      <c r="F17" s="282">
        <f t="shared" ref="F17:F56" ca="1" si="11">OFFSET(INDIRECT("'[suivi cde 2020.xlsx]saisie_cde_A'!$w$10"),$A$3*A17,0)</f>
        <v>0</v>
      </c>
      <c r="G17" s="319">
        <f t="shared" ref="G17:G56" ca="1" si="12">SUM(H17:K17)</f>
        <v>0</v>
      </c>
      <c r="H17" s="282">
        <f t="shared" ref="H17:H56" ca="1" si="13">OFFSET(INDIRECT("'[suivi cde 2020.xlsx]saisie_cde_A'!$w$4"),$A$3*A17,0)</f>
        <v>0</v>
      </c>
      <c r="I17" s="282">
        <f t="shared" ref="I17:I56" ca="1" si="14">OFFSET(INDIRECT("'[suivi cde 2020.xlsx]saisie_cde_A'!$w$5"),$A$3*A17,0)</f>
        <v>0</v>
      </c>
      <c r="J17" s="282">
        <f t="shared" ref="J17:J56" ca="1" si="15">OFFSET(INDIRECT("'[suivi cde 2020.xlsx]saisie_cde_A'!$w$6"),$A$3*A17,0)</f>
        <v>0</v>
      </c>
      <c r="K17" s="282">
        <f t="shared" ref="K17:K56" ca="1" si="16">OFFSET(INDIRECT("'[suivi cde 2020.xlsx]saisie_cde_A'!$w$7"),$A$3*A17,0)</f>
        <v>0</v>
      </c>
      <c r="L17" s="390">
        <f t="shared" si="9"/>
        <v>0</v>
      </c>
      <c r="M17" s="384"/>
      <c r="O17" s="282">
        <v>13</v>
      </c>
      <c r="P17" s="327">
        <v>4308</v>
      </c>
      <c r="Q17" s="285">
        <v>291</v>
      </c>
      <c r="R17" s="282">
        <v>32</v>
      </c>
      <c r="S17" s="319">
        <v>259</v>
      </c>
      <c r="T17" s="282">
        <v>259</v>
      </c>
      <c r="U17" s="282"/>
      <c r="V17" s="282"/>
      <c r="W17" s="282"/>
      <c r="X17" s="386">
        <f t="shared" si="8"/>
        <v>4659</v>
      </c>
      <c r="Y17" s="384">
        <v>365</v>
      </c>
    </row>
    <row r="18" spans="1:25" x14ac:dyDescent="0.2">
      <c r="A18" s="286">
        <v>12</v>
      </c>
      <c r="B18" s="279">
        <f>'Récap devis'!B18</f>
        <v>43922</v>
      </c>
      <c r="C18" s="272">
        <v>14</v>
      </c>
      <c r="D18" s="325" t="str">
        <f t="shared" ca="1" si="0"/>
        <v/>
      </c>
      <c r="E18" s="275">
        <f t="shared" ca="1" si="10"/>
        <v>0</v>
      </c>
      <c r="F18" s="272">
        <f t="shared" ca="1" si="11"/>
        <v>0</v>
      </c>
      <c r="G18" s="317">
        <f t="shared" ca="1" si="12"/>
        <v>0</v>
      </c>
      <c r="H18" s="272">
        <f t="shared" ca="1" si="13"/>
        <v>0</v>
      </c>
      <c r="I18" s="272">
        <f t="shared" ca="1" si="14"/>
        <v>0</v>
      </c>
      <c r="J18" s="272">
        <f t="shared" ca="1" si="15"/>
        <v>0</v>
      </c>
      <c r="K18" s="272">
        <f t="shared" ca="1" si="16"/>
        <v>0</v>
      </c>
      <c r="L18" s="386">
        <f t="shared" si="9"/>
        <v>0</v>
      </c>
      <c r="M18" s="384"/>
      <c r="O18" s="272">
        <v>14</v>
      </c>
      <c r="P18" s="325">
        <v>4722</v>
      </c>
      <c r="Q18" s="275">
        <v>414</v>
      </c>
      <c r="R18" s="272">
        <v>36</v>
      </c>
      <c r="S18" s="317">
        <v>378</v>
      </c>
      <c r="T18" s="272">
        <v>378</v>
      </c>
      <c r="X18" s="386">
        <f t="shared" si="8"/>
        <v>5015</v>
      </c>
      <c r="Y18" s="384">
        <v>356</v>
      </c>
    </row>
    <row r="19" spans="1:25" x14ac:dyDescent="0.2">
      <c r="A19" s="286">
        <v>13</v>
      </c>
      <c r="B19" s="279">
        <f>'Récap devis'!B19</f>
        <v>43922</v>
      </c>
      <c r="C19" s="272">
        <v>15</v>
      </c>
      <c r="D19" s="325" t="str">
        <f t="shared" ca="1" si="0"/>
        <v/>
      </c>
      <c r="E19" s="275">
        <f t="shared" ca="1" si="10"/>
        <v>0</v>
      </c>
      <c r="F19" s="272">
        <f t="shared" ca="1" si="11"/>
        <v>0</v>
      </c>
      <c r="G19" s="317">
        <f t="shared" ca="1" si="12"/>
        <v>0</v>
      </c>
      <c r="H19" s="272">
        <f t="shared" ca="1" si="13"/>
        <v>0</v>
      </c>
      <c r="I19" s="272">
        <f t="shared" ca="1" si="14"/>
        <v>0</v>
      </c>
      <c r="J19" s="272">
        <f t="shared" ca="1" si="15"/>
        <v>0</v>
      </c>
      <c r="K19" s="272">
        <f t="shared" ca="1" si="16"/>
        <v>0</v>
      </c>
      <c r="L19" s="386">
        <f t="shared" si="9"/>
        <v>0</v>
      </c>
      <c r="M19" s="384"/>
      <c r="O19" s="272">
        <v>15</v>
      </c>
      <c r="P19" s="325">
        <v>5128</v>
      </c>
      <c r="Q19" s="275">
        <v>406</v>
      </c>
      <c r="R19" s="272">
        <v>42</v>
      </c>
      <c r="S19" s="317">
        <v>364</v>
      </c>
      <c r="T19" s="272">
        <v>364</v>
      </c>
      <c r="X19" s="386">
        <f t="shared" si="8"/>
        <v>5365</v>
      </c>
      <c r="Y19" s="384">
        <v>350</v>
      </c>
    </row>
    <row r="20" spans="1:25" x14ac:dyDescent="0.2">
      <c r="A20" s="286">
        <v>14</v>
      </c>
      <c r="B20" s="279">
        <f>'Récap devis'!B20</f>
        <v>43922</v>
      </c>
      <c r="C20" s="272">
        <v>16</v>
      </c>
      <c r="D20" s="325" t="str">
        <f t="shared" ca="1" si="0"/>
        <v/>
      </c>
      <c r="E20" s="275">
        <f t="shared" ca="1" si="10"/>
        <v>0</v>
      </c>
      <c r="F20" s="272">
        <f t="shared" ca="1" si="11"/>
        <v>0</v>
      </c>
      <c r="G20" s="317">
        <f t="shared" ca="1" si="12"/>
        <v>0</v>
      </c>
      <c r="H20" s="272">
        <f t="shared" ca="1" si="13"/>
        <v>0</v>
      </c>
      <c r="I20" s="272">
        <f t="shared" ca="1" si="14"/>
        <v>0</v>
      </c>
      <c r="J20" s="272">
        <f t="shared" ca="1" si="15"/>
        <v>0</v>
      </c>
      <c r="K20" s="272">
        <f t="shared" ca="1" si="16"/>
        <v>0</v>
      </c>
      <c r="L20" s="386">
        <f t="shared" si="9"/>
        <v>0</v>
      </c>
      <c r="M20" s="384"/>
      <c r="O20" s="272">
        <v>16</v>
      </c>
      <c r="P20" s="325">
        <v>5432</v>
      </c>
      <c r="Q20" s="275">
        <v>304</v>
      </c>
      <c r="R20" s="272">
        <v>19</v>
      </c>
      <c r="S20" s="317">
        <v>285</v>
      </c>
      <c r="T20" s="272">
        <v>285</v>
      </c>
      <c r="X20" s="386">
        <f t="shared" si="8"/>
        <v>5734</v>
      </c>
      <c r="Y20" s="384">
        <v>369</v>
      </c>
    </row>
    <row r="21" spans="1:25" x14ac:dyDescent="0.2">
      <c r="A21" s="286">
        <v>15</v>
      </c>
      <c r="B21" s="279">
        <f>'Récap devis'!B21</f>
        <v>43922</v>
      </c>
      <c r="C21" s="272">
        <v>17</v>
      </c>
      <c r="D21" s="325" t="str">
        <f t="shared" ca="1" si="0"/>
        <v/>
      </c>
      <c r="E21" s="275">
        <f t="shared" ca="1" si="10"/>
        <v>0</v>
      </c>
      <c r="F21" s="272">
        <f t="shared" ca="1" si="11"/>
        <v>0</v>
      </c>
      <c r="G21" s="317">
        <f t="shared" ca="1" si="12"/>
        <v>0</v>
      </c>
      <c r="H21" s="272">
        <f t="shared" ca="1" si="13"/>
        <v>0</v>
      </c>
      <c r="I21" s="272">
        <f t="shared" ca="1" si="14"/>
        <v>0</v>
      </c>
      <c r="J21" s="272">
        <f t="shared" ca="1" si="15"/>
        <v>0</v>
      </c>
      <c r="K21" s="272">
        <f t="shared" ca="1" si="16"/>
        <v>0</v>
      </c>
      <c r="L21" s="386">
        <f t="shared" si="9"/>
        <v>0</v>
      </c>
      <c r="M21" s="384"/>
      <c r="O21" s="272">
        <v>17</v>
      </c>
      <c r="P21" s="325">
        <v>5773</v>
      </c>
      <c r="Q21" s="275">
        <v>341</v>
      </c>
      <c r="R21" s="272">
        <v>28</v>
      </c>
      <c r="S21" s="317">
        <v>313</v>
      </c>
      <c r="T21" s="272">
        <v>313</v>
      </c>
      <c r="X21" s="386">
        <f t="shared" si="8"/>
        <v>6040</v>
      </c>
      <c r="Y21" s="384">
        <v>306</v>
      </c>
    </row>
    <row r="22" spans="1:25" x14ac:dyDescent="0.2">
      <c r="A22" s="286">
        <v>16</v>
      </c>
      <c r="B22" s="279">
        <f>'Récap devis'!B22</f>
        <v>43922</v>
      </c>
      <c r="C22" s="282">
        <v>18</v>
      </c>
      <c r="D22" s="327" t="str">
        <f t="shared" ca="1" si="0"/>
        <v/>
      </c>
      <c r="E22" s="285">
        <f t="shared" ca="1" si="10"/>
        <v>0</v>
      </c>
      <c r="F22" s="282">
        <f t="shared" ca="1" si="11"/>
        <v>0</v>
      </c>
      <c r="G22" s="319">
        <f t="shared" ca="1" si="12"/>
        <v>0</v>
      </c>
      <c r="H22" s="282">
        <f t="shared" ca="1" si="13"/>
        <v>0</v>
      </c>
      <c r="I22" s="282">
        <f t="shared" ca="1" si="14"/>
        <v>0</v>
      </c>
      <c r="J22" s="282">
        <f t="shared" ca="1" si="15"/>
        <v>0</v>
      </c>
      <c r="K22" s="282">
        <f t="shared" ca="1" si="16"/>
        <v>0</v>
      </c>
      <c r="L22" s="390">
        <f t="shared" si="9"/>
        <v>0</v>
      </c>
      <c r="M22" s="384"/>
      <c r="O22" s="282">
        <v>18</v>
      </c>
      <c r="P22" s="327">
        <v>6151</v>
      </c>
      <c r="Q22" s="285">
        <v>378</v>
      </c>
      <c r="R22" s="282">
        <v>18</v>
      </c>
      <c r="S22" s="319">
        <v>360</v>
      </c>
      <c r="T22" s="282">
        <v>360</v>
      </c>
      <c r="U22" s="282"/>
      <c r="V22" s="282"/>
      <c r="W22" s="282"/>
      <c r="X22" s="386">
        <f t="shared" si="8"/>
        <v>6318</v>
      </c>
      <c r="Y22" s="384">
        <v>278</v>
      </c>
    </row>
    <row r="23" spans="1:25" hidden="1" outlineLevel="1" x14ac:dyDescent="0.2">
      <c r="A23" s="286">
        <v>17</v>
      </c>
      <c r="B23" s="279">
        <f>'Récap devis'!B23</f>
        <v>43952</v>
      </c>
      <c r="C23" s="272">
        <v>19</v>
      </c>
      <c r="D23" s="325" t="str">
        <f t="shared" ca="1" si="0"/>
        <v/>
      </c>
      <c r="E23" s="275">
        <f t="shared" ca="1" si="10"/>
        <v>0</v>
      </c>
      <c r="F23" s="272">
        <f t="shared" ca="1" si="11"/>
        <v>0</v>
      </c>
      <c r="G23" s="317">
        <f t="shared" ca="1" si="12"/>
        <v>0</v>
      </c>
      <c r="H23" s="272">
        <f t="shared" ca="1" si="13"/>
        <v>0</v>
      </c>
      <c r="I23" s="272">
        <f t="shared" ca="1" si="14"/>
        <v>0</v>
      </c>
      <c r="J23" s="272">
        <f t="shared" ca="1" si="15"/>
        <v>0</v>
      </c>
      <c r="K23" s="272">
        <f t="shared" ca="1" si="16"/>
        <v>0</v>
      </c>
      <c r="L23" s="386">
        <f t="shared" si="9"/>
        <v>0</v>
      </c>
      <c r="M23" s="384"/>
      <c r="O23" s="272">
        <v>19</v>
      </c>
      <c r="P23" s="325">
        <v>6405</v>
      </c>
      <c r="Q23" s="275">
        <v>254</v>
      </c>
      <c r="R23" s="272">
        <v>22</v>
      </c>
      <c r="S23" s="317">
        <v>232</v>
      </c>
      <c r="T23" s="272">
        <v>232</v>
      </c>
      <c r="X23" s="386">
        <f t="shared" si="8"/>
        <v>6613</v>
      </c>
      <c r="Y23" s="384">
        <v>295</v>
      </c>
    </row>
    <row r="24" spans="1:25" hidden="1" outlineLevel="1" x14ac:dyDescent="0.2">
      <c r="A24" s="286">
        <v>18</v>
      </c>
      <c r="B24" s="279">
        <f>'Récap devis'!B24</f>
        <v>43952</v>
      </c>
      <c r="C24" s="272">
        <v>20</v>
      </c>
      <c r="D24" s="325" t="str">
        <f t="shared" ca="1" si="0"/>
        <v/>
      </c>
      <c r="E24" s="275">
        <f t="shared" ca="1" si="10"/>
        <v>0</v>
      </c>
      <c r="F24" s="272">
        <f t="shared" ca="1" si="11"/>
        <v>0</v>
      </c>
      <c r="G24" s="317">
        <f t="shared" ca="1" si="12"/>
        <v>0</v>
      </c>
      <c r="H24" s="272">
        <f t="shared" ca="1" si="13"/>
        <v>0</v>
      </c>
      <c r="I24" s="272">
        <f t="shared" ca="1" si="14"/>
        <v>0</v>
      </c>
      <c r="J24" s="272">
        <f t="shared" ca="1" si="15"/>
        <v>0</v>
      </c>
      <c r="K24" s="272">
        <f t="shared" ca="1" si="16"/>
        <v>0</v>
      </c>
      <c r="L24" s="386">
        <f t="shared" si="9"/>
        <v>0</v>
      </c>
      <c r="M24" s="384"/>
      <c r="O24" s="272">
        <v>20</v>
      </c>
      <c r="P24" s="325">
        <v>6865</v>
      </c>
      <c r="Q24" s="275">
        <v>460</v>
      </c>
      <c r="R24" s="272">
        <v>53</v>
      </c>
      <c r="S24" s="317">
        <v>407</v>
      </c>
      <c r="T24" s="272">
        <v>407</v>
      </c>
      <c r="X24" s="386">
        <f t="shared" si="8"/>
        <v>6991</v>
      </c>
      <c r="Y24" s="384">
        <v>378</v>
      </c>
    </row>
    <row r="25" spans="1:25" hidden="1" outlineLevel="1" x14ac:dyDescent="0.2">
      <c r="A25" s="286">
        <v>19</v>
      </c>
      <c r="B25" s="279">
        <f>'Récap devis'!B25</f>
        <v>43952</v>
      </c>
      <c r="C25" s="272">
        <v>21</v>
      </c>
      <c r="D25" s="325" t="str">
        <f t="shared" ca="1" si="0"/>
        <v/>
      </c>
      <c r="E25" s="275">
        <f t="shared" ca="1" si="10"/>
        <v>0</v>
      </c>
      <c r="F25" s="272">
        <f t="shared" ca="1" si="11"/>
        <v>0</v>
      </c>
      <c r="G25" s="317">
        <f t="shared" ca="1" si="12"/>
        <v>0</v>
      </c>
      <c r="H25" s="272">
        <f t="shared" ca="1" si="13"/>
        <v>0</v>
      </c>
      <c r="I25" s="272">
        <f t="shared" ca="1" si="14"/>
        <v>0</v>
      </c>
      <c r="J25" s="272">
        <f t="shared" ca="1" si="15"/>
        <v>0</v>
      </c>
      <c r="K25" s="272">
        <f t="shared" ca="1" si="16"/>
        <v>0</v>
      </c>
      <c r="L25" s="386">
        <f t="shared" si="9"/>
        <v>0</v>
      </c>
      <c r="M25" s="384"/>
      <c r="O25" s="272">
        <v>21</v>
      </c>
      <c r="P25" s="325">
        <v>7213</v>
      </c>
      <c r="Q25" s="275">
        <v>348</v>
      </c>
      <c r="R25" s="272">
        <v>39</v>
      </c>
      <c r="S25" s="317">
        <v>309</v>
      </c>
      <c r="T25" s="272">
        <v>309</v>
      </c>
      <c r="X25" s="386">
        <f t="shared" si="8"/>
        <v>7379</v>
      </c>
      <c r="Y25" s="384">
        <v>388</v>
      </c>
    </row>
    <row r="26" spans="1:25" hidden="1" outlineLevel="1" x14ac:dyDescent="0.2">
      <c r="A26" s="286">
        <v>20</v>
      </c>
      <c r="B26" s="279">
        <f>'Récap devis'!B26</f>
        <v>43952</v>
      </c>
      <c r="C26" s="282">
        <v>22</v>
      </c>
      <c r="D26" s="327" t="str">
        <f t="shared" ca="1" si="0"/>
        <v/>
      </c>
      <c r="E26" s="285">
        <f t="shared" ca="1" si="10"/>
        <v>0</v>
      </c>
      <c r="F26" s="282">
        <f t="shared" ca="1" si="11"/>
        <v>0</v>
      </c>
      <c r="G26" s="319">
        <f t="shared" ca="1" si="12"/>
        <v>0</v>
      </c>
      <c r="H26" s="282">
        <f t="shared" ca="1" si="13"/>
        <v>0</v>
      </c>
      <c r="I26" s="282">
        <f t="shared" ca="1" si="14"/>
        <v>0</v>
      </c>
      <c r="J26" s="282">
        <f t="shared" ca="1" si="15"/>
        <v>0</v>
      </c>
      <c r="K26" s="282">
        <f t="shared" ca="1" si="16"/>
        <v>0</v>
      </c>
      <c r="L26" s="390">
        <f t="shared" si="9"/>
        <v>0</v>
      </c>
      <c r="M26" s="384"/>
      <c r="O26" s="282">
        <v>22</v>
      </c>
      <c r="P26" s="327">
        <v>7500</v>
      </c>
      <c r="Q26" s="285">
        <v>287</v>
      </c>
      <c r="R26" s="282">
        <v>33</v>
      </c>
      <c r="S26" s="319">
        <v>254</v>
      </c>
      <c r="T26" s="282">
        <v>254</v>
      </c>
      <c r="U26" s="282"/>
      <c r="V26" s="282"/>
      <c r="W26" s="282"/>
      <c r="X26" s="386">
        <f t="shared" si="8"/>
        <v>7629</v>
      </c>
      <c r="Y26" s="384">
        <v>250</v>
      </c>
    </row>
    <row r="27" spans="1:25" hidden="1" outlineLevel="1" x14ac:dyDescent="0.2">
      <c r="A27" s="286">
        <v>21</v>
      </c>
      <c r="B27" s="279">
        <f>'Récap devis'!B27</f>
        <v>43983</v>
      </c>
      <c r="C27" s="272">
        <v>23</v>
      </c>
      <c r="D27" s="325" t="str">
        <f t="shared" ca="1" si="0"/>
        <v/>
      </c>
      <c r="E27" s="275">
        <f t="shared" ca="1" si="10"/>
        <v>0</v>
      </c>
      <c r="F27" s="272">
        <f t="shared" ca="1" si="11"/>
        <v>0</v>
      </c>
      <c r="G27" s="317">
        <f t="shared" ca="1" si="12"/>
        <v>0</v>
      </c>
      <c r="H27" s="272">
        <f t="shared" ca="1" si="13"/>
        <v>0</v>
      </c>
      <c r="I27" s="272">
        <f t="shared" ca="1" si="14"/>
        <v>0</v>
      </c>
      <c r="J27" s="272">
        <f t="shared" ca="1" si="15"/>
        <v>0</v>
      </c>
      <c r="K27" s="272">
        <f t="shared" ca="1" si="16"/>
        <v>0</v>
      </c>
      <c r="L27" s="386">
        <f t="shared" si="9"/>
        <v>0</v>
      </c>
      <c r="M27" s="384"/>
      <c r="O27" s="272">
        <v>23</v>
      </c>
      <c r="P27" s="325">
        <v>7947</v>
      </c>
      <c r="Q27" s="275">
        <v>447</v>
      </c>
      <c r="R27" s="272">
        <v>36</v>
      </c>
      <c r="S27" s="317">
        <v>411</v>
      </c>
      <c r="T27" s="272">
        <v>411</v>
      </c>
      <c r="X27" s="386">
        <f t="shared" si="8"/>
        <v>7989</v>
      </c>
      <c r="Y27" s="384">
        <v>360</v>
      </c>
    </row>
    <row r="28" spans="1:25" hidden="1" outlineLevel="1" x14ac:dyDescent="0.2">
      <c r="A28" s="286">
        <v>22</v>
      </c>
      <c r="B28" s="279">
        <f>'Récap devis'!B28</f>
        <v>43983</v>
      </c>
      <c r="C28" s="272">
        <v>24</v>
      </c>
      <c r="D28" s="325" t="str">
        <f t="shared" ca="1" si="0"/>
        <v/>
      </c>
      <c r="E28" s="275">
        <f t="shared" ca="1" si="10"/>
        <v>0</v>
      </c>
      <c r="F28" s="272">
        <f t="shared" ca="1" si="11"/>
        <v>0</v>
      </c>
      <c r="G28" s="317">
        <f t="shared" ca="1" si="12"/>
        <v>0</v>
      </c>
      <c r="H28" s="272">
        <f t="shared" ca="1" si="13"/>
        <v>0</v>
      </c>
      <c r="I28" s="272">
        <f t="shared" ca="1" si="14"/>
        <v>0</v>
      </c>
      <c r="J28" s="272">
        <f t="shared" ca="1" si="15"/>
        <v>0</v>
      </c>
      <c r="K28" s="272">
        <f t="shared" ca="1" si="16"/>
        <v>0</v>
      </c>
      <c r="L28" s="386">
        <f t="shared" si="9"/>
        <v>0</v>
      </c>
      <c r="M28" s="384"/>
      <c r="O28" s="272">
        <v>24</v>
      </c>
      <c r="P28" s="325">
        <v>8342</v>
      </c>
      <c r="Q28" s="275">
        <v>395</v>
      </c>
      <c r="R28" s="272">
        <v>55</v>
      </c>
      <c r="S28" s="317">
        <v>340</v>
      </c>
      <c r="T28" s="272">
        <v>340</v>
      </c>
      <c r="X28" s="386">
        <f t="shared" si="8"/>
        <v>8291</v>
      </c>
      <c r="Y28" s="384">
        <v>302</v>
      </c>
    </row>
    <row r="29" spans="1:25" hidden="1" outlineLevel="1" x14ac:dyDescent="0.2">
      <c r="A29" s="286">
        <v>23</v>
      </c>
      <c r="B29" s="279">
        <f>'Récap devis'!B29</f>
        <v>43983</v>
      </c>
      <c r="C29" s="272">
        <v>25</v>
      </c>
      <c r="D29" s="325" t="str">
        <f t="shared" ca="1" si="0"/>
        <v/>
      </c>
      <c r="E29" s="275">
        <f t="shared" ca="1" si="10"/>
        <v>0</v>
      </c>
      <c r="F29" s="272">
        <f t="shared" ca="1" si="11"/>
        <v>0</v>
      </c>
      <c r="G29" s="317">
        <f t="shared" ca="1" si="12"/>
        <v>0</v>
      </c>
      <c r="H29" s="272">
        <f t="shared" ca="1" si="13"/>
        <v>0</v>
      </c>
      <c r="I29" s="272">
        <f t="shared" ca="1" si="14"/>
        <v>0</v>
      </c>
      <c r="J29" s="272">
        <f t="shared" ca="1" si="15"/>
        <v>0</v>
      </c>
      <c r="K29" s="272">
        <f t="shared" ca="1" si="16"/>
        <v>0</v>
      </c>
      <c r="L29" s="386">
        <f t="shared" si="9"/>
        <v>0</v>
      </c>
      <c r="M29" s="384"/>
      <c r="O29" s="272">
        <v>25</v>
      </c>
      <c r="P29" s="325">
        <v>8718</v>
      </c>
      <c r="Q29" s="275">
        <v>376</v>
      </c>
      <c r="R29" s="272">
        <v>39</v>
      </c>
      <c r="S29" s="317">
        <v>337</v>
      </c>
      <c r="T29" s="272">
        <v>337</v>
      </c>
      <c r="X29" s="386">
        <f t="shared" si="8"/>
        <v>8644</v>
      </c>
      <c r="Y29" s="384">
        <v>353</v>
      </c>
    </row>
    <row r="30" spans="1:25" hidden="1" outlineLevel="1" x14ac:dyDescent="0.2">
      <c r="A30" s="286">
        <v>24</v>
      </c>
      <c r="B30" s="279">
        <f>'Récap devis'!B30</f>
        <v>43983</v>
      </c>
      <c r="C30" s="282">
        <v>26</v>
      </c>
      <c r="D30" s="327" t="str">
        <f t="shared" ca="1" si="0"/>
        <v/>
      </c>
      <c r="E30" s="285">
        <f t="shared" ca="1" si="10"/>
        <v>0</v>
      </c>
      <c r="F30" s="282">
        <f t="shared" ca="1" si="11"/>
        <v>0</v>
      </c>
      <c r="G30" s="319">
        <f t="shared" ca="1" si="12"/>
        <v>0</v>
      </c>
      <c r="H30" s="282">
        <f t="shared" ca="1" si="13"/>
        <v>0</v>
      </c>
      <c r="I30" s="282">
        <f t="shared" ca="1" si="14"/>
        <v>0</v>
      </c>
      <c r="J30" s="282">
        <f t="shared" ca="1" si="15"/>
        <v>0</v>
      </c>
      <c r="K30" s="282">
        <f t="shared" ca="1" si="16"/>
        <v>0</v>
      </c>
      <c r="L30" s="390">
        <f t="shared" si="9"/>
        <v>0</v>
      </c>
      <c r="M30" s="384"/>
      <c r="O30" s="282">
        <v>26</v>
      </c>
      <c r="P30" s="327">
        <v>8957</v>
      </c>
      <c r="Q30" s="285">
        <v>239</v>
      </c>
      <c r="R30" s="282">
        <v>30</v>
      </c>
      <c r="S30" s="319">
        <v>209</v>
      </c>
      <c r="T30" s="282">
        <v>209</v>
      </c>
      <c r="U30" s="282"/>
      <c r="V30" s="282"/>
      <c r="W30" s="282"/>
      <c r="X30" s="386">
        <f t="shared" si="8"/>
        <v>9010</v>
      </c>
      <c r="Y30" s="384">
        <v>366</v>
      </c>
    </row>
    <row r="31" spans="1:25" hidden="1" outlineLevel="1" x14ac:dyDescent="0.2">
      <c r="A31" s="286">
        <v>25</v>
      </c>
      <c r="B31" s="279">
        <f>'Récap devis'!B31</f>
        <v>44013</v>
      </c>
      <c r="C31" s="272">
        <v>27</v>
      </c>
      <c r="D31" s="325" t="str">
        <f t="shared" ca="1" si="0"/>
        <v/>
      </c>
      <c r="E31" s="275">
        <f t="shared" ca="1" si="10"/>
        <v>0</v>
      </c>
      <c r="F31" s="272">
        <f t="shared" ca="1" si="11"/>
        <v>0</v>
      </c>
      <c r="G31" s="317">
        <f t="shared" ca="1" si="12"/>
        <v>0</v>
      </c>
      <c r="H31" s="272">
        <f t="shared" ca="1" si="13"/>
        <v>0</v>
      </c>
      <c r="I31" s="272">
        <f t="shared" ca="1" si="14"/>
        <v>0</v>
      </c>
      <c r="J31" s="272">
        <f t="shared" ca="1" si="15"/>
        <v>0</v>
      </c>
      <c r="K31" s="272">
        <f t="shared" ca="1" si="16"/>
        <v>0</v>
      </c>
      <c r="L31" s="386">
        <f t="shared" si="9"/>
        <v>0</v>
      </c>
      <c r="M31" s="384"/>
      <c r="O31" s="272">
        <v>27</v>
      </c>
      <c r="P31" s="325">
        <v>9323</v>
      </c>
      <c r="Q31" s="275">
        <v>366</v>
      </c>
      <c r="R31" s="272">
        <v>42</v>
      </c>
      <c r="S31" s="317">
        <v>324</v>
      </c>
      <c r="T31" s="272">
        <v>324</v>
      </c>
      <c r="X31" s="386">
        <f t="shared" si="8"/>
        <v>9323</v>
      </c>
      <c r="Y31" s="384">
        <v>313</v>
      </c>
    </row>
    <row r="32" spans="1:25" hidden="1" outlineLevel="1" x14ac:dyDescent="0.2">
      <c r="A32" s="286">
        <v>26</v>
      </c>
      <c r="B32" s="279">
        <f>'Récap devis'!B32</f>
        <v>44013</v>
      </c>
      <c r="C32" s="272">
        <v>28</v>
      </c>
      <c r="D32" s="325" t="str">
        <f t="shared" ca="1" si="0"/>
        <v/>
      </c>
      <c r="E32" s="275">
        <f t="shared" ca="1" si="10"/>
        <v>0</v>
      </c>
      <c r="F32" s="272">
        <f t="shared" ca="1" si="11"/>
        <v>0</v>
      </c>
      <c r="G32" s="317">
        <f t="shared" ca="1" si="12"/>
        <v>0</v>
      </c>
      <c r="H32" s="272">
        <f t="shared" ca="1" si="13"/>
        <v>0</v>
      </c>
      <c r="I32" s="272">
        <f t="shared" ca="1" si="14"/>
        <v>0</v>
      </c>
      <c r="J32" s="272">
        <f t="shared" ca="1" si="15"/>
        <v>0</v>
      </c>
      <c r="K32" s="272">
        <f t="shared" ca="1" si="16"/>
        <v>0</v>
      </c>
      <c r="L32" s="386">
        <f t="shared" si="9"/>
        <v>0</v>
      </c>
      <c r="M32" s="384"/>
      <c r="O32" s="272">
        <v>28</v>
      </c>
      <c r="P32" s="325">
        <v>9603</v>
      </c>
      <c r="Q32" s="275">
        <v>280</v>
      </c>
      <c r="R32" s="272">
        <v>48</v>
      </c>
      <c r="S32" s="317">
        <v>232</v>
      </c>
      <c r="T32" s="272">
        <v>232</v>
      </c>
      <c r="X32" s="386">
        <f t="shared" si="8"/>
        <v>9642</v>
      </c>
      <c r="Y32" s="384">
        <v>319</v>
      </c>
    </row>
    <row r="33" spans="1:25" hidden="1" outlineLevel="1" x14ac:dyDescent="0.2">
      <c r="A33" s="286">
        <v>27</v>
      </c>
      <c r="B33" s="279">
        <f>'Récap devis'!B33</f>
        <v>44013</v>
      </c>
      <c r="C33" s="272">
        <v>29</v>
      </c>
      <c r="D33" s="325" t="str">
        <f t="shared" ca="1" si="0"/>
        <v/>
      </c>
      <c r="E33" s="275">
        <f t="shared" ca="1" si="10"/>
        <v>0</v>
      </c>
      <c r="F33" s="272">
        <f t="shared" ca="1" si="11"/>
        <v>0</v>
      </c>
      <c r="G33" s="317">
        <f t="shared" ca="1" si="12"/>
        <v>0</v>
      </c>
      <c r="H33" s="272">
        <f t="shared" ca="1" si="13"/>
        <v>0</v>
      </c>
      <c r="I33" s="272">
        <f t="shared" ca="1" si="14"/>
        <v>0</v>
      </c>
      <c r="J33" s="272">
        <f t="shared" ca="1" si="15"/>
        <v>0</v>
      </c>
      <c r="K33" s="272">
        <f t="shared" ca="1" si="16"/>
        <v>0</v>
      </c>
      <c r="L33" s="386">
        <f t="shared" si="9"/>
        <v>0</v>
      </c>
      <c r="M33" s="384"/>
      <c r="O33" s="272">
        <v>29</v>
      </c>
      <c r="P33" s="325">
        <v>9922</v>
      </c>
      <c r="Q33" s="275">
        <v>319</v>
      </c>
      <c r="R33" s="272">
        <v>54</v>
      </c>
      <c r="S33" s="317">
        <v>265</v>
      </c>
      <c r="T33" s="272">
        <v>265</v>
      </c>
      <c r="X33" s="386">
        <f t="shared" si="8"/>
        <v>9971</v>
      </c>
      <c r="Y33" s="384">
        <v>329</v>
      </c>
    </row>
    <row r="34" spans="1:25" hidden="1" outlineLevel="1" x14ac:dyDescent="0.2">
      <c r="A34" s="286">
        <v>28</v>
      </c>
      <c r="B34" s="279">
        <f>'Récap devis'!B34</f>
        <v>44013</v>
      </c>
      <c r="C34" s="272">
        <v>30</v>
      </c>
      <c r="D34" s="325" t="str">
        <f t="shared" ca="1" si="0"/>
        <v/>
      </c>
      <c r="E34" s="275">
        <f t="shared" ca="1" si="10"/>
        <v>0</v>
      </c>
      <c r="F34" s="272">
        <f t="shared" ca="1" si="11"/>
        <v>0</v>
      </c>
      <c r="G34" s="317">
        <f t="shared" ca="1" si="12"/>
        <v>0</v>
      </c>
      <c r="H34" s="272">
        <f t="shared" ca="1" si="13"/>
        <v>0</v>
      </c>
      <c r="I34" s="272">
        <f t="shared" ca="1" si="14"/>
        <v>0</v>
      </c>
      <c r="J34" s="272">
        <f t="shared" ca="1" si="15"/>
        <v>0</v>
      </c>
      <c r="K34" s="272">
        <f t="shared" ca="1" si="16"/>
        <v>0</v>
      </c>
      <c r="L34" s="386">
        <f t="shared" si="9"/>
        <v>0</v>
      </c>
      <c r="M34" s="384"/>
      <c r="O34" s="272">
        <v>30</v>
      </c>
      <c r="P34" s="325">
        <v>10267</v>
      </c>
      <c r="Q34" s="275">
        <v>345</v>
      </c>
      <c r="R34" s="272">
        <v>25</v>
      </c>
      <c r="S34" s="317">
        <v>320</v>
      </c>
      <c r="T34" s="272">
        <v>320</v>
      </c>
      <c r="X34" s="386">
        <f t="shared" si="8"/>
        <v>10324</v>
      </c>
      <c r="Y34" s="384">
        <v>353</v>
      </c>
    </row>
    <row r="35" spans="1:25" hidden="1" outlineLevel="1" x14ac:dyDescent="0.2">
      <c r="A35" s="286">
        <v>29</v>
      </c>
      <c r="B35" s="279">
        <f>'Récap devis'!B35</f>
        <v>44013</v>
      </c>
      <c r="C35" s="282">
        <v>31</v>
      </c>
      <c r="D35" s="327" t="str">
        <f t="shared" ca="1" si="0"/>
        <v/>
      </c>
      <c r="E35" s="285">
        <f t="shared" ca="1" si="10"/>
        <v>0</v>
      </c>
      <c r="F35" s="282">
        <f t="shared" ca="1" si="11"/>
        <v>0</v>
      </c>
      <c r="G35" s="319">
        <f t="shared" ca="1" si="12"/>
        <v>0</v>
      </c>
      <c r="H35" s="282">
        <f t="shared" ca="1" si="13"/>
        <v>0</v>
      </c>
      <c r="I35" s="282">
        <f t="shared" ca="1" si="14"/>
        <v>0</v>
      </c>
      <c r="J35" s="282">
        <f t="shared" ca="1" si="15"/>
        <v>0</v>
      </c>
      <c r="K35" s="282">
        <f t="shared" ca="1" si="16"/>
        <v>0</v>
      </c>
      <c r="L35" s="390">
        <f t="shared" si="9"/>
        <v>0</v>
      </c>
      <c r="M35" s="384"/>
      <c r="O35" s="282">
        <v>31</v>
      </c>
      <c r="P35" s="327">
        <v>10629</v>
      </c>
      <c r="Q35" s="285">
        <v>362</v>
      </c>
      <c r="R35" s="282">
        <v>40</v>
      </c>
      <c r="S35" s="319">
        <v>322</v>
      </c>
      <c r="T35" s="282">
        <v>322</v>
      </c>
      <c r="U35" s="282"/>
      <c r="V35" s="282"/>
      <c r="W35" s="282"/>
      <c r="X35" s="386">
        <f t="shared" si="8"/>
        <v>10648</v>
      </c>
      <c r="Y35" s="384">
        <v>324</v>
      </c>
    </row>
    <row r="36" spans="1:25" hidden="1" outlineLevel="1" x14ac:dyDescent="0.2">
      <c r="A36" s="286">
        <v>30</v>
      </c>
      <c r="B36" s="279">
        <f>'Récap devis'!B36</f>
        <v>44044</v>
      </c>
      <c r="C36" s="272">
        <v>32</v>
      </c>
      <c r="D36" s="325" t="str">
        <f t="shared" ca="1" si="0"/>
        <v/>
      </c>
      <c r="E36" s="275">
        <f t="shared" ca="1" si="10"/>
        <v>0</v>
      </c>
      <c r="F36" s="272">
        <f t="shared" ca="1" si="11"/>
        <v>0</v>
      </c>
      <c r="G36" s="317">
        <f t="shared" ca="1" si="12"/>
        <v>0</v>
      </c>
      <c r="H36" s="272">
        <f t="shared" ca="1" si="13"/>
        <v>0</v>
      </c>
      <c r="I36" s="272">
        <f t="shared" ca="1" si="14"/>
        <v>0</v>
      </c>
      <c r="J36" s="272">
        <f t="shared" ca="1" si="15"/>
        <v>0</v>
      </c>
      <c r="K36" s="272">
        <f t="shared" ca="1" si="16"/>
        <v>0</v>
      </c>
      <c r="L36" s="386">
        <f t="shared" si="9"/>
        <v>0</v>
      </c>
      <c r="M36" s="384"/>
      <c r="O36" s="272">
        <v>32</v>
      </c>
      <c r="P36" s="325">
        <v>10629</v>
      </c>
      <c r="Q36" s="275">
        <v>0</v>
      </c>
      <c r="S36" s="317">
        <v>0</v>
      </c>
      <c r="X36" s="386">
        <f t="shared" si="8"/>
        <v>10950</v>
      </c>
      <c r="Y36" s="384">
        <v>302</v>
      </c>
    </row>
    <row r="37" spans="1:25" hidden="1" outlineLevel="1" x14ac:dyDescent="0.2">
      <c r="A37" s="286">
        <v>31</v>
      </c>
      <c r="B37" s="279">
        <f>'Récap devis'!B37</f>
        <v>44044</v>
      </c>
      <c r="C37" s="272">
        <v>33</v>
      </c>
      <c r="D37" s="325" t="str">
        <f t="shared" ca="1" si="0"/>
        <v/>
      </c>
      <c r="E37" s="275">
        <f t="shared" ca="1" si="10"/>
        <v>0</v>
      </c>
      <c r="F37" s="272">
        <f t="shared" ca="1" si="11"/>
        <v>0</v>
      </c>
      <c r="G37" s="316">
        <f t="shared" ca="1" si="12"/>
        <v>0</v>
      </c>
      <c r="H37" s="272">
        <f t="shared" ca="1" si="13"/>
        <v>0</v>
      </c>
      <c r="I37" s="272">
        <f t="shared" ca="1" si="14"/>
        <v>0</v>
      </c>
      <c r="J37" s="272">
        <f t="shared" ca="1" si="15"/>
        <v>0</v>
      </c>
      <c r="K37" s="272">
        <f t="shared" ca="1" si="16"/>
        <v>0</v>
      </c>
      <c r="L37" s="386">
        <f t="shared" si="9"/>
        <v>0</v>
      </c>
      <c r="M37" s="384"/>
      <c r="O37" s="272">
        <v>33</v>
      </c>
      <c r="P37" s="325">
        <v>10629</v>
      </c>
      <c r="Q37" s="275">
        <v>0</v>
      </c>
      <c r="S37" s="316">
        <v>0</v>
      </c>
      <c r="X37" s="386">
        <f t="shared" si="8"/>
        <v>11271</v>
      </c>
      <c r="Y37" s="384">
        <v>321</v>
      </c>
    </row>
    <row r="38" spans="1:25" hidden="1" outlineLevel="1" x14ac:dyDescent="0.2">
      <c r="A38" s="286">
        <v>32</v>
      </c>
      <c r="B38" s="279">
        <f>'Récap devis'!B38</f>
        <v>44044</v>
      </c>
      <c r="C38" s="272">
        <v>34</v>
      </c>
      <c r="D38" s="325" t="str">
        <f t="shared" ca="1" si="0"/>
        <v/>
      </c>
      <c r="E38" s="275">
        <f t="shared" ca="1" si="10"/>
        <v>0</v>
      </c>
      <c r="F38" s="272">
        <f t="shared" ca="1" si="11"/>
        <v>0</v>
      </c>
      <c r="G38" s="316">
        <f t="shared" ca="1" si="12"/>
        <v>0</v>
      </c>
      <c r="H38" s="272">
        <f t="shared" ca="1" si="13"/>
        <v>0</v>
      </c>
      <c r="I38" s="272">
        <f t="shared" ca="1" si="14"/>
        <v>0</v>
      </c>
      <c r="J38" s="272">
        <f t="shared" ca="1" si="15"/>
        <v>0</v>
      </c>
      <c r="K38" s="272">
        <f t="shared" ca="1" si="16"/>
        <v>0</v>
      </c>
      <c r="L38" s="386">
        <f t="shared" si="9"/>
        <v>0</v>
      </c>
      <c r="M38" s="384"/>
      <c r="O38" s="272">
        <v>34</v>
      </c>
      <c r="P38" s="325">
        <v>10629</v>
      </c>
      <c r="Q38" s="275">
        <v>0</v>
      </c>
      <c r="S38" s="316">
        <v>0</v>
      </c>
      <c r="X38" s="386">
        <f t="shared" si="8"/>
        <v>11574</v>
      </c>
      <c r="Y38" s="384">
        <v>303</v>
      </c>
    </row>
    <row r="39" spans="1:25" hidden="1" outlineLevel="1" x14ac:dyDescent="0.2">
      <c r="A39" s="286">
        <v>33</v>
      </c>
      <c r="B39" s="279">
        <f>'Récap devis'!B39</f>
        <v>44044</v>
      </c>
      <c r="C39" s="282">
        <v>35</v>
      </c>
      <c r="D39" s="327" t="str">
        <f t="shared" ca="1" si="0"/>
        <v/>
      </c>
      <c r="E39" s="285">
        <f t="shared" ca="1" si="10"/>
        <v>0</v>
      </c>
      <c r="F39" s="282">
        <f t="shared" ca="1" si="11"/>
        <v>0</v>
      </c>
      <c r="G39" s="320">
        <f t="shared" ca="1" si="12"/>
        <v>0</v>
      </c>
      <c r="H39" s="282">
        <f t="shared" ca="1" si="13"/>
        <v>0</v>
      </c>
      <c r="I39" s="282">
        <f t="shared" ca="1" si="14"/>
        <v>0</v>
      </c>
      <c r="J39" s="282">
        <f t="shared" ca="1" si="15"/>
        <v>0</v>
      </c>
      <c r="K39" s="282">
        <f t="shared" ca="1" si="16"/>
        <v>0</v>
      </c>
      <c r="L39" s="390">
        <f t="shared" si="9"/>
        <v>0</v>
      </c>
      <c r="M39" s="384"/>
      <c r="O39" s="282">
        <v>35</v>
      </c>
      <c r="P39" s="327">
        <v>10939</v>
      </c>
      <c r="Q39" s="285">
        <v>310</v>
      </c>
      <c r="R39" s="282">
        <v>25</v>
      </c>
      <c r="S39" s="320">
        <v>285</v>
      </c>
      <c r="T39" s="282">
        <v>285</v>
      </c>
      <c r="U39" s="282"/>
      <c r="V39" s="282"/>
      <c r="W39" s="282"/>
      <c r="X39" s="386">
        <f t="shared" si="8"/>
        <v>11929</v>
      </c>
      <c r="Y39" s="384">
        <v>355</v>
      </c>
    </row>
    <row r="40" spans="1:25" hidden="1" outlineLevel="1" x14ac:dyDescent="0.2">
      <c r="A40" s="286">
        <v>34</v>
      </c>
      <c r="B40" s="279">
        <f>'Récap devis'!B40</f>
        <v>44075</v>
      </c>
      <c r="C40" s="272">
        <v>36</v>
      </c>
      <c r="D40" s="325" t="str">
        <f t="shared" ca="1" si="0"/>
        <v/>
      </c>
      <c r="E40" s="275">
        <f t="shared" ca="1" si="10"/>
        <v>0</v>
      </c>
      <c r="F40" s="272">
        <f t="shared" ca="1" si="11"/>
        <v>0</v>
      </c>
      <c r="G40" s="317">
        <f t="shared" ca="1" si="12"/>
        <v>0</v>
      </c>
      <c r="H40" s="272">
        <f t="shared" ca="1" si="13"/>
        <v>0</v>
      </c>
      <c r="I40" s="272">
        <f t="shared" ca="1" si="14"/>
        <v>0</v>
      </c>
      <c r="J40" s="272">
        <f t="shared" ca="1" si="15"/>
        <v>0</v>
      </c>
      <c r="K40" s="272">
        <f t="shared" ca="1" si="16"/>
        <v>0</v>
      </c>
      <c r="L40" s="386">
        <f t="shared" si="9"/>
        <v>0</v>
      </c>
      <c r="M40" s="384"/>
      <c r="O40" s="272">
        <v>36</v>
      </c>
      <c r="P40" s="325">
        <v>11288</v>
      </c>
      <c r="Q40" s="275">
        <v>349</v>
      </c>
      <c r="R40" s="272">
        <v>32</v>
      </c>
      <c r="S40" s="317">
        <v>317</v>
      </c>
      <c r="T40" s="272">
        <v>317</v>
      </c>
      <c r="X40" s="386">
        <f t="shared" si="8"/>
        <v>11929</v>
      </c>
      <c r="Y40" s="384"/>
    </row>
    <row r="41" spans="1:25" hidden="1" outlineLevel="1" x14ac:dyDescent="0.2">
      <c r="A41" s="286">
        <v>35</v>
      </c>
      <c r="B41" s="279">
        <f>'Récap devis'!B41</f>
        <v>44075</v>
      </c>
      <c r="C41" s="272">
        <v>37</v>
      </c>
      <c r="D41" s="325" t="str">
        <f t="shared" ca="1" si="0"/>
        <v/>
      </c>
      <c r="E41" s="275">
        <f t="shared" ca="1" si="10"/>
        <v>0</v>
      </c>
      <c r="F41" s="272">
        <f t="shared" ca="1" si="11"/>
        <v>0</v>
      </c>
      <c r="G41" s="317">
        <f t="shared" ca="1" si="12"/>
        <v>0</v>
      </c>
      <c r="H41" s="272">
        <f t="shared" ca="1" si="13"/>
        <v>0</v>
      </c>
      <c r="I41" s="272">
        <f t="shared" ca="1" si="14"/>
        <v>0</v>
      </c>
      <c r="J41" s="272">
        <f t="shared" ca="1" si="15"/>
        <v>0</v>
      </c>
      <c r="K41" s="272">
        <f t="shared" ca="1" si="16"/>
        <v>0</v>
      </c>
      <c r="L41" s="386">
        <f t="shared" si="9"/>
        <v>0</v>
      </c>
      <c r="M41" s="384"/>
      <c r="O41" s="272">
        <v>37</v>
      </c>
      <c r="P41" s="325">
        <v>11592</v>
      </c>
      <c r="Q41" s="275">
        <v>304</v>
      </c>
      <c r="R41" s="272">
        <v>29</v>
      </c>
      <c r="S41" s="317">
        <v>275</v>
      </c>
      <c r="T41" s="272">
        <v>275</v>
      </c>
      <c r="X41" s="386">
        <f t="shared" si="8"/>
        <v>11929</v>
      </c>
      <c r="Y41" s="384"/>
    </row>
    <row r="42" spans="1:25" hidden="1" outlineLevel="1" x14ac:dyDescent="0.2">
      <c r="A42" s="286">
        <v>36</v>
      </c>
      <c r="B42" s="279">
        <f>'Récap devis'!B42</f>
        <v>44075</v>
      </c>
      <c r="C42" s="272">
        <v>38</v>
      </c>
      <c r="D42" s="325" t="str">
        <f t="shared" ca="1" si="0"/>
        <v/>
      </c>
      <c r="E42" s="275">
        <f t="shared" ca="1" si="10"/>
        <v>0</v>
      </c>
      <c r="F42" s="272">
        <f t="shared" ca="1" si="11"/>
        <v>0</v>
      </c>
      <c r="G42" s="317">
        <f t="shared" ca="1" si="12"/>
        <v>0</v>
      </c>
      <c r="H42" s="272">
        <f t="shared" ca="1" si="13"/>
        <v>0</v>
      </c>
      <c r="I42" s="272">
        <f t="shared" ca="1" si="14"/>
        <v>0</v>
      </c>
      <c r="J42" s="272">
        <f t="shared" ca="1" si="15"/>
        <v>0</v>
      </c>
      <c r="K42" s="272">
        <f t="shared" ca="1" si="16"/>
        <v>0</v>
      </c>
      <c r="L42" s="386">
        <f t="shared" si="9"/>
        <v>0</v>
      </c>
      <c r="M42" s="384"/>
      <c r="O42" s="272">
        <v>38</v>
      </c>
      <c r="P42" s="325">
        <v>11983</v>
      </c>
      <c r="Q42" s="275">
        <v>391</v>
      </c>
      <c r="R42" s="272">
        <v>60</v>
      </c>
      <c r="S42" s="317">
        <v>331</v>
      </c>
      <c r="T42" s="272">
        <v>331</v>
      </c>
      <c r="X42" s="386">
        <f t="shared" si="8"/>
        <v>11929</v>
      </c>
      <c r="Y42" s="384"/>
    </row>
    <row r="43" spans="1:25" hidden="1" outlineLevel="1" x14ac:dyDescent="0.2">
      <c r="A43" s="286">
        <v>37</v>
      </c>
      <c r="B43" s="279">
        <f>'Récap devis'!B43</f>
        <v>44075</v>
      </c>
      <c r="C43" s="272">
        <v>39</v>
      </c>
      <c r="D43" s="325" t="str">
        <f t="shared" ca="1" si="0"/>
        <v/>
      </c>
      <c r="E43" s="275">
        <f t="shared" ca="1" si="10"/>
        <v>0</v>
      </c>
      <c r="F43" s="272">
        <f t="shared" ca="1" si="11"/>
        <v>0</v>
      </c>
      <c r="G43" s="317">
        <f t="shared" ca="1" si="12"/>
        <v>0</v>
      </c>
      <c r="H43" s="272">
        <f t="shared" ca="1" si="13"/>
        <v>0</v>
      </c>
      <c r="I43" s="272">
        <f t="shared" ca="1" si="14"/>
        <v>0</v>
      </c>
      <c r="J43" s="272">
        <f t="shared" ca="1" si="15"/>
        <v>0</v>
      </c>
      <c r="K43" s="272">
        <f t="shared" ca="1" si="16"/>
        <v>0</v>
      </c>
      <c r="L43" s="386">
        <f t="shared" si="9"/>
        <v>0</v>
      </c>
      <c r="M43" s="384"/>
      <c r="O43" s="272">
        <v>39</v>
      </c>
      <c r="P43" s="325">
        <v>12278</v>
      </c>
      <c r="Q43" s="275">
        <v>295</v>
      </c>
      <c r="R43" s="272">
        <v>46</v>
      </c>
      <c r="S43" s="317">
        <v>249</v>
      </c>
      <c r="T43" s="272">
        <v>249</v>
      </c>
      <c r="X43" s="386">
        <f t="shared" si="8"/>
        <v>11929</v>
      </c>
      <c r="Y43" s="384"/>
    </row>
    <row r="44" spans="1:25" hidden="1" outlineLevel="1" x14ac:dyDescent="0.2">
      <c r="A44" s="286">
        <v>38</v>
      </c>
      <c r="B44" s="279">
        <f>'Récap devis'!B44</f>
        <v>44075</v>
      </c>
      <c r="C44" s="282">
        <v>40</v>
      </c>
      <c r="D44" s="327" t="str">
        <f t="shared" ca="1" si="0"/>
        <v/>
      </c>
      <c r="E44" s="285">
        <f t="shared" ca="1" si="10"/>
        <v>0</v>
      </c>
      <c r="F44" s="282">
        <f t="shared" ca="1" si="11"/>
        <v>0</v>
      </c>
      <c r="G44" s="319">
        <f t="shared" ca="1" si="12"/>
        <v>0</v>
      </c>
      <c r="H44" s="282">
        <f t="shared" ca="1" si="13"/>
        <v>0</v>
      </c>
      <c r="I44" s="282">
        <f t="shared" ca="1" si="14"/>
        <v>0</v>
      </c>
      <c r="J44" s="282">
        <f t="shared" ca="1" si="15"/>
        <v>0</v>
      </c>
      <c r="K44" s="282">
        <f t="shared" ca="1" si="16"/>
        <v>0</v>
      </c>
      <c r="L44" s="390">
        <f t="shared" si="9"/>
        <v>0</v>
      </c>
      <c r="M44" s="384"/>
      <c r="O44" s="282">
        <v>40</v>
      </c>
      <c r="P44" s="327">
        <v>12647</v>
      </c>
      <c r="Q44" s="285">
        <v>369</v>
      </c>
      <c r="R44" s="282">
        <v>33</v>
      </c>
      <c r="S44" s="319">
        <v>336</v>
      </c>
      <c r="T44" s="282">
        <v>336</v>
      </c>
      <c r="U44" s="282"/>
      <c r="V44" s="282"/>
      <c r="W44" s="282"/>
      <c r="X44" s="386">
        <f t="shared" si="8"/>
        <v>12263</v>
      </c>
      <c r="Y44" s="384">
        <v>334</v>
      </c>
    </row>
    <row r="45" spans="1:25" hidden="1" outlineLevel="1" x14ac:dyDescent="0.2">
      <c r="A45" s="286">
        <v>39</v>
      </c>
      <c r="B45" s="279">
        <f>'Récap devis'!B45</f>
        <v>44105</v>
      </c>
      <c r="C45" s="272">
        <v>41</v>
      </c>
      <c r="D45" s="325" t="str">
        <f t="shared" ca="1" si="0"/>
        <v/>
      </c>
      <c r="E45" s="275">
        <f t="shared" ca="1" si="10"/>
        <v>0</v>
      </c>
      <c r="F45" s="272">
        <f t="shared" ca="1" si="11"/>
        <v>0</v>
      </c>
      <c r="G45" s="317">
        <f t="shared" ca="1" si="12"/>
        <v>0</v>
      </c>
      <c r="H45" s="272">
        <f t="shared" ca="1" si="13"/>
        <v>0</v>
      </c>
      <c r="I45" s="272">
        <f t="shared" ca="1" si="14"/>
        <v>0</v>
      </c>
      <c r="J45" s="272">
        <f t="shared" ca="1" si="15"/>
        <v>0</v>
      </c>
      <c r="K45" s="272">
        <f t="shared" ca="1" si="16"/>
        <v>0</v>
      </c>
      <c r="L45" s="386">
        <f t="shared" si="9"/>
        <v>0</v>
      </c>
      <c r="M45" s="384"/>
      <c r="O45" s="272">
        <v>41</v>
      </c>
      <c r="P45" s="325">
        <v>13045</v>
      </c>
      <c r="Q45" s="275">
        <v>398</v>
      </c>
      <c r="R45" s="272">
        <v>43</v>
      </c>
      <c r="S45" s="317">
        <v>355</v>
      </c>
      <c r="T45" s="272">
        <v>355</v>
      </c>
      <c r="X45" s="386">
        <f t="shared" si="8"/>
        <v>12594</v>
      </c>
      <c r="Y45" s="384">
        <v>331</v>
      </c>
    </row>
    <row r="46" spans="1:25" hidden="1" outlineLevel="1" x14ac:dyDescent="0.2">
      <c r="A46" s="286">
        <v>40</v>
      </c>
      <c r="B46" s="279">
        <f>'Récap devis'!B46</f>
        <v>44105</v>
      </c>
      <c r="C46" s="272">
        <v>42</v>
      </c>
      <c r="D46" s="325" t="str">
        <f t="shared" ca="1" si="0"/>
        <v/>
      </c>
      <c r="E46" s="275">
        <f t="shared" ca="1" si="10"/>
        <v>0</v>
      </c>
      <c r="F46" s="272">
        <f t="shared" ca="1" si="11"/>
        <v>0</v>
      </c>
      <c r="G46" s="317">
        <f t="shared" ca="1" si="12"/>
        <v>0</v>
      </c>
      <c r="H46" s="272">
        <f t="shared" ca="1" si="13"/>
        <v>0</v>
      </c>
      <c r="I46" s="272">
        <f t="shared" ca="1" si="14"/>
        <v>0</v>
      </c>
      <c r="J46" s="272">
        <f t="shared" ca="1" si="15"/>
        <v>0</v>
      </c>
      <c r="K46" s="272">
        <f t="shared" ca="1" si="16"/>
        <v>0</v>
      </c>
      <c r="L46" s="386">
        <f t="shared" si="9"/>
        <v>0</v>
      </c>
      <c r="M46" s="384"/>
      <c r="O46" s="272">
        <v>42</v>
      </c>
      <c r="P46" s="325">
        <v>13460</v>
      </c>
      <c r="Q46" s="275">
        <v>415</v>
      </c>
      <c r="R46" s="272">
        <v>40</v>
      </c>
      <c r="S46" s="317">
        <v>375</v>
      </c>
      <c r="T46" s="272">
        <v>375</v>
      </c>
      <c r="X46" s="386">
        <f t="shared" si="8"/>
        <v>12956</v>
      </c>
      <c r="Y46" s="384">
        <v>362</v>
      </c>
    </row>
    <row r="47" spans="1:25" hidden="1" outlineLevel="1" x14ac:dyDescent="0.2">
      <c r="A47" s="286">
        <v>41</v>
      </c>
      <c r="B47" s="279">
        <f>'Récap devis'!B47</f>
        <v>44105</v>
      </c>
      <c r="C47" s="272">
        <v>43</v>
      </c>
      <c r="D47" s="325" t="str">
        <f t="shared" ca="1" si="0"/>
        <v/>
      </c>
      <c r="E47" s="275">
        <f t="shared" ca="1" si="10"/>
        <v>0</v>
      </c>
      <c r="F47" s="272">
        <f t="shared" ca="1" si="11"/>
        <v>0</v>
      </c>
      <c r="G47" s="317">
        <f t="shared" ca="1" si="12"/>
        <v>0</v>
      </c>
      <c r="H47" s="272">
        <f t="shared" ca="1" si="13"/>
        <v>0</v>
      </c>
      <c r="I47" s="272">
        <f t="shared" ca="1" si="14"/>
        <v>0</v>
      </c>
      <c r="J47" s="272">
        <f t="shared" ca="1" si="15"/>
        <v>0</v>
      </c>
      <c r="K47" s="272">
        <f t="shared" ca="1" si="16"/>
        <v>0</v>
      </c>
      <c r="L47" s="386">
        <f t="shared" si="9"/>
        <v>0</v>
      </c>
      <c r="M47" s="384"/>
      <c r="O47" s="272">
        <v>43</v>
      </c>
      <c r="P47" s="325">
        <v>13746</v>
      </c>
      <c r="Q47" s="275">
        <v>286</v>
      </c>
      <c r="R47" s="272">
        <v>33</v>
      </c>
      <c r="S47" s="317">
        <v>253</v>
      </c>
      <c r="T47" s="272">
        <v>253</v>
      </c>
      <c r="X47" s="386">
        <f t="shared" si="8"/>
        <v>13328</v>
      </c>
      <c r="Y47" s="384">
        <v>372</v>
      </c>
    </row>
    <row r="48" spans="1:25" hidden="1" outlineLevel="1" x14ac:dyDescent="0.2">
      <c r="A48" s="286">
        <v>42</v>
      </c>
      <c r="B48" s="279">
        <f>'Récap devis'!B48</f>
        <v>44105</v>
      </c>
      <c r="C48" s="282">
        <v>44</v>
      </c>
      <c r="D48" s="327" t="str">
        <f t="shared" ca="1" si="0"/>
        <v/>
      </c>
      <c r="E48" s="285">
        <f t="shared" ca="1" si="10"/>
        <v>0</v>
      </c>
      <c r="F48" s="282">
        <f t="shared" ca="1" si="11"/>
        <v>0</v>
      </c>
      <c r="G48" s="319">
        <f t="shared" ca="1" si="12"/>
        <v>0</v>
      </c>
      <c r="H48" s="282">
        <f t="shared" ca="1" si="13"/>
        <v>0</v>
      </c>
      <c r="I48" s="282">
        <f t="shared" ca="1" si="14"/>
        <v>0</v>
      </c>
      <c r="J48" s="282">
        <f t="shared" ca="1" si="15"/>
        <v>0</v>
      </c>
      <c r="K48" s="282">
        <f t="shared" ca="1" si="16"/>
        <v>0</v>
      </c>
      <c r="L48" s="390">
        <f t="shared" si="9"/>
        <v>0</v>
      </c>
      <c r="M48" s="384"/>
      <c r="O48" s="282">
        <v>44</v>
      </c>
      <c r="P48" s="327">
        <v>14060</v>
      </c>
      <c r="Q48" s="285">
        <v>314</v>
      </c>
      <c r="R48" s="282">
        <v>40</v>
      </c>
      <c r="S48" s="319">
        <v>274</v>
      </c>
      <c r="T48" s="282">
        <v>274</v>
      </c>
      <c r="U48" s="282"/>
      <c r="V48" s="282"/>
      <c r="W48" s="282"/>
      <c r="X48" s="386">
        <f t="shared" si="8"/>
        <v>13633</v>
      </c>
      <c r="Y48" s="384">
        <v>305</v>
      </c>
    </row>
    <row r="49" spans="1:29" hidden="1" outlineLevel="1" x14ac:dyDescent="0.2">
      <c r="A49" s="286">
        <v>43</v>
      </c>
      <c r="B49" s="279">
        <f>'Récap devis'!B49</f>
        <v>44136</v>
      </c>
      <c r="C49" s="272">
        <v>45</v>
      </c>
      <c r="D49" s="325" t="str">
        <f t="shared" ca="1" si="0"/>
        <v/>
      </c>
      <c r="E49" s="275">
        <f t="shared" ca="1" si="10"/>
        <v>0</v>
      </c>
      <c r="F49" s="272">
        <f t="shared" ca="1" si="11"/>
        <v>0</v>
      </c>
      <c r="G49" s="317">
        <f t="shared" ca="1" si="12"/>
        <v>0</v>
      </c>
      <c r="H49" s="272">
        <f t="shared" ca="1" si="13"/>
        <v>0</v>
      </c>
      <c r="I49" s="272">
        <f t="shared" ca="1" si="14"/>
        <v>0</v>
      </c>
      <c r="J49" s="272">
        <f t="shared" ca="1" si="15"/>
        <v>0</v>
      </c>
      <c r="K49" s="272">
        <f t="shared" ca="1" si="16"/>
        <v>0</v>
      </c>
      <c r="L49" s="386">
        <f t="shared" si="9"/>
        <v>0</v>
      </c>
      <c r="M49" s="384"/>
      <c r="O49" s="272">
        <v>45</v>
      </c>
      <c r="P49" s="325">
        <v>14388</v>
      </c>
      <c r="Q49" s="275">
        <v>328</v>
      </c>
      <c r="R49" s="272">
        <v>29</v>
      </c>
      <c r="S49" s="317">
        <v>299</v>
      </c>
      <c r="T49" s="272">
        <v>299</v>
      </c>
      <c r="X49" s="386">
        <f t="shared" si="8"/>
        <v>13954</v>
      </c>
      <c r="Y49" s="384">
        <v>321</v>
      </c>
    </row>
    <row r="50" spans="1:29" hidden="1" outlineLevel="1" x14ac:dyDescent="0.2">
      <c r="A50" s="286">
        <v>44</v>
      </c>
      <c r="B50" s="279">
        <f>'Récap devis'!B50</f>
        <v>44136</v>
      </c>
      <c r="C50" s="272">
        <v>46</v>
      </c>
      <c r="D50" s="325" t="str">
        <f t="shared" ca="1" si="0"/>
        <v/>
      </c>
      <c r="E50" s="275">
        <f t="shared" ca="1" si="10"/>
        <v>0</v>
      </c>
      <c r="F50" s="272">
        <f t="shared" ca="1" si="11"/>
        <v>0</v>
      </c>
      <c r="G50" s="317">
        <f t="shared" ca="1" si="12"/>
        <v>0</v>
      </c>
      <c r="H50" s="272">
        <f t="shared" ca="1" si="13"/>
        <v>0</v>
      </c>
      <c r="I50" s="272">
        <f t="shared" ca="1" si="14"/>
        <v>0</v>
      </c>
      <c r="J50" s="272">
        <f t="shared" ca="1" si="15"/>
        <v>0</v>
      </c>
      <c r="K50" s="272">
        <f t="shared" ca="1" si="16"/>
        <v>0</v>
      </c>
      <c r="L50" s="386">
        <f t="shared" si="9"/>
        <v>0</v>
      </c>
      <c r="M50" s="384"/>
      <c r="O50" s="272">
        <v>46</v>
      </c>
      <c r="P50" s="325">
        <v>14714</v>
      </c>
      <c r="Q50" s="275">
        <v>326</v>
      </c>
      <c r="R50" s="272">
        <v>26</v>
      </c>
      <c r="S50" s="317">
        <v>300</v>
      </c>
      <c r="T50" s="272">
        <v>300</v>
      </c>
      <c r="X50" s="386">
        <f t="shared" si="8"/>
        <v>14232</v>
      </c>
      <c r="Y50" s="384">
        <v>278</v>
      </c>
    </row>
    <row r="51" spans="1:29" hidden="1" outlineLevel="1" x14ac:dyDescent="0.2">
      <c r="A51" s="286">
        <v>45</v>
      </c>
      <c r="B51" s="279">
        <f>'Récap devis'!B51</f>
        <v>44136</v>
      </c>
      <c r="C51" s="272">
        <v>47</v>
      </c>
      <c r="D51" s="325" t="str">
        <f t="shared" ca="1" si="0"/>
        <v/>
      </c>
      <c r="E51" s="275">
        <f t="shared" ca="1" si="10"/>
        <v>0</v>
      </c>
      <c r="F51" s="272">
        <f t="shared" ca="1" si="11"/>
        <v>0</v>
      </c>
      <c r="G51" s="317">
        <f t="shared" ca="1" si="12"/>
        <v>0</v>
      </c>
      <c r="H51" s="272">
        <f t="shared" ca="1" si="13"/>
        <v>0</v>
      </c>
      <c r="I51" s="272">
        <f t="shared" ca="1" si="14"/>
        <v>0</v>
      </c>
      <c r="J51" s="272">
        <f t="shared" ca="1" si="15"/>
        <v>0</v>
      </c>
      <c r="K51" s="272">
        <f t="shared" ca="1" si="16"/>
        <v>0</v>
      </c>
      <c r="L51" s="386">
        <f t="shared" si="9"/>
        <v>0</v>
      </c>
      <c r="M51" s="384"/>
      <c r="O51" s="272">
        <v>47</v>
      </c>
      <c r="P51" s="325">
        <v>15077</v>
      </c>
      <c r="Q51" s="275">
        <v>363</v>
      </c>
      <c r="R51" s="272">
        <v>41</v>
      </c>
      <c r="S51" s="317">
        <v>322</v>
      </c>
      <c r="T51" s="272">
        <v>322</v>
      </c>
      <c r="X51" s="386">
        <f t="shared" si="8"/>
        <v>14603</v>
      </c>
      <c r="Y51" s="384">
        <v>371</v>
      </c>
    </row>
    <row r="52" spans="1:29" hidden="1" outlineLevel="1" x14ac:dyDescent="0.2">
      <c r="A52" s="286">
        <v>46</v>
      </c>
      <c r="B52" s="279">
        <f>'Récap devis'!B52</f>
        <v>44136</v>
      </c>
      <c r="C52" s="282">
        <v>48</v>
      </c>
      <c r="D52" s="327" t="str">
        <f t="shared" ca="1" si="0"/>
        <v/>
      </c>
      <c r="E52" s="285">
        <f t="shared" ca="1" si="10"/>
        <v>0</v>
      </c>
      <c r="F52" s="282">
        <f t="shared" ca="1" si="11"/>
        <v>0</v>
      </c>
      <c r="G52" s="319">
        <f t="shared" ca="1" si="12"/>
        <v>0</v>
      </c>
      <c r="H52" s="282">
        <f t="shared" ca="1" si="13"/>
        <v>0</v>
      </c>
      <c r="I52" s="282">
        <f t="shared" ca="1" si="14"/>
        <v>0</v>
      </c>
      <c r="J52" s="282">
        <f t="shared" ca="1" si="15"/>
        <v>0</v>
      </c>
      <c r="K52" s="282">
        <f t="shared" ca="1" si="16"/>
        <v>0</v>
      </c>
      <c r="L52" s="390">
        <f t="shared" si="9"/>
        <v>0</v>
      </c>
      <c r="M52" s="384"/>
      <c r="O52" s="282">
        <v>48</v>
      </c>
      <c r="P52" s="327">
        <v>15403</v>
      </c>
      <c r="Q52" s="285">
        <v>326</v>
      </c>
      <c r="R52" s="282">
        <v>31</v>
      </c>
      <c r="S52" s="319">
        <v>295</v>
      </c>
      <c r="T52" s="282">
        <v>295</v>
      </c>
      <c r="U52" s="282"/>
      <c r="V52" s="282"/>
      <c r="W52" s="282"/>
      <c r="X52" s="386">
        <f t="shared" si="8"/>
        <v>14901</v>
      </c>
      <c r="Y52" s="384">
        <v>298</v>
      </c>
    </row>
    <row r="53" spans="1:29" hidden="1" outlineLevel="1" x14ac:dyDescent="0.2">
      <c r="A53" s="286">
        <v>47</v>
      </c>
      <c r="B53" s="279">
        <f>'Récap devis'!B53</f>
        <v>44166</v>
      </c>
      <c r="C53" s="272">
        <v>49</v>
      </c>
      <c r="D53" s="325" t="str">
        <f t="shared" ca="1" si="0"/>
        <v/>
      </c>
      <c r="E53" s="275">
        <f t="shared" ca="1" si="10"/>
        <v>0</v>
      </c>
      <c r="F53" s="272">
        <f t="shared" ca="1" si="11"/>
        <v>0</v>
      </c>
      <c r="G53" s="317">
        <f t="shared" ca="1" si="12"/>
        <v>0</v>
      </c>
      <c r="H53" s="272">
        <f t="shared" ca="1" si="13"/>
        <v>0</v>
      </c>
      <c r="I53" s="272">
        <f t="shared" ca="1" si="14"/>
        <v>0</v>
      </c>
      <c r="J53" s="272">
        <f t="shared" ca="1" si="15"/>
        <v>0</v>
      </c>
      <c r="K53" s="272">
        <f t="shared" ca="1" si="16"/>
        <v>0</v>
      </c>
      <c r="L53" s="386">
        <f t="shared" si="9"/>
        <v>0</v>
      </c>
      <c r="M53" s="384"/>
      <c r="O53" s="272">
        <v>49</v>
      </c>
      <c r="P53" s="325">
        <v>15656</v>
      </c>
      <c r="Q53" s="275">
        <v>253</v>
      </c>
      <c r="R53" s="272">
        <v>27</v>
      </c>
      <c r="S53" s="317">
        <v>226</v>
      </c>
      <c r="T53" s="272">
        <v>226</v>
      </c>
      <c r="X53" s="386">
        <f t="shared" si="8"/>
        <v>15177</v>
      </c>
      <c r="Y53" s="384">
        <v>276</v>
      </c>
    </row>
    <row r="54" spans="1:29" hidden="1" outlineLevel="1" x14ac:dyDescent="0.2">
      <c r="A54" s="286">
        <v>48</v>
      </c>
      <c r="B54" s="279">
        <f>'Récap devis'!B54</f>
        <v>44166</v>
      </c>
      <c r="C54" s="272">
        <v>50</v>
      </c>
      <c r="D54" s="325" t="str">
        <f t="shared" ca="1" si="0"/>
        <v/>
      </c>
      <c r="E54" s="275">
        <f t="shared" ca="1" si="10"/>
        <v>0</v>
      </c>
      <c r="F54" s="272">
        <f t="shared" ca="1" si="11"/>
        <v>0</v>
      </c>
      <c r="G54" s="317">
        <f t="shared" ca="1" si="12"/>
        <v>0</v>
      </c>
      <c r="H54" s="272">
        <f t="shared" ca="1" si="13"/>
        <v>0</v>
      </c>
      <c r="I54" s="272">
        <f t="shared" ca="1" si="14"/>
        <v>0</v>
      </c>
      <c r="J54" s="272">
        <f t="shared" ca="1" si="15"/>
        <v>0</v>
      </c>
      <c r="K54" s="272">
        <f t="shared" ca="1" si="16"/>
        <v>0</v>
      </c>
      <c r="L54" s="386">
        <f t="shared" si="9"/>
        <v>0</v>
      </c>
      <c r="M54" s="384"/>
      <c r="O54" s="272">
        <v>50</v>
      </c>
      <c r="P54" s="325">
        <v>15985</v>
      </c>
      <c r="Q54" s="275">
        <v>329</v>
      </c>
      <c r="R54" s="272">
        <v>24</v>
      </c>
      <c r="S54" s="317">
        <v>305</v>
      </c>
      <c r="T54" s="272">
        <v>305</v>
      </c>
      <c r="X54" s="386">
        <f t="shared" si="8"/>
        <v>15470</v>
      </c>
      <c r="Y54" s="384">
        <v>293</v>
      </c>
    </row>
    <row r="55" spans="1:29" hidden="1" outlineLevel="1" x14ac:dyDescent="0.2">
      <c r="A55" s="286">
        <v>49</v>
      </c>
      <c r="B55" s="279">
        <f>'Récap devis'!B55</f>
        <v>44166</v>
      </c>
      <c r="C55" s="272">
        <v>51</v>
      </c>
      <c r="D55" s="325" t="str">
        <f t="shared" ca="1" si="0"/>
        <v/>
      </c>
      <c r="E55" s="275">
        <f t="shared" ca="1" si="10"/>
        <v>0</v>
      </c>
      <c r="F55" s="272">
        <f t="shared" ca="1" si="11"/>
        <v>0</v>
      </c>
      <c r="G55" s="317">
        <f t="shared" ca="1" si="12"/>
        <v>0</v>
      </c>
      <c r="H55" s="272">
        <f t="shared" ca="1" si="13"/>
        <v>0</v>
      </c>
      <c r="I55" s="272">
        <f t="shared" ca="1" si="14"/>
        <v>0</v>
      </c>
      <c r="J55" s="272">
        <f t="shared" ca="1" si="15"/>
        <v>0</v>
      </c>
      <c r="K55" s="272">
        <f t="shared" ca="1" si="16"/>
        <v>0</v>
      </c>
      <c r="L55" s="386">
        <f t="shared" si="9"/>
        <v>0</v>
      </c>
      <c r="M55" s="384"/>
      <c r="O55" s="272">
        <v>51</v>
      </c>
      <c r="P55" s="325">
        <v>16358</v>
      </c>
      <c r="Q55" s="275">
        <v>373</v>
      </c>
      <c r="R55" s="272">
        <v>45</v>
      </c>
      <c r="S55" s="317">
        <v>328</v>
      </c>
      <c r="T55" s="272">
        <v>328</v>
      </c>
      <c r="X55" s="386">
        <f t="shared" si="8"/>
        <v>15767</v>
      </c>
      <c r="Y55" s="384">
        <v>297</v>
      </c>
    </row>
    <row r="56" spans="1:29" hidden="1" outlineLevel="1" x14ac:dyDescent="0.2">
      <c r="A56" s="286">
        <v>50</v>
      </c>
      <c r="B56" s="279">
        <f>'Récap devis'!B56</f>
        <v>44166</v>
      </c>
      <c r="C56" s="272">
        <v>52</v>
      </c>
      <c r="D56" s="325" t="str">
        <f t="shared" ca="1" si="0"/>
        <v/>
      </c>
      <c r="E56" s="275">
        <f t="shared" ca="1" si="10"/>
        <v>0</v>
      </c>
      <c r="F56" s="272">
        <f t="shared" ca="1" si="11"/>
        <v>0</v>
      </c>
      <c r="G56" s="317">
        <f t="shared" ca="1" si="12"/>
        <v>0</v>
      </c>
      <c r="H56" s="272">
        <f t="shared" ca="1" si="13"/>
        <v>0</v>
      </c>
      <c r="I56" s="272">
        <f t="shared" ca="1" si="14"/>
        <v>0</v>
      </c>
      <c r="J56" s="272">
        <f t="shared" ca="1" si="15"/>
        <v>0</v>
      </c>
      <c r="K56" s="272">
        <f t="shared" ca="1" si="16"/>
        <v>0</v>
      </c>
      <c r="L56" s="386">
        <f t="shared" si="9"/>
        <v>0</v>
      </c>
      <c r="M56" s="384"/>
      <c r="O56" s="272">
        <v>52</v>
      </c>
      <c r="P56" s="325">
        <v>16516</v>
      </c>
      <c r="Q56" s="275">
        <v>158</v>
      </c>
      <c r="R56" s="272">
        <v>12</v>
      </c>
      <c r="S56" s="317">
        <v>146</v>
      </c>
      <c r="T56" s="272">
        <v>146</v>
      </c>
      <c r="X56" s="386">
        <f t="shared" si="8"/>
        <v>15767</v>
      </c>
      <c r="Y56" s="384"/>
    </row>
    <row r="57" spans="1:29" collapsed="1" x14ac:dyDescent="0.2">
      <c r="E57" s="275"/>
      <c r="G57" s="316"/>
      <c r="L57" s="386"/>
      <c r="M57" s="384"/>
      <c r="Q57" s="275"/>
      <c r="S57" s="316"/>
      <c r="X57" s="386"/>
      <c r="Y57" s="384"/>
    </row>
    <row r="58" spans="1:29" ht="13.5" thickBot="1" x14ac:dyDescent="0.25">
      <c r="B58" s="329">
        <v>8</v>
      </c>
      <c r="C58" s="332">
        <f ca="1">VLOOKUP(B58,$C$5:$D$57,2,FALSE)/VLOOKUP(B58,$O$5:$P$57,2,FALSE)-1</f>
        <v>-8.5513471300273314E-2</v>
      </c>
      <c r="D58" s="287"/>
      <c r="E58" s="305">
        <f ca="1">SUM(E5:E57)</f>
        <v>2676</v>
      </c>
      <c r="F58" s="306">
        <f ca="1">SUM(F6:F57)</f>
        <v>268</v>
      </c>
      <c r="G58" s="321">
        <f t="shared" ref="G58" ca="1" si="17">SUM(G5:G57)</f>
        <v>2408</v>
      </c>
      <c r="H58" s="306">
        <f ca="1">SUM(H6:H57)</f>
        <v>1582</v>
      </c>
      <c r="I58" s="306">
        <f ca="1">SUM(I6:I57)</f>
        <v>819</v>
      </c>
      <c r="J58" s="306">
        <f ca="1">SUM(J6:J57)</f>
        <v>7</v>
      </c>
      <c r="K58" s="306">
        <f ca="1">SUM(K6:K57)</f>
        <v>0</v>
      </c>
      <c r="L58" s="395"/>
      <c r="M58" s="387">
        <f t="shared" ref="M58" si="18">SUM(M5:M57)</f>
        <v>2132</v>
      </c>
      <c r="O58" s="287"/>
      <c r="P58" s="287"/>
      <c r="Q58" s="305">
        <f>SUM(Q5:Q57)</f>
        <v>16516</v>
      </c>
      <c r="R58" s="306">
        <f>SUM(R5:R57)</f>
        <v>1767</v>
      </c>
      <c r="S58" s="321">
        <f t="shared" ref="S58:T58" si="19">SUM(S5:S57)</f>
        <v>14749</v>
      </c>
      <c r="T58" s="306">
        <f t="shared" si="19"/>
        <v>14749</v>
      </c>
      <c r="U58" s="306"/>
      <c r="V58" s="306"/>
      <c r="W58" s="306"/>
      <c r="X58" s="395"/>
      <c r="Y58" s="387">
        <f t="shared" ref="Y58" si="20">SUM(Y5:Y57)</f>
        <v>15767</v>
      </c>
    </row>
    <row r="59" spans="1:29" x14ac:dyDescent="0.2">
      <c r="L59" s="398" t="s">
        <v>228</v>
      </c>
      <c r="M59" s="396">
        <f>M58/VLOOKUP(B58,$C$5:$Y$57,22,FALSE)-1</f>
        <v>-0.25166725166725168</v>
      </c>
    </row>
    <row r="64" spans="1:29" x14ac:dyDescent="0.2">
      <c r="C64" s="272" t="s">
        <v>94</v>
      </c>
      <c r="D64" s="272" t="s">
        <v>206</v>
      </c>
      <c r="E64" s="289" t="s">
        <v>75</v>
      </c>
      <c r="F64" s="273" t="s">
        <v>76</v>
      </c>
      <c r="G64" s="322" t="s">
        <v>77</v>
      </c>
      <c r="H64" s="273" t="s">
        <v>67</v>
      </c>
      <c r="I64" s="273" t="s">
        <v>68</v>
      </c>
      <c r="J64" s="273" t="s">
        <v>33</v>
      </c>
      <c r="K64" s="307" t="s">
        <v>69</v>
      </c>
      <c r="O64" s="272" t="s">
        <v>94</v>
      </c>
      <c r="P64" s="272" t="s">
        <v>206</v>
      </c>
      <c r="Q64" s="289" t="s">
        <v>75</v>
      </c>
      <c r="R64" s="273" t="s">
        <v>76</v>
      </c>
      <c r="S64" s="322" t="s">
        <v>77</v>
      </c>
      <c r="T64" s="273" t="s">
        <v>67</v>
      </c>
      <c r="U64" s="273" t="s">
        <v>68</v>
      </c>
      <c r="V64" s="273" t="s">
        <v>33</v>
      </c>
      <c r="W64" s="307" t="s">
        <v>69</v>
      </c>
      <c r="AA64" s="272" t="s">
        <v>217</v>
      </c>
      <c r="AB64" s="272" t="s">
        <v>218</v>
      </c>
      <c r="AC64" s="272" t="s">
        <v>219</v>
      </c>
    </row>
    <row r="65" spans="3:29" x14ac:dyDescent="0.2">
      <c r="C65" s="277">
        <v>43831</v>
      </c>
      <c r="D65" s="326">
        <f ca="1">+Tableau3[[#This Row],[TOTAL]]</f>
        <v>1274</v>
      </c>
      <c r="E65" s="280">
        <f ca="1">SUM(F65:G65)</f>
        <v>1274</v>
      </c>
      <c r="F65" s="272">
        <f ca="1">SUMIF($B$5:$K$57,Tableau3[[#This Row],[MOIS]],$F$5:$F$57)</f>
        <v>135</v>
      </c>
      <c r="G65" s="323">
        <f ca="1">SUM(H65:K65)</f>
        <v>1139</v>
      </c>
      <c r="H65" s="272">
        <f ca="1">SUMIF($B$5:$K$57,C65,$H$5:$H$57)</f>
        <v>716</v>
      </c>
      <c r="I65" s="272">
        <f ca="1">SUMIF($B$5:$K$57,Tableau3[[#This Row],[MOIS]],$I$5:$I$57)</f>
        <v>416</v>
      </c>
      <c r="J65" s="272">
        <f ca="1">SUMIF($B$5:$K$57,Tableau3[[#This Row],[MOIS]],$J$5:$J$57)</f>
        <v>7</v>
      </c>
      <c r="K65" s="308">
        <f ca="1">SUMIF($B$5:$K$57,Tableau3[[#This Row],[MOIS]],$K$5:$K$57)</f>
        <v>0</v>
      </c>
      <c r="O65" s="277">
        <v>43466</v>
      </c>
      <c r="P65" s="326">
        <v>1671</v>
      </c>
      <c r="Q65" s="280">
        <v>1671</v>
      </c>
      <c r="R65" s="272">
        <v>179</v>
      </c>
      <c r="S65" s="323">
        <v>1492</v>
      </c>
      <c r="T65" s="272">
        <v>1492</v>
      </c>
      <c r="W65" s="308"/>
      <c r="AA65" s="272">
        <v>1786</v>
      </c>
      <c r="AB65" s="272">
        <v>199</v>
      </c>
      <c r="AC65" s="272">
        <f>AA65-AB65</f>
        <v>1587</v>
      </c>
    </row>
    <row r="66" spans="3:29" x14ac:dyDescent="0.2">
      <c r="C66" s="277">
        <v>43862</v>
      </c>
      <c r="D66" s="326">
        <f ca="1">IF(E66&lt;&gt;0,D65+E66,"")</f>
        <v>2676</v>
      </c>
      <c r="E66" s="280">
        <f t="shared" ref="E66:E76" ca="1" si="21">SUM(F66:G66)</f>
        <v>1402</v>
      </c>
      <c r="F66" s="272">
        <f ca="1">SUMIF($B$5:$K$57,Tableau3[[#This Row],[MOIS]],$F$5:$F$57)</f>
        <v>133</v>
      </c>
      <c r="G66" s="323">
        <f t="shared" ref="G66:G76" ca="1" si="22">SUM(H66:K66)</f>
        <v>1269</v>
      </c>
      <c r="H66" s="272">
        <f ca="1">SUMIF($B$5:$K$57,Tableau3[[#This Row],[MOIS]],$H$5:$H$57)</f>
        <v>866</v>
      </c>
      <c r="I66" s="272">
        <f ca="1">SUMIF($B$5:$K$57,Tableau3[[#This Row],[MOIS]],$I$5:$I$57)</f>
        <v>403</v>
      </c>
      <c r="J66" s="272">
        <f ca="1">SUMIF($B$5:$K$57,Tableau3[[#This Row],[MOIS]],$J$5:$J$57)</f>
        <v>0</v>
      </c>
      <c r="K66" s="308">
        <f ca="1">SUMIF($B$5:$K$57,Tableau3[[#This Row],[MOIS]],$K$5:$K$57)</f>
        <v>0</v>
      </c>
      <c r="O66" s="277">
        <v>43497</v>
      </c>
      <c r="P66" s="326">
        <v>2919</v>
      </c>
      <c r="Q66" s="280">
        <v>1248</v>
      </c>
      <c r="R66" s="303">
        <v>158</v>
      </c>
      <c r="S66" s="323">
        <v>1090</v>
      </c>
      <c r="T66" s="272">
        <v>1090</v>
      </c>
      <c r="W66" s="308"/>
      <c r="AA66" s="272">
        <v>1514</v>
      </c>
      <c r="AB66" s="272">
        <v>136</v>
      </c>
      <c r="AC66" s="272">
        <f t="shared" ref="AC66:AC76" si="23">AA66-AB66</f>
        <v>1378</v>
      </c>
    </row>
    <row r="67" spans="3:29" x14ac:dyDescent="0.2">
      <c r="C67" s="277">
        <v>43891</v>
      </c>
      <c r="D67" s="326" t="str">
        <f t="shared" ref="D67:D76" ca="1" si="24">IF(E67&lt;&gt;0,D66+E67,"")</f>
        <v/>
      </c>
      <c r="E67" s="280">
        <f t="shared" ca="1" si="21"/>
        <v>0</v>
      </c>
      <c r="F67" s="272">
        <f ca="1">SUMIF($B$5:$K$57,Tableau3[[#This Row],[MOIS]],$F$5:$F$57)</f>
        <v>0</v>
      </c>
      <c r="G67" s="323">
        <f t="shared" ca="1" si="22"/>
        <v>0</v>
      </c>
      <c r="H67" s="272">
        <f ca="1">SUMIF($B$5:$K$57,Tableau3[[#This Row],[MOIS]],$H$5:$H$57)</f>
        <v>0</v>
      </c>
      <c r="I67" s="272">
        <f ca="1">SUMIF($B$5:$K$57,Tableau3[[#This Row],[MOIS]],$I$5:$I$57)</f>
        <v>0</v>
      </c>
      <c r="J67" s="272">
        <f ca="1">SUMIF($B$5:$K$57,Tableau3[[#This Row],[MOIS]],$J$5:$J$57)</f>
        <v>0</v>
      </c>
      <c r="K67" s="308">
        <f ca="1">SUMIF($B$5:$K$57,Tableau3[[#This Row],[MOIS]],$K$5:$K$57)</f>
        <v>0</v>
      </c>
      <c r="O67" s="277">
        <v>43525</v>
      </c>
      <c r="P67" s="326">
        <v>4308</v>
      </c>
      <c r="Q67" s="280">
        <v>1389</v>
      </c>
      <c r="R67" s="303">
        <v>155</v>
      </c>
      <c r="S67" s="323">
        <v>1234</v>
      </c>
      <c r="T67" s="272">
        <v>1234</v>
      </c>
      <c r="W67" s="308"/>
      <c r="AA67" s="272">
        <v>1845</v>
      </c>
      <c r="AB67" s="272">
        <v>174</v>
      </c>
      <c r="AC67" s="272">
        <f t="shared" si="23"/>
        <v>1671</v>
      </c>
    </row>
    <row r="68" spans="3:29" x14ac:dyDescent="0.2">
      <c r="C68" s="277">
        <v>43922</v>
      </c>
      <c r="D68" s="326" t="str">
        <f t="shared" ca="1" si="24"/>
        <v/>
      </c>
      <c r="E68" s="280">
        <f t="shared" ca="1" si="21"/>
        <v>0</v>
      </c>
      <c r="F68" s="272">
        <f ca="1">SUMIF($B$5:$K$57,Tableau3[[#This Row],[MOIS]],$F$5:$F$57)</f>
        <v>0</v>
      </c>
      <c r="G68" s="323">
        <f t="shared" ca="1" si="22"/>
        <v>0</v>
      </c>
      <c r="H68" s="272">
        <f ca="1">SUMIF($B$5:$K$57,Tableau3[[#This Row],[MOIS]],$H$5:$H$57)</f>
        <v>0</v>
      </c>
      <c r="I68" s="272">
        <f ca="1">SUMIF($B$5:$K$57,Tableau3[[#This Row],[MOIS]],$I$5:$I$57)</f>
        <v>0</v>
      </c>
      <c r="J68" s="272">
        <f ca="1">SUMIF($B$5:$K$57,Tableau3[[#This Row],[MOIS]],$J$5:$J$57)</f>
        <v>0</v>
      </c>
      <c r="K68" s="308">
        <f ca="1">SUMIF($B$5:$K$57,Tableau3[[#This Row],[MOIS]],$K$5:$K$57)</f>
        <v>0</v>
      </c>
      <c r="O68" s="277">
        <v>43556</v>
      </c>
      <c r="P68" s="326">
        <v>6151</v>
      </c>
      <c r="Q68" s="280">
        <v>1843</v>
      </c>
      <c r="R68" s="272">
        <v>143</v>
      </c>
      <c r="S68" s="323">
        <v>1700</v>
      </c>
      <c r="T68" s="272">
        <v>1700</v>
      </c>
      <c r="W68" s="308"/>
      <c r="AA68" s="272">
        <v>1870</v>
      </c>
      <c r="AB68" s="272">
        <v>201</v>
      </c>
      <c r="AC68" s="272">
        <f t="shared" si="23"/>
        <v>1669</v>
      </c>
    </row>
    <row r="69" spans="3:29" x14ac:dyDescent="0.2">
      <c r="C69" s="277">
        <v>43952</v>
      </c>
      <c r="D69" s="326" t="str">
        <f t="shared" ca="1" si="24"/>
        <v/>
      </c>
      <c r="E69" s="280">
        <f t="shared" ca="1" si="21"/>
        <v>0</v>
      </c>
      <c r="F69" s="272">
        <f ca="1">SUMIF($B$5:$K$57,Tableau3[[#This Row],[MOIS]],$F$5:$F$57)</f>
        <v>0</v>
      </c>
      <c r="G69" s="323">
        <f t="shared" ca="1" si="22"/>
        <v>0</v>
      </c>
      <c r="H69" s="272">
        <f ca="1">SUMIF($B$5:$K$57,Tableau3[[#This Row],[MOIS]],$H$5:$H$57)</f>
        <v>0</v>
      </c>
      <c r="I69" s="272">
        <f ca="1">SUMIF($B$5:$K$57,Tableau3[[#This Row],[MOIS]],$I$5:$I$57)</f>
        <v>0</v>
      </c>
      <c r="J69" s="272">
        <f ca="1">SUMIF($B$5:$K$57,Tableau3[[#This Row],[MOIS]],$J$5:$J$57)</f>
        <v>0</v>
      </c>
      <c r="K69" s="308">
        <f ca="1">SUMIF($B$5:$K$57,Tableau3[[#This Row],[MOIS]],$K$5:$K$57)</f>
        <v>0</v>
      </c>
      <c r="O69" s="277">
        <v>43586</v>
      </c>
      <c r="P69" s="326">
        <v>7500</v>
      </c>
      <c r="Q69" s="280">
        <v>1349</v>
      </c>
      <c r="R69" s="272">
        <v>147</v>
      </c>
      <c r="S69" s="323">
        <v>1202</v>
      </c>
      <c r="T69" s="272">
        <v>1202</v>
      </c>
      <c r="W69" s="308"/>
      <c r="AA69" s="272">
        <v>1457</v>
      </c>
      <c r="AB69" s="272">
        <v>141</v>
      </c>
      <c r="AC69" s="272">
        <f t="shared" si="23"/>
        <v>1316</v>
      </c>
    </row>
    <row r="70" spans="3:29" x14ac:dyDescent="0.2">
      <c r="C70" s="277">
        <v>43983</v>
      </c>
      <c r="D70" s="326" t="str">
        <f t="shared" ca="1" si="24"/>
        <v/>
      </c>
      <c r="E70" s="280">
        <f t="shared" ca="1" si="21"/>
        <v>0</v>
      </c>
      <c r="F70" s="272">
        <f ca="1">SUMIF($B$5:$K$57,Tableau3[[#This Row],[MOIS]],$F$5:$F$57)</f>
        <v>0</v>
      </c>
      <c r="G70" s="323">
        <f t="shared" ca="1" si="22"/>
        <v>0</v>
      </c>
      <c r="H70" s="272">
        <f ca="1">SUMIF($B$5:$K$57,Tableau3[[#This Row],[MOIS]],$H$5:$H$57)</f>
        <v>0</v>
      </c>
      <c r="I70" s="272">
        <f ca="1">SUMIF($B$5:$K$57,Tableau3[[#This Row],[MOIS]],$I$5:$I$57)</f>
        <v>0</v>
      </c>
      <c r="J70" s="272">
        <f ca="1">SUMIF($B$5:$K$57,Tableau3[[#This Row],[MOIS]],$J$5:$J$57)</f>
        <v>0</v>
      </c>
      <c r="K70" s="308">
        <f ca="1">SUMIF($B$5:$K$57,Tableau3[[#This Row],[MOIS]],$K$5:$K$57)</f>
        <v>0</v>
      </c>
      <c r="O70" s="277">
        <v>43617</v>
      </c>
      <c r="P70" s="326">
        <v>8957</v>
      </c>
      <c r="Q70" s="280">
        <v>1457</v>
      </c>
      <c r="R70" s="272">
        <v>160</v>
      </c>
      <c r="S70" s="323">
        <v>1297</v>
      </c>
      <c r="T70" s="272">
        <v>1297</v>
      </c>
      <c r="W70" s="308"/>
      <c r="AA70" s="272">
        <v>1645</v>
      </c>
      <c r="AB70" s="272">
        <v>142</v>
      </c>
      <c r="AC70" s="272">
        <f t="shared" si="23"/>
        <v>1503</v>
      </c>
    </row>
    <row r="71" spans="3:29" x14ac:dyDescent="0.2">
      <c r="C71" s="277">
        <v>44013</v>
      </c>
      <c r="D71" s="326" t="str">
        <f t="shared" ca="1" si="24"/>
        <v/>
      </c>
      <c r="E71" s="280">
        <f t="shared" ca="1" si="21"/>
        <v>0</v>
      </c>
      <c r="F71" s="272">
        <f ca="1">SUMIF($B$5:$K$57,Tableau3[[#This Row],[MOIS]],$F$5:$F$57)</f>
        <v>0</v>
      </c>
      <c r="G71" s="323">
        <f t="shared" ca="1" si="22"/>
        <v>0</v>
      </c>
      <c r="H71" s="272">
        <f ca="1">SUMIF($B$5:$K$57,Tableau3[[#This Row],[MOIS]],$H$5:$H$57)</f>
        <v>0</v>
      </c>
      <c r="I71" s="272">
        <f ca="1">SUMIF($B$5:$K$57,Tableau3[[#This Row],[MOIS]],$I$5:$I$57)</f>
        <v>0</v>
      </c>
      <c r="J71" s="272">
        <f ca="1">SUMIF($B$5:$K$57,Tableau3[[#This Row],[MOIS]],$J$5:$J$57)</f>
        <v>0</v>
      </c>
      <c r="K71" s="308">
        <f ca="1">SUMIF($B$5:$K$57,Tableau3[[#This Row],[MOIS]],$K$5:$K$57)</f>
        <v>0</v>
      </c>
      <c r="O71" s="277">
        <v>43647</v>
      </c>
      <c r="P71" s="326">
        <v>10629</v>
      </c>
      <c r="Q71" s="280">
        <v>1672</v>
      </c>
      <c r="R71" s="272">
        <v>209</v>
      </c>
      <c r="S71" s="323">
        <v>1463</v>
      </c>
      <c r="T71" s="272">
        <v>1463</v>
      </c>
      <c r="W71" s="308"/>
      <c r="AA71" s="272">
        <v>1640</v>
      </c>
      <c r="AB71" s="272">
        <v>149</v>
      </c>
      <c r="AC71" s="272">
        <f t="shared" si="23"/>
        <v>1491</v>
      </c>
    </row>
    <row r="72" spans="3:29" x14ac:dyDescent="0.2">
      <c r="C72" s="277">
        <v>44044</v>
      </c>
      <c r="D72" s="326" t="str">
        <f t="shared" ca="1" si="24"/>
        <v/>
      </c>
      <c r="E72" s="280">
        <f t="shared" ca="1" si="21"/>
        <v>0</v>
      </c>
      <c r="F72" s="272">
        <f ca="1">SUMIF($B$5:$K$57,Tableau3[[#This Row],[MOIS]],$F$5:$F$57)</f>
        <v>0</v>
      </c>
      <c r="G72" s="323">
        <f t="shared" ca="1" si="22"/>
        <v>0</v>
      </c>
      <c r="H72" s="272">
        <f ca="1">SUMIF($B$5:$K$57,Tableau3[[#This Row],[MOIS]],$H$5:$H$57)</f>
        <v>0</v>
      </c>
      <c r="I72" s="272">
        <f ca="1">SUMIF($B$5:$K$57,Tableau3[[#This Row],[MOIS]],$I$5:$I$57)</f>
        <v>0</v>
      </c>
      <c r="J72" s="272">
        <f ca="1">SUMIF($B$5:$K$57,Tableau3[[#This Row],[MOIS]],$J$5:$J$57)</f>
        <v>0</v>
      </c>
      <c r="K72" s="308">
        <f ca="1">SUMIF($B$5:$K$57,Tableau3[[#This Row],[MOIS]],$K$5:$K$57)</f>
        <v>0</v>
      </c>
      <c r="O72" s="277">
        <v>43678</v>
      </c>
      <c r="P72" s="326">
        <v>10939</v>
      </c>
      <c r="Q72" s="280">
        <v>310</v>
      </c>
      <c r="R72" s="272">
        <v>25</v>
      </c>
      <c r="S72" s="323">
        <v>285</v>
      </c>
      <c r="T72" s="272">
        <v>285</v>
      </c>
      <c r="W72" s="308"/>
      <c r="AA72" s="272">
        <v>428</v>
      </c>
      <c r="AB72" s="272">
        <v>41</v>
      </c>
      <c r="AC72" s="272">
        <f t="shared" si="23"/>
        <v>387</v>
      </c>
    </row>
    <row r="73" spans="3:29" x14ac:dyDescent="0.2">
      <c r="C73" s="277">
        <v>44075</v>
      </c>
      <c r="D73" s="326" t="str">
        <f t="shared" ca="1" si="24"/>
        <v/>
      </c>
      <c r="E73" s="280">
        <f t="shared" ca="1" si="21"/>
        <v>0</v>
      </c>
      <c r="F73" s="272">
        <f ca="1">SUMIF($B$5:$K$57,Tableau3[[#This Row],[MOIS]],$F$5:$F$57)</f>
        <v>0</v>
      </c>
      <c r="G73" s="323">
        <f t="shared" ca="1" si="22"/>
        <v>0</v>
      </c>
      <c r="H73" s="272">
        <f ca="1">SUMIF($B$5:$K$57,Tableau3[[#This Row],[MOIS]],$H$5:$H$57)</f>
        <v>0</v>
      </c>
      <c r="I73" s="272">
        <f ca="1">SUMIF($B$5:$K$57,Tableau3[[#This Row],[MOIS]],$I$5:$I$57)</f>
        <v>0</v>
      </c>
      <c r="J73" s="272">
        <f ca="1">SUMIF($B$5:$K$57,Tableau3[[#This Row],[MOIS]],$J$5:$J$57)</f>
        <v>0</v>
      </c>
      <c r="K73" s="308">
        <f ca="1">SUMIF($B$5:$K$57,Tableau3[[#This Row],[MOIS]],$K$5:$K$57)</f>
        <v>0</v>
      </c>
      <c r="O73" s="277">
        <v>43709</v>
      </c>
      <c r="P73" s="326">
        <v>12647</v>
      </c>
      <c r="Q73" s="280">
        <v>1708</v>
      </c>
      <c r="R73" s="272">
        <v>200</v>
      </c>
      <c r="S73" s="323">
        <v>1508</v>
      </c>
      <c r="T73" s="272">
        <v>1508</v>
      </c>
      <c r="W73" s="308"/>
      <c r="AA73" s="272">
        <v>1653</v>
      </c>
      <c r="AB73" s="272">
        <v>184</v>
      </c>
      <c r="AC73" s="272">
        <f t="shared" si="23"/>
        <v>1469</v>
      </c>
    </row>
    <row r="74" spans="3:29" x14ac:dyDescent="0.2">
      <c r="C74" s="277">
        <v>44105</v>
      </c>
      <c r="D74" s="326" t="str">
        <f t="shared" ca="1" si="24"/>
        <v/>
      </c>
      <c r="E74" s="280">
        <f t="shared" ca="1" si="21"/>
        <v>0</v>
      </c>
      <c r="F74" s="272">
        <f ca="1">SUMIF($B$5:$K$57,Tableau3[[#This Row],[MOIS]],$F$5:$F$57)</f>
        <v>0</v>
      </c>
      <c r="G74" s="323">
        <f t="shared" ca="1" si="22"/>
        <v>0</v>
      </c>
      <c r="H74" s="272">
        <f ca="1">SUMIF($B$5:$K$57,Tableau3[[#This Row],[MOIS]],$H$5:$H$57)</f>
        <v>0</v>
      </c>
      <c r="I74" s="272">
        <f ca="1">SUMIF($B$5:$K$57,Tableau3[[#This Row],[MOIS]],$I$5:$I$57)</f>
        <v>0</v>
      </c>
      <c r="J74" s="272">
        <f ca="1">SUMIF($B$5:$K$57,Tableau3[[#This Row],[MOIS]],$J$5:$J$57)</f>
        <v>0</v>
      </c>
      <c r="K74" s="308">
        <f ca="1">SUMIF($B$5:$K$57,Tableau3[[#This Row],[MOIS]],$K$5:$K$57)</f>
        <v>0</v>
      </c>
      <c r="O74" s="277">
        <v>43739</v>
      </c>
      <c r="P74" s="326">
        <v>14060</v>
      </c>
      <c r="Q74" s="280">
        <v>1413</v>
      </c>
      <c r="R74" s="272">
        <v>156</v>
      </c>
      <c r="S74" s="323">
        <v>1257</v>
      </c>
      <c r="T74" s="272">
        <v>1257</v>
      </c>
      <c r="W74" s="308"/>
      <c r="AA74" s="272">
        <v>1739</v>
      </c>
      <c r="AB74" s="272">
        <v>185</v>
      </c>
      <c r="AC74" s="272">
        <f t="shared" si="23"/>
        <v>1554</v>
      </c>
    </row>
    <row r="75" spans="3:29" x14ac:dyDescent="0.2">
      <c r="C75" s="277">
        <v>44136</v>
      </c>
      <c r="D75" s="326" t="str">
        <f t="shared" ca="1" si="24"/>
        <v/>
      </c>
      <c r="E75" s="280">
        <f t="shared" ca="1" si="21"/>
        <v>0</v>
      </c>
      <c r="F75" s="272">
        <f ca="1">SUMIF($B$5:$K$57,Tableau3[[#This Row],[MOIS]],$F$5:$F$57)</f>
        <v>0</v>
      </c>
      <c r="G75" s="323">
        <f t="shared" ca="1" si="22"/>
        <v>0</v>
      </c>
      <c r="H75" s="272">
        <f ca="1">SUMIF($B$5:$K$57,Tableau3[[#This Row],[MOIS]],$H$5:$H$57)</f>
        <v>0</v>
      </c>
      <c r="I75" s="272">
        <f ca="1">SUMIF($B$5:$K$57,Tableau3[[#This Row],[MOIS]],$I$5:$I$57)</f>
        <v>0</v>
      </c>
      <c r="J75" s="272">
        <f ca="1">SUMIF($B$5:$K$57,Tableau3[[#This Row],[MOIS]],$J$5:$J$57)</f>
        <v>0</v>
      </c>
      <c r="K75" s="308">
        <f ca="1">SUMIF($B$5:$K$57,Tableau3[[#This Row],[MOIS]],$K$5:$K$57)</f>
        <v>0</v>
      </c>
      <c r="O75" s="277">
        <v>43770</v>
      </c>
      <c r="P75" s="326">
        <v>15403</v>
      </c>
      <c r="Q75" s="280">
        <v>1343</v>
      </c>
      <c r="R75" s="272">
        <v>127</v>
      </c>
      <c r="S75" s="323">
        <v>1216</v>
      </c>
      <c r="T75" s="272">
        <v>1216</v>
      </c>
      <c r="W75" s="308"/>
      <c r="AA75" s="272">
        <v>1371</v>
      </c>
      <c r="AB75" s="272">
        <v>148</v>
      </c>
      <c r="AC75" s="272">
        <f t="shared" si="23"/>
        <v>1223</v>
      </c>
    </row>
    <row r="76" spans="3:29" x14ac:dyDescent="0.2">
      <c r="C76" s="277">
        <v>44166</v>
      </c>
      <c r="D76" s="326" t="str">
        <f t="shared" ca="1" si="24"/>
        <v/>
      </c>
      <c r="E76" s="280">
        <f t="shared" ca="1" si="21"/>
        <v>0</v>
      </c>
      <c r="F76" s="272">
        <f ca="1">SUMIF($B$5:$K$57,Tableau3[[#This Row],[MOIS]],$F$5:$F$57)</f>
        <v>0</v>
      </c>
      <c r="G76" s="323">
        <f t="shared" ca="1" si="22"/>
        <v>0</v>
      </c>
      <c r="H76" s="272">
        <f ca="1">SUMIF($B$5:$K$57,Tableau3[[#This Row],[MOIS]],$H$5:$H$57)</f>
        <v>0</v>
      </c>
      <c r="I76" s="272">
        <f ca="1">SUMIF($B$5:$K$57,Tableau3[[#This Row],[MOIS]],$I$5:$I$57)</f>
        <v>0</v>
      </c>
      <c r="J76" s="272">
        <f ca="1">SUMIF($B$5:$K$57,Tableau3[[#This Row],[MOIS]],$J$5:$J$57)</f>
        <v>0</v>
      </c>
      <c r="K76" s="308">
        <f ca="1">SUMIF($B$5:$K$57,Tableau3[[#This Row],[MOIS]],$K$5:$K$57)</f>
        <v>0</v>
      </c>
      <c r="O76" s="277">
        <v>43800</v>
      </c>
      <c r="P76" s="326">
        <v>16516</v>
      </c>
      <c r="Q76" s="280">
        <v>1113</v>
      </c>
      <c r="R76" s="272">
        <v>108</v>
      </c>
      <c r="S76" s="323">
        <v>1005</v>
      </c>
      <c r="T76" s="272">
        <v>1005</v>
      </c>
      <c r="W76" s="308"/>
      <c r="AA76" s="272">
        <v>1263</v>
      </c>
      <c r="AB76" s="272">
        <v>101</v>
      </c>
      <c r="AC76" s="272">
        <f t="shared" si="23"/>
        <v>1162</v>
      </c>
    </row>
    <row r="77" spans="3:29" x14ac:dyDescent="0.2">
      <c r="C77" s="309"/>
      <c r="D77" s="328"/>
      <c r="E77" s="310">
        <f t="shared" ref="E77" ca="1" si="25">SUM(F77:G77)</f>
        <v>2676</v>
      </c>
      <c r="F77" s="298">
        <f ca="1">SUM(F65:F76)</f>
        <v>268</v>
      </c>
      <c r="G77" s="324">
        <f t="shared" ref="G77" ca="1" si="26">SUM(H77:K77)</f>
        <v>2408</v>
      </c>
      <c r="H77" s="311">
        <f t="shared" ref="H77:J77" ca="1" si="27">SUM(H65:H76)</f>
        <v>1582</v>
      </c>
      <c r="I77" s="311">
        <f t="shared" ca="1" si="27"/>
        <v>819</v>
      </c>
      <c r="J77" s="311">
        <f t="shared" ca="1" si="27"/>
        <v>7</v>
      </c>
      <c r="K77" s="312">
        <f ca="1">SUM(K65:K76)</f>
        <v>0</v>
      </c>
      <c r="O77" s="309"/>
      <c r="P77" s="328"/>
      <c r="Q77" s="310">
        <v>16516</v>
      </c>
      <c r="R77" s="298">
        <v>1767</v>
      </c>
      <c r="S77" s="324">
        <v>14749</v>
      </c>
      <c r="T77" s="312">
        <v>14749</v>
      </c>
      <c r="U77" s="311"/>
      <c r="V77" s="311"/>
      <c r="W77" s="312"/>
    </row>
  </sheetData>
  <autoFilter ref="A4:K4"/>
  <mergeCells count="4">
    <mergeCell ref="L2:M2"/>
    <mergeCell ref="L3:M3"/>
    <mergeCell ref="X2:Y2"/>
    <mergeCell ref="X3:Y3"/>
  </mergeCells>
  <pageMargins left="0" right="0" top="0.55118110236220474" bottom="0.55118110236220474" header="0.31496062992125984" footer="0.31496062992125984"/>
  <pageSetup paperSize="9" scale="64" orientation="portrait" r:id="rId1"/>
  <legacyDrawing r:id="rId2"/>
  <tableParts count="2"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4"/>
    <pageSetUpPr fitToPage="1"/>
  </sheetPr>
  <dimension ref="A1:AF78"/>
  <sheetViews>
    <sheetView zoomScaleNormal="100" workbookViewId="0">
      <pane ySplit="4" topLeftCell="A5" activePane="bottomLeft" state="frozen"/>
      <selection pane="bottomLeft" activeCell="K13" sqref="K13"/>
    </sheetView>
  </sheetViews>
  <sheetFormatPr baseColWidth="10" defaultRowHeight="12.75" x14ac:dyDescent="0.2"/>
  <cols>
    <col min="1" max="1" width="9.7109375" style="272" customWidth="1"/>
    <col min="2" max="2" width="8" style="286" bestFit="1" customWidth="1"/>
    <col min="3" max="4" width="9" style="272" customWidth="1"/>
    <col min="5" max="5" width="8" style="272" bestFit="1" customWidth="1"/>
    <col min="6" max="7" width="7.7109375" style="272" customWidth="1"/>
    <col min="8" max="8" width="9" style="272" customWidth="1"/>
    <col min="9" max="9" width="7" style="272" customWidth="1"/>
    <col min="10" max="10" width="6.5703125" style="272" bestFit="1" customWidth="1"/>
    <col min="11" max="11" width="7" style="272" customWidth="1"/>
    <col min="12" max="12" width="4" style="272" customWidth="1"/>
    <col min="13" max="14" width="9.42578125" style="272" customWidth="1"/>
    <col min="15" max="15" width="8" style="272" bestFit="1" customWidth="1"/>
    <col min="16" max="17" width="7.7109375" style="272" customWidth="1"/>
    <col min="18" max="18" width="9" style="272" customWidth="1"/>
    <col min="19" max="19" width="7" style="272" customWidth="1"/>
    <col min="20" max="20" width="6.5703125" style="272" bestFit="1" customWidth="1"/>
    <col min="21" max="23" width="7" style="272" customWidth="1"/>
    <col min="24" max="24" width="6.5703125" style="273" customWidth="1"/>
    <col min="25" max="16384" width="11.42578125" style="272"/>
  </cols>
  <sheetData>
    <row r="1" spans="1:32" x14ac:dyDescent="0.2">
      <c r="A1" s="269" t="s">
        <v>211</v>
      </c>
      <c r="B1" s="270"/>
      <c r="C1" s="271"/>
      <c r="D1" s="271"/>
      <c r="E1" s="271"/>
      <c r="F1" s="271"/>
      <c r="G1" s="271"/>
      <c r="H1" s="271"/>
      <c r="I1" s="368" t="s">
        <v>208</v>
      </c>
      <c r="J1" s="271"/>
      <c r="K1" s="271"/>
      <c r="M1" s="269" t="s">
        <v>211</v>
      </c>
      <c r="N1" s="269"/>
      <c r="O1" s="271"/>
      <c r="P1" s="271"/>
      <c r="Q1" s="271"/>
      <c r="R1" s="271"/>
      <c r="S1" s="368" t="s">
        <v>209</v>
      </c>
      <c r="T1" s="271"/>
      <c r="U1" s="271"/>
    </row>
    <row r="2" spans="1:32" x14ac:dyDescent="0.2">
      <c r="A2" s="271"/>
      <c r="B2" s="270"/>
      <c r="C2" s="271"/>
      <c r="D2" s="271"/>
      <c r="E2" s="271"/>
      <c r="F2" s="271"/>
      <c r="G2" s="271"/>
      <c r="H2" s="271"/>
      <c r="I2" s="271"/>
      <c r="J2" s="271"/>
      <c r="K2" s="271"/>
      <c r="M2" s="271"/>
      <c r="N2" s="271"/>
      <c r="O2" s="271"/>
      <c r="P2" s="271"/>
      <c r="Q2" s="271"/>
      <c r="R2" s="271"/>
      <c r="S2" s="271"/>
      <c r="T2" s="271"/>
      <c r="U2" s="271"/>
    </row>
    <row r="3" spans="1:32" ht="15.75" x14ac:dyDescent="0.25">
      <c r="A3" s="271">
        <v>19</v>
      </c>
      <c r="B3" s="270"/>
      <c r="C3" s="339" t="s">
        <v>204</v>
      </c>
      <c r="D3" s="271"/>
      <c r="E3" s="271"/>
      <c r="F3" s="271"/>
      <c r="G3" s="271"/>
      <c r="H3" s="271"/>
      <c r="I3" s="271"/>
      <c r="J3" s="538" t="s">
        <v>225</v>
      </c>
      <c r="K3" s="538"/>
      <c r="M3" s="339" t="s">
        <v>70</v>
      </c>
      <c r="N3" s="271"/>
      <c r="O3" s="271"/>
      <c r="P3" s="271"/>
      <c r="Q3" s="271"/>
      <c r="R3" s="271"/>
      <c r="S3" s="271"/>
      <c r="T3" s="538" t="s">
        <v>225</v>
      </c>
      <c r="U3" s="538"/>
    </row>
    <row r="4" spans="1:32" x14ac:dyDescent="0.2">
      <c r="A4" s="367" t="s">
        <v>95</v>
      </c>
      <c r="B4" s="274" t="s">
        <v>94</v>
      </c>
      <c r="C4" s="272" t="s">
        <v>65</v>
      </c>
      <c r="D4" s="325" t="s">
        <v>206</v>
      </c>
      <c r="E4" s="275" t="s">
        <v>66</v>
      </c>
      <c r="F4" s="272" t="s">
        <v>67</v>
      </c>
      <c r="G4" s="272" t="s">
        <v>68</v>
      </c>
      <c r="H4" s="272" t="s">
        <v>69</v>
      </c>
      <c r="I4" s="276" t="s">
        <v>80</v>
      </c>
      <c r="J4" s="394" t="s">
        <v>206</v>
      </c>
      <c r="K4" s="394" t="s">
        <v>226</v>
      </c>
      <c r="M4" s="272" t="s">
        <v>65</v>
      </c>
      <c r="N4" s="330" t="s">
        <v>206</v>
      </c>
      <c r="O4" s="275" t="s">
        <v>66</v>
      </c>
      <c r="P4" s="272" t="s">
        <v>67</v>
      </c>
      <c r="Q4" s="272" t="s">
        <v>68</v>
      </c>
      <c r="R4" s="272" t="s">
        <v>69</v>
      </c>
      <c r="S4" s="276" t="s">
        <v>80</v>
      </c>
      <c r="T4" s="394" t="s">
        <v>206</v>
      </c>
      <c r="U4" s="394" t="s">
        <v>226</v>
      </c>
      <c r="Y4" s="277"/>
      <c r="Z4" s="277"/>
      <c r="AA4" s="277"/>
      <c r="AB4" s="277"/>
      <c r="AC4" s="277"/>
      <c r="AD4" s="277"/>
      <c r="AE4" s="277"/>
      <c r="AF4" s="277"/>
    </row>
    <row r="5" spans="1:32" x14ac:dyDescent="0.2">
      <c r="A5" s="278"/>
      <c r="B5" s="279">
        <f>'Récap devis'!B5</f>
        <v>43831</v>
      </c>
      <c r="C5" s="272">
        <v>1</v>
      </c>
      <c r="D5" s="326">
        <f>E5+I5</f>
        <v>0</v>
      </c>
      <c r="E5" s="280">
        <f>SUM(F5:H5)</f>
        <v>0</v>
      </c>
      <c r="F5" s="272">
        <f>[2]saisie_cde_B!$W$79</f>
        <v>0</v>
      </c>
      <c r="G5" s="272">
        <f>[2]saisie_cde_B!$W$81</f>
        <v>0</v>
      </c>
      <c r="H5" s="272">
        <f>[2]saisie_cde_B!$W$80</f>
        <v>0</v>
      </c>
      <c r="I5" s="281">
        <f>[2]saisie_cde_B!$W$93</f>
        <v>0</v>
      </c>
      <c r="J5" s="386">
        <f>K5</f>
        <v>0</v>
      </c>
      <c r="K5" s="384"/>
      <c r="M5" s="272">
        <v>1</v>
      </c>
      <c r="N5" s="326">
        <v>136</v>
      </c>
      <c r="O5" s="280">
        <v>129</v>
      </c>
      <c r="P5" s="272">
        <v>89</v>
      </c>
      <c r="Q5" s="272">
        <v>32</v>
      </c>
      <c r="R5" s="272">
        <v>8</v>
      </c>
      <c r="S5" s="281">
        <v>7</v>
      </c>
      <c r="T5" s="386">
        <f>U5</f>
        <v>214</v>
      </c>
      <c r="U5" s="384">
        <v>214</v>
      </c>
    </row>
    <row r="6" spans="1:32" x14ac:dyDescent="0.2">
      <c r="A6" s="278">
        <v>1</v>
      </c>
      <c r="B6" s="279">
        <f>'Récap devis'!B6</f>
        <v>43831</v>
      </c>
      <c r="C6" s="272">
        <v>2</v>
      </c>
      <c r="D6" s="326">
        <f ca="1">IF(E6&lt;&gt;0,D5+E6+I6,"")</f>
        <v>258</v>
      </c>
      <c r="E6" s="280">
        <f ca="1">SUM(F6:H6)</f>
        <v>228</v>
      </c>
      <c r="F6" s="272">
        <f ca="1">OFFSET([2]saisie_cde_B!$W$79,$A$3*A6,0)</f>
        <v>217</v>
      </c>
      <c r="G6" s="272">
        <f ca="1">OFFSET([2]saisie_cde_B!$W$81,$A$3*A6,0)</f>
        <v>0</v>
      </c>
      <c r="H6" s="272">
        <f ca="1">OFFSET([2]saisie_cde_B!$W$80,$A$3*A6,0)</f>
        <v>11</v>
      </c>
      <c r="I6" s="281">
        <f ca="1">OFFSET([2]saisie_cde_B!$W$93,$A$3*A6,0)</f>
        <v>30</v>
      </c>
      <c r="J6" s="389">
        <f>IF(K6&lt;&gt;0,+K6,)</f>
        <v>308</v>
      </c>
      <c r="K6" s="384">
        <f>[3]Production!$G1628</f>
        <v>308</v>
      </c>
      <c r="M6" s="272">
        <v>2</v>
      </c>
      <c r="N6" s="326">
        <v>293</v>
      </c>
      <c r="O6" s="280">
        <v>142</v>
      </c>
      <c r="P6" s="272">
        <v>129</v>
      </c>
      <c r="Q6" s="272">
        <v>4</v>
      </c>
      <c r="R6" s="272">
        <v>9</v>
      </c>
      <c r="S6" s="281">
        <v>15</v>
      </c>
      <c r="T6" s="386">
        <f>T5+U6</f>
        <v>487</v>
      </c>
      <c r="U6" s="384">
        <v>273</v>
      </c>
    </row>
    <row r="7" spans="1:32" x14ac:dyDescent="0.2">
      <c r="A7" s="278">
        <v>2</v>
      </c>
      <c r="B7" s="279">
        <f>'Récap devis'!B7</f>
        <v>43831</v>
      </c>
      <c r="C7" s="272">
        <v>3</v>
      </c>
      <c r="D7" s="380">
        <f t="shared" ref="D7:D56" ca="1" si="0">IF(E7&lt;&gt;0,D6+E7+I7,"")</f>
        <v>513</v>
      </c>
      <c r="E7" s="280">
        <f t="shared" ref="E7:E18" ca="1" si="1">SUM(F7:H7)</f>
        <v>243</v>
      </c>
      <c r="F7" s="272">
        <f ca="1">OFFSET([2]saisie_cde_B!$W$79,$A$3*A7,0)</f>
        <v>237</v>
      </c>
      <c r="G7" s="272">
        <f ca="1">OFFSET([2]saisie_cde_B!$W$81,$A$3*A7,0)</f>
        <v>0</v>
      </c>
      <c r="H7" s="272">
        <f ca="1">OFFSET([2]saisie_cde_B!$W$80,$A$3*A7,0)</f>
        <v>6</v>
      </c>
      <c r="I7" s="281">
        <f ca="1">OFFSET([2]saisie_cde_B!$W$93,$A$3*A7,0)</f>
        <v>12</v>
      </c>
      <c r="J7" s="389">
        <f>IF(K7&lt;&gt;0,J6+K7,)</f>
        <v>670</v>
      </c>
      <c r="K7" s="384">
        <f>[3]Production!$G1629</f>
        <v>362</v>
      </c>
      <c r="M7" s="272">
        <v>3</v>
      </c>
      <c r="N7" s="325">
        <v>499</v>
      </c>
      <c r="O7" s="280">
        <v>195</v>
      </c>
      <c r="P7" s="272">
        <v>175</v>
      </c>
      <c r="Q7" s="272">
        <v>0</v>
      </c>
      <c r="R7" s="272">
        <v>20</v>
      </c>
      <c r="S7" s="281">
        <v>11</v>
      </c>
      <c r="T7" s="386">
        <f t="shared" ref="T7:T56" si="2">T6+U7</f>
        <v>777</v>
      </c>
      <c r="U7" s="384">
        <v>290</v>
      </c>
    </row>
    <row r="8" spans="1:32" x14ac:dyDescent="0.2">
      <c r="A8" s="278">
        <v>3</v>
      </c>
      <c r="B8" s="279">
        <f>'Récap devis'!B8</f>
        <v>43831</v>
      </c>
      <c r="C8" s="272">
        <v>4</v>
      </c>
      <c r="D8" s="380">
        <f t="shared" ca="1" si="0"/>
        <v>840</v>
      </c>
      <c r="E8" s="280">
        <f t="shared" ca="1" si="1"/>
        <v>312</v>
      </c>
      <c r="F8" s="272">
        <f ca="1">OFFSET([2]saisie_cde_B!$W$79,$A$3*A8,0)</f>
        <v>292</v>
      </c>
      <c r="G8" s="272">
        <f ca="1">OFFSET([2]saisie_cde_B!$W$81,$A$3*A8,0)</f>
        <v>7</v>
      </c>
      <c r="H8" s="272">
        <f ca="1">OFFSET([2]saisie_cde_B!$W$80,$A$3*A8,0)</f>
        <v>13</v>
      </c>
      <c r="I8" s="281">
        <f ca="1">OFFSET([2]saisie_cde_B!$W$93,$A$3*A8,0)</f>
        <v>15</v>
      </c>
      <c r="J8" s="386">
        <f t="shared" ref="J8:J56" si="3">IF(K8&lt;&gt;0,J7+K8,)</f>
        <v>975</v>
      </c>
      <c r="K8" s="384">
        <f>[3]Production!$G1630</f>
        <v>305</v>
      </c>
      <c r="M8" s="272">
        <v>4</v>
      </c>
      <c r="N8" s="325">
        <v>736</v>
      </c>
      <c r="O8" s="280">
        <v>215</v>
      </c>
      <c r="P8" s="272">
        <v>164</v>
      </c>
      <c r="Q8" s="272">
        <v>40</v>
      </c>
      <c r="R8" s="272">
        <v>11</v>
      </c>
      <c r="S8" s="281">
        <v>22</v>
      </c>
      <c r="T8" s="386">
        <f t="shared" si="2"/>
        <v>1103</v>
      </c>
      <c r="U8" s="384">
        <v>326</v>
      </c>
    </row>
    <row r="9" spans="1:32" x14ac:dyDescent="0.2">
      <c r="A9" s="278">
        <v>4</v>
      </c>
      <c r="B9" s="279">
        <f>'Récap devis'!B9</f>
        <v>43831</v>
      </c>
      <c r="C9" s="282">
        <v>5</v>
      </c>
      <c r="D9" s="381">
        <f t="shared" ca="1" si="0"/>
        <v>1192</v>
      </c>
      <c r="E9" s="283">
        <f t="shared" ca="1" si="1"/>
        <v>329</v>
      </c>
      <c r="F9" s="282">
        <f ca="1">OFFSET([2]saisie_cde_B!$W$79,$A$3*A9,0)</f>
        <v>280</v>
      </c>
      <c r="G9" s="282">
        <f ca="1">OFFSET([2]saisie_cde_B!$W$81,$A$3*A9,0)</f>
        <v>14</v>
      </c>
      <c r="H9" s="282">
        <f ca="1">OFFSET([2]saisie_cde_B!$W$80,$A$3*A9,0)</f>
        <v>35</v>
      </c>
      <c r="I9" s="284">
        <f ca="1">OFFSET([2]saisie_cde_B!$W$93,$A$3*A9,0)</f>
        <v>23</v>
      </c>
      <c r="J9" s="390">
        <f t="shared" si="3"/>
        <v>1292</v>
      </c>
      <c r="K9" s="384">
        <v>317</v>
      </c>
      <c r="M9" s="282">
        <v>5</v>
      </c>
      <c r="N9" s="327">
        <v>1079</v>
      </c>
      <c r="O9" s="283">
        <v>320</v>
      </c>
      <c r="P9" s="282">
        <v>292</v>
      </c>
      <c r="Q9" s="282">
        <v>28</v>
      </c>
      <c r="R9" s="282">
        <v>0</v>
      </c>
      <c r="S9" s="284">
        <v>23</v>
      </c>
      <c r="T9" s="386">
        <f t="shared" si="2"/>
        <v>1382</v>
      </c>
      <c r="U9" s="384">
        <v>279</v>
      </c>
    </row>
    <row r="10" spans="1:32" x14ac:dyDescent="0.2">
      <c r="A10" s="278">
        <v>5</v>
      </c>
      <c r="B10" s="279">
        <f>'Récap devis'!B10</f>
        <v>43862</v>
      </c>
      <c r="C10" s="272">
        <v>6</v>
      </c>
      <c r="D10" s="380">
        <f t="shared" ca="1" si="0"/>
        <v>1622</v>
      </c>
      <c r="E10" s="280">
        <f t="shared" ca="1" si="1"/>
        <v>406</v>
      </c>
      <c r="F10" s="272">
        <f ca="1">OFFSET([2]saisie_cde_B!$W$79,$A$3*A10,0)</f>
        <v>384</v>
      </c>
      <c r="G10" s="272">
        <f ca="1">OFFSET([2]saisie_cde_B!$W$81,$A$3*A10,0)</f>
        <v>7</v>
      </c>
      <c r="H10" s="272">
        <f ca="1">OFFSET([2]saisie_cde_B!$W$80,$A$3*A10,0)</f>
        <v>15</v>
      </c>
      <c r="I10" s="281">
        <f ca="1">OFFSET([2]saisie_cde_B!$W$93,$A$3*A10,0)</f>
        <v>24</v>
      </c>
      <c r="J10" s="386">
        <f t="shared" si="3"/>
        <v>1605</v>
      </c>
      <c r="K10" s="384">
        <v>313</v>
      </c>
      <c r="M10" s="272">
        <v>6</v>
      </c>
      <c r="N10" s="325">
        <v>1305</v>
      </c>
      <c r="O10" s="280">
        <v>212</v>
      </c>
      <c r="P10" s="272">
        <v>189</v>
      </c>
      <c r="Q10" s="272">
        <v>22</v>
      </c>
      <c r="R10" s="272">
        <v>1</v>
      </c>
      <c r="S10" s="281">
        <v>14</v>
      </c>
      <c r="T10" s="386">
        <f t="shared" si="2"/>
        <v>1677</v>
      </c>
      <c r="U10" s="384">
        <v>295</v>
      </c>
    </row>
    <row r="11" spans="1:32" x14ac:dyDescent="0.2">
      <c r="A11" s="278">
        <v>6</v>
      </c>
      <c r="B11" s="279">
        <f>'Récap devis'!B11</f>
        <v>43862</v>
      </c>
      <c r="C11" s="272">
        <v>7</v>
      </c>
      <c r="D11" s="380">
        <f t="shared" ca="1" si="0"/>
        <v>2029</v>
      </c>
      <c r="E11" s="280">
        <f t="shared" ca="1" si="1"/>
        <v>381</v>
      </c>
      <c r="F11" s="272">
        <f ca="1">OFFSET([2]saisie_cde_B!$W$79,$A$3*A11,0)</f>
        <v>356</v>
      </c>
      <c r="G11" s="272">
        <f ca="1">OFFSET([2]saisie_cde_B!$W$81,$A$3*A11,0)</f>
        <v>8</v>
      </c>
      <c r="H11" s="272">
        <f ca="1">OFFSET([2]saisie_cde_B!$W$80,$A$3*A11,0)</f>
        <v>17</v>
      </c>
      <c r="I11" s="281">
        <f ca="1">OFFSET([2]saisie_cde_B!$W$93,$A$3*A11,0)</f>
        <v>26</v>
      </c>
      <c r="J11" s="386">
        <f t="shared" si="3"/>
        <v>1917</v>
      </c>
      <c r="K11" s="384">
        <v>312</v>
      </c>
      <c r="M11" s="272">
        <v>7</v>
      </c>
      <c r="N11" s="325">
        <v>1519</v>
      </c>
      <c r="O11" s="280">
        <v>201</v>
      </c>
      <c r="P11" s="272">
        <v>194</v>
      </c>
      <c r="Q11" s="272">
        <v>0</v>
      </c>
      <c r="R11" s="272">
        <v>7</v>
      </c>
      <c r="S11" s="281">
        <v>13</v>
      </c>
      <c r="T11" s="386">
        <f t="shared" si="2"/>
        <v>2007</v>
      </c>
      <c r="U11" s="384">
        <v>330</v>
      </c>
    </row>
    <row r="12" spans="1:32" x14ac:dyDescent="0.2">
      <c r="A12" s="278">
        <v>7</v>
      </c>
      <c r="B12" s="279">
        <f>'Récap devis'!B12</f>
        <v>43862</v>
      </c>
      <c r="C12" s="272">
        <v>8</v>
      </c>
      <c r="D12" s="380">
        <f t="shared" ca="1" si="0"/>
        <v>2315</v>
      </c>
      <c r="E12" s="280">
        <f t="shared" ca="1" si="1"/>
        <v>250</v>
      </c>
      <c r="F12" s="272">
        <f ca="1">OFFSET([2]saisie_cde_B!$W$79,$A$3*A12,0)</f>
        <v>238</v>
      </c>
      <c r="G12" s="272">
        <f ca="1">OFFSET([2]saisie_cde_B!$W$81,$A$3*A12,0)</f>
        <v>0</v>
      </c>
      <c r="H12" s="272">
        <f ca="1">OFFSET([2]saisie_cde_B!$W$80,$A$3*A12,0)</f>
        <v>12</v>
      </c>
      <c r="I12" s="281">
        <f ca="1">OFFSET([2]saisie_cde_B!$W$93,$A$3*A12,0)</f>
        <v>36</v>
      </c>
      <c r="J12" s="386">
        <f t="shared" si="3"/>
        <v>2254</v>
      </c>
      <c r="K12" s="384">
        <v>337</v>
      </c>
      <c r="M12" s="272">
        <v>8</v>
      </c>
      <c r="N12" s="325">
        <v>1680</v>
      </c>
      <c r="O12" s="280">
        <v>149</v>
      </c>
      <c r="P12" s="272">
        <v>148</v>
      </c>
      <c r="Q12" s="272">
        <v>0</v>
      </c>
      <c r="R12" s="272">
        <v>1</v>
      </c>
      <c r="S12" s="281">
        <v>12</v>
      </c>
      <c r="T12" s="386">
        <f t="shared" si="2"/>
        <v>2332</v>
      </c>
      <c r="U12" s="384">
        <v>325</v>
      </c>
    </row>
    <row r="13" spans="1:32" x14ac:dyDescent="0.2">
      <c r="A13" s="278">
        <v>8</v>
      </c>
      <c r="B13" s="279">
        <f>'Récap devis'!B13</f>
        <v>43862</v>
      </c>
      <c r="C13" s="282">
        <v>9</v>
      </c>
      <c r="D13" s="381">
        <f t="shared" ca="1" si="0"/>
        <v>2614</v>
      </c>
      <c r="E13" s="283">
        <f t="shared" ca="1" si="1"/>
        <v>277</v>
      </c>
      <c r="F13" s="282">
        <f ca="1">OFFSET([2]saisie_cde_B!$W$79,$A$3*A13,0)</f>
        <v>264</v>
      </c>
      <c r="G13" s="282">
        <f ca="1">OFFSET([2]saisie_cde_B!$W$81,$A$3*A13,0)</f>
        <v>0</v>
      </c>
      <c r="H13" s="282">
        <f ca="1">OFFSET([2]saisie_cde_B!$W$80,$A$3*A13,0)</f>
        <v>13</v>
      </c>
      <c r="I13" s="284">
        <f ca="1">OFFSET([2]saisie_cde_B!$W$93,$A$3*A13,0)</f>
        <v>22</v>
      </c>
      <c r="J13" s="390">
        <f t="shared" si="3"/>
        <v>0</v>
      </c>
      <c r="K13" s="384"/>
      <c r="M13" s="282">
        <v>9</v>
      </c>
      <c r="N13" s="327">
        <v>2001</v>
      </c>
      <c r="O13" s="283">
        <v>302</v>
      </c>
      <c r="P13" s="282">
        <v>273</v>
      </c>
      <c r="Q13" s="282">
        <v>11</v>
      </c>
      <c r="R13" s="282">
        <v>18</v>
      </c>
      <c r="S13" s="284">
        <v>19</v>
      </c>
      <c r="T13" s="386">
        <f t="shared" si="2"/>
        <v>2619</v>
      </c>
      <c r="U13" s="384">
        <v>287</v>
      </c>
    </row>
    <row r="14" spans="1:32" x14ac:dyDescent="0.2">
      <c r="A14" s="278">
        <v>9</v>
      </c>
      <c r="B14" s="279">
        <f>'Récap devis'!B14</f>
        <v>43891</v>
      </c>
      <c r="C14" s="272">
        <v>10</v>
      </c>
      <c r="D14" s="272" t="str">
        <f t="shared" ca="1" si="0"/>
        <v/>
      </c>
      <c r="E14" s="280">
        <f t="shared" ca="1" si="1"/>
        <v>0</v>
      </c>
      <c r="F14" s="272">
        <f ca="1">OFFSET([2]saisie_cde_B!$W$79,$A$3*A14,0)</f>
        <v>0</v>
      </c>
      <c r="G14" s="272">
        <f ca="1">OFFSET([2]saisie_cde_B!$W$81,$A$3*A14,0)</f>
        <v>0</v>
      </c>
      <c r="H14" s="272">
        <f ca="1">OFFSET([2]saisie_cde_B!$W$80,$A$3*A14,0)</f>
        <v>0</v>
      </c>
      <c r="I14" s="281">
        <f ca="1">OFFSET([2]saisie_cde_B!$W$93,$A$3*A14,0)</f>
        <v>0</v>
      </c>
      <c r="J14" s="386">
        <f t="shared" si="3"/>
        <v>0</v>
      </c>
      <c r="K14" s="384"/>
      <c r="M14" s="272">
        <v>10</v>
      </c>
      <c r="N14" s="325">
        <v>2315</v>
      </c>
      <c r="O14" s="280">
        <v>301</v>
      </c>
      <c r="P14" s="272">
        <v>265</v>
      </c>
      <c r="Q14" s="272">
        <v>14</v>
      </c>
      <c r="R14" s="272">
        <v>22</v>
      </c>
      <c r="S14" s="281">
        <v>13</v>
      </c>
      <c r="T14" s="386">
        <f t="shared" si="2"/>
        <v>2935</v>
      </c>
      <c r="U14" s="384">
        <v>316</v>
      </c>
    </row>
    <row r="15" spans="1:32" x14ac:dyDescent="0.2">
      <c r="A15" s="278">
        <v>10</v>
      </c>
      <c r="B15" s="279">
        <f>'Récap devis'!B15</f>
        <v>43891</v>
      </c>
      <c r="C15" s="272">
        <v>11</v>
      </c>
      <c r="D15" s="272" t="str">
        <f t="shared" ca="1" si="0"/>
        <v/>
      </c>
      <c r="E15" s="280">
        <f t="shared" ca="1" si="1"/>
        <v>0</v>
      </c>
      <c r="F15" s="272">
        <f ca="1">OFFSET([2]saisie_cde_B!$W$79,$A$3*A15,0)</f>
        <v>0</v>
      </c>
      <c r="G15" s="272">
        <f ca="1">OFFSET([2]saisie_cde_B!$W$81,$A$3*A15,0)</f>
        <v>0</v>
      </c>
      <c r="H15" s="272">
        <f ca="1">OFFSET([2]saisie_cde_B!$W$80,$A$3*A15,0)</f>
        <v>0</v>
      </c>
      <c r="I15" s="281">
        <f ca="1">OFFSET([2]saisie_cde_B!$W$93,$A$3*A15,0)</f>
        <v>0</v>
      </c>
      <c r="J15" s="386">
        <f t="shared" si="3"/>
        <v>0</v>
      </c>
      <c r="K15" s="384"/>
      <c r="M15" s="272">
        <v>11</v>
      </c>
      <c r="N15" s="325">
        <v>2545</v>
      </c>
      <c r="O15" s="280">
        <v>210</v>
      </c>
      <c r="P15" s="272">
        <v>183</v>
      </c>
      <c r="Q15" s="272">
        <v>18</v>
      </c>
      <c r="R15" s="272">
        <v>9</v>
      </c>
      <c r="S15" s="281">
        <v>20</v>
      </c>
      <c r="T15" s="386">
        <f t="shared" si="2"/>
        <v>3271</v>
      </c>
      <c r="U15" s="384">
        <v>336</v>
      </c>
    </row>
    <row r="16" spans="1:32" x14ac:dyDescent="0.2">
      <c r="A16" s="278">
        <v>11</v>
      </c>
      <c r="B16" s="279">
        <f>'Récap devis'!B16</f>
        <v>43891</v>
      </c>
      <c r="C16" s="272">
        <v>12</v>
      </c>
      <c r="D16" s="272" t="str">
        <f t="shared" ca="1" si="0"/>
        <v/>
      </c>
      <c r="E16" s="280">
        <f t="shared" ca="1" si="1"/>
        <v>0</v>
      </c>
      <c r="F16" s="272">
        <f ca="1">OFFSET([2]saisie_cde_B!$W$79,$A$3*A16,0)</f>
        <v>0</v>
      </c>
      <c r="G16" s="272">
        <f ca="1">OFFSET([2]saisie_cde_B!$W$81,$A$3*A16,0)</f>
        <v>0</v>
      </c>
      <c r="H16" s="272">
        <f ca="1">OFFSET([2]saisie_cde_B!$W$80,$A$3*A16,0)</f>
        <v>0</v>
      </c>
      <c r="I16" s="281">
        <f ca="1">OFFSET([2]saisie_cde_B!$W$93,$A$3*A16,0)</f>
        <v>0</v>
      </c>
      <c r="J16" s="386">
        <f t="shared" si="3"/>
        <v>0</v>
      </c>
      <c r="K16" s="384"/>
      <c r="M16" s="272">
        <v>12</v>
      </c>
      <c r="N16" s="325">
        <v>2834</v>
      </c>
      <c r="O16" s="280">
        <v>270</v>
      </c>
      <c r="P16" s="272">
        <v>222</v>
      </c>
      <c r="Q16" s="272">
        <v>22</v>
      </c>
      <c r="R16" s="272">
        <v>26</v>
      </c>
      <c r="S16" s="281">
        <v>19</v>
      </c>
      <c r="T16" s="386">
        <f t="shared" si="2"/>
        <v>3583</v>
      </c>
      <c r="U16" s="384">
        <v>312</v>
      </c>
    </row>
    <row r="17" spans="1:21" x14ac:dyDescent="0.2">
      <c r="A17" s="278">
        <v>12</v>
      </c>
      <c r="B17" s="279">
        <f>'Récap devis'!B17</f>
        <v>43891</v>
      </c>
      <c r="C17" s="282">
        <v>13</v>
      </c>
      <c r="D17" s="282" t="str">
        <f t="shared" ca="1" si="0"/>
        <v/>
      </c>
      <c r="E17" s="283">
        <f t="shared" ca="1" si="1"/>
        <v>0</v>
      </c>
      <c r="F17" s="282">
        <f ca="1">OFFSET([2]saisie_cde_B!$W$79,$A$3*A17,0)</f>
        <v>0</v>
      </c>
      <c r="G17" s="282">
        <f ca="1">OFFSET([2]saisie_cde_B!$W$81,$A$3*A17,0)</f>
        <v>0</v>
      </c>
      <c r="H17" s="282">
        <f ca="1">OFFSET([2]saisie_cde_B!$W$80,$A$3*A17,0)</f>
        <v>0</v>
      </c>
      <c r="I17" s="284">
        <f ca="1">OFFSET([2]saisie_cde_B!$W$93,$A$3*A17,0)</f>
        <v>0</v>
      </c>
      <c r="J17" s="390">
        <f t="shared" si="3"/>
        <v>0</v>
      </c>
      <c r="K17" s="384"/>
      <c r="M17" s="282">
        <v>13</v>
      </c>
      <c r="N17" s="327">
        <v>3151</v>
      </c>
      <c r="O17" s="283">
        <v>295</v>
      </c>
      <c r="P17" s="282">
        <v>231</v>
      </c>
      <c r="Q17" s="282">
        <v>45</v>
      </c>
      <c r="R17" s="282">
        <v>19</v>
      </c>
      <c r="S17" s="284">
        <v>22</v>
      </c>
      <c r="T17" s="386">
        <f t="shared" si="2"/>
        <v>3857</v>
      </c>
      <c r="U17" s="384">
        <v>274</v>
      </c>
    </row>
    <row r="18" spans="1:21" x14ac:dyDescent="0.2">
      <c r="A18" s="278">
        <v>13</v>
      </c>
      <c r="B18" s="279">
        <f>'Récap devis'!B18</f>
        <v>43922</v>
      </c>
      <c r="C18" s="272">
        <v>14</v>
      </c>
      <c r="D18" s="272" t="str">
        <f t="shared" ca="1" si="0"/>
        <v/>
      </c>
      <c r="E18" s="280">
        <f t="shared" ca="1" si="1"/>
        <v>0</v>
      </c>
      <c r="F18" s="272">
        <f ca="1">OFFSET([2]saisie_cde_B!$W$79,$A$3*A18,0)</f>
        <v>0</v>
      </c>
      <c r="G18" s="272">
        <f ca="1">OFFSET([2]saisie_cde_B!$W$81,$A$3*A18,0)</f>
        <v>0</v>
      </c>
      <c r="H18" s="272">
        <f ca="1">OFFSET([2]saisie_cde_B!$W$80,$A$3*A18,0)</f>
        <v>0</v>
      </c>
      <c r="I18" s="281">
        <f ca="1">OFFSET([2]saisie_cde_B!$W$93,$A$3*A18,0)</f>
        <v>0</v>
      </c>
      <c r="J18" s="386">
        <f t="shared" si="3"/>
        <v>0</v>
      </c>
      <c r="K18" s="384"/>
      <c r="M18" s="272">
        <v>14</v>
      </c>
      <c r="N18" s="325">
        <v>3427</v>
      </c>
      <c r="O18" s="280">
        <v>261</v>
      </c>
      <c r="P18" s="272">
        <v>246</v>
      </c>
      <c r="Q18" s="272">
        <v>6</v>
      </c>
      <c r="R18" s="272">
        <v>9</v>
      </c>
      <c r="S18" s="281">
        <v>15</v>
      </c>
      <c r="T18" s="386">
        <f t="shared" si="2"/>
        <v>4119</v>
      </c>
      <c r="U18" s="384">
        <v>262</v>
      </c>
    </row>
    <row r="19" spans="1:21" x14ac:dyDescent="0.2">
      <c r="A19" s="278">
        <v>14</v>
      </c>
      <c r="B19" s="279">
        <f>'Récap devis'!B19</f>
        <v>43922</v>
      </c>
      <c r="C19" s="272">
        <v>15</v>
      </c>
      <c r="D19" s="272" t="str">
        <f t="shared" ca="1" si="0"/>
        <v/>
      </c>
      <c r="E19" s="280">
        <f t="shared" ref="E19:E35" ca="1" si="4">SUM(F19:H19)</f>
        <v>0</v>
      </c>
      <c r="F19" s="272">
        <f ca="1">OFFSET([2]saisie_cde_B!$W$79,$A$3*A19,0)</f>
        <v>0</v>
      </c>
      <c r="G19" s="272">
        <f ca="1">OFFSET([2]saisie_cde_B!$W$81,$A$3*A19,0)</f>
        <v>0</v>
      </c>
      <c r="H19" s="272">
        <f ca="1">OFFSET([2]saisie_cde_B!$W$80,$A$3*A19,0)</f>
        <v>0</v>
      </c>
      <c r="I19" s="281">
        <f ca="1">OFFSET([2]saisie_cde_B!$W$93,$A$3*A19,0)</f>
        <v>0</v>
      </c>
      <c r="J19" s="386">
        <f t="shared" si="3"/>
        <v>0</v>
      </c>
      <c r="K19" s="384"/>
      <c r="M19" s="272">
        <v>15</v>
      </c>
      <c r="N19" s="325">
        <v>3743</v>
      </c>
      <c r="O19" s="280">
        <v>299</v>
      </c>
      <c r="P19" s="272">
        <v>257</v>
      </c>
      <c r="Q19" s="272">
        <v>23</v>
      </c>
      <c r="R19" s="272">
        <v>19</v>
      </c>
      <c r="S19" s="281">
        <v>17</v>
      </c>
      <c r="T19" s="386">
        <f t="shared" si="2"/>
        <v>4417</v>
      </c>
      <c r="U19" s="384">
        <v>298</v>
      </c>
    </row>
    <row r="20" spans="1:21" x14ac:dyDescent="0.2">
      <c r="A20" s="278">
        <v>15</v>
      </c>
      <c r="B20" s="279">
        <f>'Récap devis'!B20</f>
        <v>43922</v>
      </c>
      <c r="C20" s="272">
        <v>16</v>
      </c>
      <c r="D20" s="272" t="str">
        <f t="shared" ca="1" si="0"/>
        <v/>
      </c>
      <c r="E20" s="280">
        <f t="shared" ca="1" si="4"/>
        <v>0</v>
      </c>
      <c r="F20" s="272">
        <f ca="1">OFFSET([2]saisie_cde_B!$W$79,$A$3*A20,0)</f>
        <v>0</v>
      </c>
      <c r="G20" s="272">
        <f ca="1">OFFSET([2]saisie_cde_B!$W$81,$A$3*A20,0)</f>
        <v>0</v>
      </c>
      <c r="H20" s="272">
        <f ca="1">OFFSET([2]saisie_cde_B!$W$80,$A$3*A20,0)</f>
        <v>0</v>
      </c>
      <c r="I20" s="281">
        <f ca="1">OFFSET([2]saisie_cde_B!$W$93,$A$3*A20,0)</f>
        <v>0</v>
      </c>
      <c r="J20" s="386">
        <f t="shared" si="3"/>
        <v>0</v>
      </c>
      <c r="K20" s="384"/>
      <c r="M20" s="272">
        <v>16</v>
      </c>
      <c r="N20" s="325">
        <v>4018</v>
      </c>
      <c r="O20" s="280">
        <v>262</v>
      </c>
      <c r="P20" s="272">
        <v>237</v>
      </c>
      <c r="Q20" s="272">
        <v>21</v>
      </c>
      <c r="R20" s="272">
        <v>4</v>
      </c>
      <c r="S20" s="281">
        <v>13</v>
      </c>
      <c r="T20" s="386">
        <f t="shared" si="2"/>
        <v>4692</v>
      </c>
      <c r="U20" s="384">
        <v>275</v>
      </c>
    </row>
    <row r="21" spans="1:21" x14ac:dyDescent="0.2">
      <c r="A21" s="278">
        <v>16</v>
      </c>
      <c r="B21" s="279">
        <f>'Récap devis'!B21</f>
        <v>43922</v>
      </c>
      <c r="C21" s="272">
        <v>17</v>
      </c>
      <c r="D21" s="272" t="str">
        <f t="shared" ca="1" si="0"/>
        <v/>
      </c>
      <c r="E21" s="280">
        <f t="shared" ca="1" si="4"/>
        <v>0</v>
      </c>
      <c r="F21" s="272">
        <f ca="1">OFFSET([2]saisie_cde_B!$W$79,$A$3*A21,0)</f>
        <v>0</v>
      </c>
      <c r="G21" s="272">
        <f ca="1">OFFSET([2]saisie_cde_B!$W$81,$A$3*A21,0)</f>
        <v>0</v>
      </c>
      <c r="H21" s="272">
        <f ca="1">OFFSET([2]saisie_cde_B!$W$80,$A$3*A21,0)</f>
        <v>0</v>
      </c>
      <c r="I21" s="281">
        <f ca="1">OFFSET([2]saisie_cde_B!$W$93,$A$3*A21,0)</f>
        <v>0</v>
      </c>
      <c r="J21" s="386">
        <f t="shared" si="3"/>
        <v>0</v>
      </c>
      <c r="K21" s="384"/>
      <c r="M21" s="272">
        <v>17</v>
      </c>
      <c r="N21" s="325">
        <v>4271</v>
      </c>
      <c r="O21" s="280">
        <v>241</v>
      </c>
      <c r="P21" s="272">
        <v>238</v>
      </c>
      <c r="Q21" s="272">
        <v>0</v>
      </c>
      <c r="R21" s="272">
        <v>3</v>
      </c>
      <c r="S21" s="281">
        <v>12</v>
      </c>
      <c r="T21" s="386">
        <f t="shared" si="2"/>
        <v>4936</v>
      </c>
      <c r="U21" s="384">
        <v>244</v>
      </c>
    </row>
    <row r="22" spans="1:21" x14ac:dyDescent="0.2">
      <c r="A22" s="278">
        <v>17</v>
      </c>
      <c r="B22" s="279">
        <f>'Récap devis'!B22</f>
        <v>43922</v>
      </c>
      <c r="C22" s="282">
        <v>18</v>
      </c>
      <c r="D22" s="282" t="str">
        <f t="shared" ca="1" si="0"/>
        <v/>
      </c>
      <c r="E22" s="283">
        <f t="shared" ca="1" si="4"/>
        <v>0</v>
      </c>
      <c r="F22" s="282">
        <f ca="1">OFFSET([2]saisie_cde_B!$W$79,$A$3*A22,0)</f>
        <v>0</v>
      </c>
      <c r="G22" s="282">
        <f ca="1">OFFSET([2]saisie_cde_B!$W$81,$A$3*A22,0)</f>
        <v>0</v>
      </c>
      <c r="H22" s="282">
        <f ca="1">OFFSET([2]saisie_cde_B!$W$80,$A$3*A22,0)</f>
        <v>0</v>
      </c>
      <c r="I22" s="284">
        <f ca="1">OFFSET([2]saisie_cde_B!$W$93,$A$3*A22,0)</f>
        <v>0</v>
      </c>
      <c r="J22" s="390">
        <f t="shared" si="3"/>
        <v>0</v>
      </c>
      <c r="K22" s="384"/>
      <c r="M22" s="282">
        <v>18</v>
      </c>
      <c r="N22" s="327">
        <v>4449</v>
      </c>
      <c r="O22" s="283">
        <v>164</v>
      </c>
      <c r="P22" s="282">
        <v>152</v>
      </c>
      <c r="Q22" s="282">
        <v>0</v>
      </c>
      <c r="R22" s="282">
        <v>12</v>
      </c>
      <c r="S22" s="284">
        <v>14</v>
      </c>
      <c r="T22" s="386">
        <f t="shared" si="2"/>
        <v>5178</v>
      </c>
      <c r="U22" s="384">
        <v>242</v>
      </c>
    </row>
    <row r="23" spans="1:21" x14ac:dyDescent="0.2">
      <c r="A23" s="278">
        <v>18</v>
      </c>
      <c r="B23" s="279">
        <f>'Récap devis'!B23</f>
        <v>43952</v>
      </c>
      <c r="C23" s="272">
        <v>19</v>
      </c>
      <c r="D23" s="272" t="str">
        <f t="shared" ca="1" si="0"/>
        <v/>
      </c>
      <c r="E23" s="280">
        <f t="shared" ca="1" si="4"/>
        <v>0</v>
      </c>
      <c r="F23" s="272">
        <f ca="1">OFFSET([2]saisie_cde_B!$W$79,$A$3*A23,0)</f>
        <v>0</v>
      </c>
      <c r="G23" s="272">
        <f ca="1">OFFSET([2]saisie_cde_B!$W$81,$A$3*A23,0)</f>
        <v>0</v>
      </c>
      <c r="H23" s="272">
        <f ca="1">OFFSET([2]saisie_cde_B!$W$80,$A$3*A23,0)</f>
        <v>0</v>
      </c>
      <c r="I23" s="281">
        <f ca="1">OFFSET([2]saisie_cde_B!$W$93,$A$3*A23,0)</f>
        <v>0</v>
      </c>
      <c r="J23" s="386">
        <f t="shared" si="3"/>
        <v>0</v>
      </c>
      <c r="K23" s="384"/>
      <c r="M23" s="272">
        <v>19</v>
      </c>
      <c r="N23" s="325">
        <v>4672</v>
      </c>
      <c r="O23" s="280">
        <v>203</v>
      </c>
      <c r="P23" s="272">
        <v>174</v>
      </c>
      <c r="Q23" s="272">
        <v>11</v>
      </c>
      <c r="R23" s="272">
        <v>18</v>
      </c>
      <c r="S23" s="281">
        <v>20</v>
      </c>
      <c r="T23" s="386">
        <f t="shared" si="2"/>
        <v>5375</v>
      </c>
      <c r="U23" s="384">
        <v>197</v>
      </c>
    </row>
    <row r="24" spans="1:21" x14ac:dyDescent="0.2">
      <c r="A24" s="278">
        <v>19</v>
      </c>
      <c r="B24" s="279">
        <f>'Récap devis'!B24</f>
        <v>43952</v>
      </c>
      <c r="C24" s="272">
        <v>20</v>
      </c>
      <c r="D24" s="272" t="str">
        <f t="shared" ca="1" si="0"/>
        <v/>
      </c>
      <c r="E24" s="280">
        <f t="shared" ca="1" si="4"/>
        <v>0</v>
      </c>
      <c r="F24" s="272">
        <f ca="1">OFFSET([2]saisie_cde_B!$W$79,$A$3*A24,0)</f>
        <v>0</v>
      </c>
      <c r="G24" s="272">
        <f ca="1">OFFSET([2]saisie_cde_B!$W$81,$A$3*A24,0)</f>
        <v>0</v>
      </c>
      <c r="H24" s="272">
        <f ca="1">OFFSET([2]saisie_cde_B!$W$80,$A$3*A24,0)</f>
        <v>0</v>
      </c>
      <c r="I24" s="281">
        <f ca="1">OFFSET([2]saisie_cde_B!$W$93,$A$3*A24,0)</f>
        <v>0</v>
      </c>
      <c r="J24" s="386">
        <f t="shared" si="3"/>
        <v>0</v>
      </c>
      <c r="K24" s="384"/>
      <c r="M24" s="272">
        <v>20</v>
      </c>
      <c r="N24" s="325">
        <v>5017</v>
      </c>
      <c r="O24" s="280">
        <v>332</v>
      </c>
      <c r="P24" s="272">
        <v>317</v>
      </c>
      <c r="Q24" s="272">
        <v>0</v>
      </c>
      <c r="R24" s="272">
        <v>15</v>
      </c>
      <c r="S24" s="281">
        <v>13</v>
      </c>
      <c r="T24" s="386">
        <f t="shared" si="2"/>
        <v>5625</v>
      </c>
      <c r="U24" s="384">
        <v>250</v>
      </c>
    </row>
    <row r="25" spans="1:21" x14ac:dyDescent="0.2">
      <c r="A25" s="278">
        <v>20</v>
      </c>
      <c r="B25" s="279">
        <f>'Récap devis'!B25</f>
        <v>43952</v>
      </c>
      <c r="C25" s="272">
        <v>21</v>
      </c>
      <c r="D25" s="272" t="str">
        <f t="shared" ca="1" si="0"/>
        <v/>
      </c>
      <c r="E25" s="280">
        <f t="shared" ca="1" si="4"/>
        <v>0</v>
      </c>
      <c r="F25" s="272">
        <f ca="1">OFFSET([2]saisie_cde_B!$W$79,$A$3*A25,0)</f>
        <v>0</v>
      </c>
      <c r="G25" s="272">
        <f ca="1">OFFSET([2]saisie_cde_B!$W$81,$A$3*A25,0)</f>
        <v>0</v>
      </c>
      <c r="H25" s="272">
        <f ca="1">OFFSET([2]saisie_cde_B!$W$80,$A$3*A25,0)</f>
        <v>0</v>
      </c>
      <c r="I25" s="281">
        <f ca="1">OFFSET([2]saisie_cde_B!$W$93,$A$3*A25,0)</f>
        <v>0</v>
      </c>
      <c r="J25" s="386">
        <f t="shared" si="3"/>
        <v>0</v>
      </c>
      <c r="K25" s="384"/>
      <c r="M25" s="272">
        <v>21</v>
      </c>
      <c r="N25" s="325">
        <v>5399</v>
      </c>
      <c r="O25" s="280">
        <v>370</v>
      </c>
      <c r="P25" s="272">
        <v>354</v>
      </c>
      <c r="Q25" s="272">
        <v>10</v>
      </c>
      <c r="R25" s="272">
        <v>6</v>
      </c>
      <c r="S25" s="281">
        <v>12</v>
      </c>
      <c r="T25" s="386">
        <f t="shared" si="2"/>
        <v>5920</v>
      </c>
      <c r="U25" s="384">
        <v>295</v>
      </c>
    </row>
    <row r="26" spans="1:21" x14ac:dyDescent="0.2">
      <c r="A26" s="278">
        <v>21</v>
      </c>
      <c r="B26" s="279">
        <f>'Récap devis'!B26</f>
        <v>43952</v>
      </c>
      <c r="C26" s="282">
        <v>22</v>
      </c>
      <c r="D26" s="282" t="str">
        <f t="shared" ca="1" si="0"/>
        <v/>
      </c>
      <c r="E26" s="283">
        <f t="shared" ca="1" si="4"/>
        <v>0</v>
      </c>
      <c r="F26" s="282">
        <f ca="1">OFFSET([2]saisie_cde_B!$W$79,$A$3*A26,0)</f>
        <v>0</v>
      </c>
      <c r="G26" s="282">
        <f ca="1">OFFSET([2]saisie_cde_B!$W$81,$A$3*A26,0)</f>
        <v>0</v>
      </c>
      <c r="H26" s="282">
        <f ca="1">OFFSET([2]saisie_cde_B!$W$80,$A$3*A26,0)</f>
        <v>0</v>
      </c>
      <c r="I26" s="284">
        <f ca="1">OFFSET([2]saisie_cde_B!$W$93,$A$3*A26,0)</f>
        <v>0</v>
      </c>
      <c r="J26" s="390">
        <f t="shared" si="3"/>
        <v>0</v>
      </c>
      <c r="K26" s="384"/>
      <c r="M26" s="282">
        <v>22</v>
      </c>
      <c r="N26" s="327">
        <v>5586</v>
      </c>
      <c r="O26" s="283">
        <v>173</v>
      </c>
      <c r="P26" s="282">
        <v>169</v>
      </c>
      <c r="Q26" s="282">
        <v>0</v>
      </c>
      <c r="R26" s="282">
        <v>4</v>
      </c>
      <c r="S26" s="284">
        <v>14</v>
      </c>
      <c r="T26" s="386">
        <f t="shared" si="2"/>
        <v>6113</v>
      </c>
      <c r="U26" s="384">
        <v>193</v>
      </c>
    </row>
    <row r="27" spans="1:21" x14ac:dyDescent="0.2">
      <c r="A27" s="278">
        <v>22</v>
      </c>
      <c r="B27" s="279">
        <f>'Récap devis'!B27</f>
        <v>43983</v>
      </c>
      <c r="C27" s="272">
        <v>23</v>
      </c>
      <c r="D27" s="272" t="str">
        <f t="shared" ca="1" si="0"/>
        <v/>
      </c>
      <c r="E27" s="280">
        <f t="shared" ca="1" si="4"/>
        <v>0</v>
      </c>
      <c r="F27" s="272">
        <f ca="1">OFFSET([2]saisie_cde_B!$W$79,$A$3*A27,0)</f>
        <v>0</v>
      </c>
      <c r="G27" s="272">
        <f ca="1">OFFSET([2]saisie_cde_B!$W$81,$A$3*A27,0)</f>
        <v>0</v>
      </c>
      <c r="H27" s="272">
        <f ca="1">OFFSET([2]saisie_cde_B!$W$80,$A$3*A27,0)</f>
        <v>0</v>
      </c>
      <c r="I27" s="281">
        <f ca="1">OFFSET([2]saisie_cde_B!$W$93,$A$3*A27,0)</f>
        <v>0</v>
      </c>
      <c r="J27" s="386">
        <f t="shared" si="3"/>
        <v>0</v>
      </c>
      <c r="K27" s="384"/>
      <c r="M27" s="272">
        <v>23</v>
      </c>
      <c r="N27" s="325">
        <v>5896</v>
      </c>
      <c r="O27" s="280">
        <v>288</v>
      </c>
      <c r="P27" s="272">
        <v>260</v>
      </c>
      <c r="Q27" s="272">
        <v>23</v>
      </c>
      <c r="R27" s="272">
        <v>5</v>
      </c>
      <c r="S27" s="281">
        <v>22</v>
      </c>
      <c r="T27" s="386">
        <f t="shared" si="2"/>
        <v>6348</v>
      </c>
      <c r="U27" s="384">
        <v>235</v>
      </c>
    </row>
    <row r="28" spans="1:21" x14ac:dyDescent="0.2">
      <c r="A28" s="278">
        <v>23</v>
      </c>
      <c r="B28" s="279">
        <f>'Récap devis'!B28</f>
        <v>43983</v>
      </c>
      <c r="C28" s="272">
        <v>24</v>
      </c>
      <c r="D28" s="272" t="str">
        <f t="shared" ca="1" si="0"/>
        <v/>
      </c>
      <c r="E28" s="280">
        <f t="shared" ca="1" si="4"/>
        <v>0</v>
      </c>
      <c r="F28" s="272">
        <f ca="1">OFFSET([2]saisie_cde_B!$W$79,$A$3*A28,0)</f>
        <v>0</v>
      </c>
      <c r="G28" s="272">
        <f ca="1">OFFSET([2]saisie_cde_B!$W$81,$A$3*A28,0)</f>
        <v>0</v>
      </c>
      <c r="H28" s="272">
        <f ca="1">OFFSET([2]saisie_cde_B!$W$80,$A$3*A28,0)</f>
        <v>0</v>
      </c>
      <c r="I28" s="281">
        <f ca="1">OFFSET([2]saisie_cde_B!$W$93,$A$3*A28,0)</f>
        <v>0</v>
      </c>
      <c r="J28" s="386">
        <f t="shared" si="3"/>
        <v>0</v>
      </c>
      <c r="K28" s="384"/>
      <c r="M28" s="272">
        <v>24</v>
      </c>
      <c r="N28" s="325">
        <v>6256</v>
      </c>
      <c r="O28" s="280">
        <v>348</v>
      </c>
      <c r="P28" s="272">
        <v>322</v>
      </c>
      <c r="Q28" s="272">
        <v>21</v>
      </c>
      <c r="R28" s="272">
        <v>5</v>
      </c>
      <c r="S28" s="281">
        <v>12</v>
      </c>
      <c r="T28" s="386">
        <f t="shared" si="2"/>
        <v>6599</v>
      </c>
      <c r="U28" s="384">
        <v>251</v>
      </c>
    </row>
    <row r="29" spans="1:21" x14ac:dyDescent="0.2">
      <c r="A29" s="278">
        <v>24</v>
      </c>
      <c r="B29" s="279">
        <f>'Récap devis'!B29</f>
        <v>43983</v>
      </c>
      <c r="C29" s="272">
        <v>25</v>
      </c>
      <c r="D29" s="272" t="str">
        <f t="shared" ca="1" si="0"/>
        <v/>
      </c>
      <c r="E29" s="280">
        <f t="shared" ca="1" si="4"/>
        <v>0</v>
      </c>
      <c r="F29" s="272">
        <f ca="1">OFFSET([2]saisie_cde_B!$W$79,$A$3*A29,0)</f>
        <v>0</v>
      </c>
      <c r="G29" s="272">
        <f ca="1">OFFSET([2]saisie_cde_B!$W$81,$A$3*A29,0)</f>
        <v>0</v>
      </c>
      <c r="H29" s="272">
        <f ca="1">OFFSET([2]saisie_cde_B!$W$80,$A$3*A29,0)</f>
        <v>0</v>
      </c>
      <c r="I29" s="281">
        <f ca="1">OFFSET([2]saisie_cde_B!$W$93,$A$3*A29,0)</f>
        <v>0</v>
      </c>
      <c r="J29" s="386">
        <f t="shared" si="3"/>
        <v>0</v>
      </c>
      <c r="K29" s="384"/>
      <c r="M29" s="272">
        <v>25</v>
      </c>
      <c r="N29" s="325">
        <v>6496</v>
      </c>
      <c r="O29" s="280">
        <v>219</v>
      </c>
      <c r="P29" s="272">
        <v>207</v>
      </c>
      <c r="Q29" s="272">
        <v>1</v>
      </c>
      <c r="R29" s="272">
        <v>11</v>
      </c>
      <c r="S29" s="281">
        <v>21</v>
      </c>
      <c r="T29" s="386">
        <f t="shared" si="2"/>
        <v>6901</v>
      </c>
      <c r="U29" s="384">
        <v>302</v>
      </c>
    </row>
    <row r="30" spans="1:21" x14ac:dyDescent="0.2">
      <c r="A30" s="278">
        <v>25</v>
      </c>
      <c r="B30" s="279">
        <f>'Récap devis'!B30</f>
        <v>43983</v>
      </c>
      <c r="C30" s="282">
        <v>26</v>
      </c>
      <c r="D30" s="282" t="str">
        <f t="shared" ca="1" si="0"/>
        <v/>
      </c>
      <c r="E30" s="283">
        <f t="shared" ca="1" si="4"/>
        <v>0</v>
      </c>
      <c r="F30" s="282">
        <f ca="1">OFFSET([2]saisie_cde_B!$W$79,$A$3*A30,0)</f>
        <v>0</v>
      </c>
      <c r="G30" s="282">
        <f ca="1">OFFSET([2]saisie_cde_B!$W$81,$A$3*A30,0)</f>
        <v>0</v>
      </c>
      <c r="H30" s="282">
        <f ca="1">OFFSET([2]saisie_cde_B!$W$80,$A$3*A30,0)</f>
        <v>0</v>
      </c>
      <c r="I30" s="284">
        <f ca="1">OFFSET([2]saisie_cde_B!$W$93,$A$3*A30,0)</f>
        <v>0</v>
      </c>
      <c r="J30" s="390">
        <f t="shared" si="3"/>
        <v>0</v>
      </c>
      <c r="K30" s="384"/>
      <c r="M30" s="282">
        <v>26</v>
      </c>
      <c r="N30" s="327">
        <v>6809</v>
      </c>
      <c r="O30" s="283">
        <v>298</v>
      </c>
      <c r="P30" s="282">
        <v>277</v>
      </c>
      <c r="Q30" s="282">
        <v>7</v>
      </c>
      <c r="R30" s="282">
        <v>14</v>
      </c>
      <c r="S30" s="284">
        <v>15</v>
      </c>
      <c r="T30" s="386">
        <f t="shared" si="2"/>
        <v>7211</v>
      </c>
      <c r="U30" s="384">
        <v>310</v>
      </c>
    </row>
    <row r="31" spans="1:21" x14ac:dyDescent="0.2">
      <c r="A31" s="278">
        <v>26</v>
      </c>
      <c r="B31" s="279">
        <f>'Récap devis'!B31</f>
        <v>44013</v>
      </c>
      <c r="C31" s="272">
        <v>27</v>
      </c>
      <c r="D31" s="272" t="str">
        <f t="shared" ca="1" si="0"/>
        <v/>
      </c>
      <c r="E31" s="280">
        <f t="shared" ca="1" si="4"/>
        <v>0</v>
      </c>
      <c r="F31" s="272">
        <f ca="1">OFFSET([2]saisie_cde_B!$W$79,$A$3*A31,0)</f>
        <v>0</v>
      </c>
      <c r="G31" s="272">
        <f ca="1">OFFSET([2]saisie_cde_B!$W$81,$A$3*A31,0)</f>
        <v>0</v>
      </c>
      <c r="H31" s="272">
        <f ca="1">OFFSET([2]saisie_cde_B!$W$80,$A$3*A31,0)</f>
        <v>0</v>
      </c>
      <c r="I31" s="281">
        <f ca="1">OFFSET([2]saisie_cde_B!$W$93,$A$3*A31,0)</f>
        <v>0</v>
      </c>
      <c r="J31" s="386">
        <f t="shared" si="3"/>
        <v>0</v>
      </c>
      <c r="K31" s="384"/>
      <c r="M31" s="272">
        <v>27</v>
      </c>
      <c r="N31" s="325">
        <v>7040</v>
      </c>
      <c r="O31" s="280">
        <v>214</v>
      </c>
      <c r="P31" s="272">
        <v>191</v>
      </c>
      <c r="Q31" s="272">
        <v>6</v>
      </c>
      <c r="R31" s="272">
        <v>17</v>
      </c>
      <c r="S31" s="281">
        <v>17</v>
      </c>
      <c r="T31" s="386">
        <f t="shared" si="2"/>
        <v>7481</v>
      </c>
      <c r="U31" s="384">
        <v>270</v>
      </c>
    </row>
    <row r="32" spans="1:21" x14ac:dyDescent="0.2">
      <c r="A32" s="278">
        <v>27</v>
      </c>
      <c r="B32" s="279">
        <f>'Récap devis'!B32</f>
        <v>44013</v>
      </c>
      <c r="C32" s="272">
        <v>28</v>
      </c>
      <c r="D32" s="272" t="str">
        <f t="shared" ca="1" si="0"/>
        <v/>
      </c>
      <c r="E32" s="280">
        <f t="shared" ca="1" si="4"/>
        <v>0</v>
      </c>
      <c r="F32" s="272">
        <f ca="1">OFFSET([2]saisie_cde_B!$W$79,$A$3*A32,0)</f>
        <v>0</v>
      </c>
      <c r="G32" s="272">
        <f ca="1">OFFSET([2]saisie_cde_B!$W$81,$A$3*A32,0)</f>
        <v>0</v>
      </c>
      <c r="H32" s="272">
        <f ca="1">OFFSET([2]saisie_cde_B!$W$80,$A$3*A32,0)</f>
        <v>0</v>
      </c>
      <c r="I32" s="281">
        <f ca="1">OFFSET([2]saisie_cde_B!$W$93,$A$3*A32,0)</f>
        <v>0</v>
      </c>
      <c r="J32" s="386">
        <f t="shared" si="3"/>
        <v>0</v>
      </c>
      <c r="K32" s="384"/>
      <c r="M32" s="272">
        <v>28</v>
      </c>
      <c r="N32" s="325">
        <v>7252</v>
      </c>
      <c r="O32" s="280">
        <v>180</v>
      </c>
      <c r="P32" s="272">
        <v>175</v>
      </c>
      <c r="Q32" s="272">
        <v>0</v>
      </c>
      <c r="R32" s="272">
        <v>5</v>
      </c>
      <c r="S32" s="281">
        <v>32</v>
      </c>
      <c r="T32" s="386">
        <f t="shared" si="2"/>
        <v>7753</v>
      </c>
      <c r="U32" s="384">
        <v>272</v>
      </c>
    </row>
    <row r="33" spans="1:21" x14ac:dyDescent="0.2">
      <c r="A33" s="278">
        <v>28</v>
      </c>
      <c r="B33" s="279">
        <f>'Récap devis'!B33</f>
        <v>44013</v>
      </c>
      <c r="C33" s="272">
        <v>29</v>
      </c>
      <c r="D33" s="272" t="str">
        <f t="shared" ca="1" si="0"/>
        <v/>
      </c>
      <c r="E33" s="280">
        <f t="shared" ca="1" si="4"/>
        <v>0</v>
      </c>
      <c r="F33" s="272">
        <f ca="1">OFFSET([2]saisie_cde_B!$W$79,$A$3*A33,0)</f>
        <v>0</v>
      </c>
      <c r="G33" s="272">
        <f ca="1">OFFSET([2]saisie_cde_B!$W$81,$A$3*A33,0)</f>
        <v>0</v>
      </c>
      <c r="H33" s="272">
        <f ca="1">OFFSET([2]saisie_cde_B!$W$80,$A$3*A33,0)</f>
        <v>0</v>
      </c>
      <c r="I33" s="281">
        <f ca="1">OFFSET([2]saisie_cde_B!$W$93,$A$3*A33,0)</f>
        <v>0</v>
      </c>
      <c r="J33" s="386">
        <f t="shared" si="3"/>
        <v>0</v>
      </c>
      <c r="K33" s="384"/>
      <c r="M33" s="272">
        <v>29</v>
      </c>
      <c r="N33" s="325">
        <v>7518</v>
      </c>
      <c r="O33" s="280">
        <v>237</v>
      </c>
      <c r="P33" s="272">
        <v>191</v>
      </c>
      <c r="Q33" s="272">
        <v>19</v>
      </c>
      <c r="R33" s="272">
        <v>27</v>
      </c>
      <c r="S33" s="281">
        <v>29</v>
      </c>
      <c r="T33" s="386">
        <f t="shared" si="2"/>
        <v>8036</v>
      </c>
      <c r="U33" s="384">
        <v>283</v>
      </c>
    </row>
    <row r="34" spans="1:21" x14ac:dyDescent="0.2">
      <c r="A34" s="278">
        <v>29</v>
      </c>
      <c r="B34" s="279">
        <f>'Récap devis'!B34</f>
        <v>44013</v>
      </c>
      <c r="C34" s="272">
        <v>30</v>
      </c>
      <c r="D34" s="272" t="str">
        <f t="shared" ca="1" si="0"/>
        <v/>
      </c>
      <c r="E34" s="280">
        <f t="shared" ca="1" si="4"/>
        <v>0</v>
      </c>
      <c r="F34" s="272">
        <f ca="1">OFFSET([2]saisie_cde_B!$W$79,$A$3*A34,0)</f>
        <v>0</v>
      </c>
      <c r="G34" s="272">
        <f ca="1">OFFSET([2]saisie_cde_B!$W$81,$A$3*A34,0)</f>
        <v>0</v>
      </c>
      <c r="H34" s="272">
        <f ca="1">OFFSET([2]saisie_cde_B!$W$80,$A$3*A34,0)</f>
        <v>0</v>
      </c>
      <c r="I34" s="281">
        <f ca="1">OFFSET([2]saisie_cde_B!$W$93,$A$3*A34,0)</f>
        <v>0</v>
      </c>
      <c r="J34" s="386">
        <f t="shared" si="3"/>
        <v>0</v>
      </c>
      <c r="K34" s="384"/>
      <c r="M34" s="272">
        <v>30</v>
      </c>
      <c r="N34" s="325">
        <v>7890</v>
      </c>
      <c r="O34" s="280">
        <v>343</v>
      </c>
      <c r="P34" s="272">
        <v>299</v>
      </c>
      <c r="Q34" s="272">
        <v>0</v>
      </c>
      <c r="R34" s="272">
        <v>44</v>
      </c>
      <c r="S34" s="281">
        <v>29</v>
      </c>
      <c r="T34" s="386">
        <f t="shared" si="2"/>
        <v>8394</v>
      </c>
      <c r="U34" s="384">
        <v>358</v>
      </c>
    </row>
    <row r="35" spans="1:21" x14ac:dyDescent="0.2">
      <c r="A35" s="278">
        <v>30</v>
      </c>
      <c r="B35" s="279">
        <f>'Récap devis'!B35</f>
        <v>44013</v>
      </c>
      <c r="C35" s="282">
        <v>31</v>
      </c>
      <c r="D35" s="282" t="str">
        <f t="shared" ca="1" si="0"/>
        <v/>
      </c>
      <c r="E35" s="283">
        <f t="shared" ca="1" si="4"/>
        <v>0</v>
      </c>
      <c r="F35" s="282">
        <f ca="1">OFFSET([2]saisie_cde_B!$W$79,$A$3*A35,0)</f>
        <v>0</v>
      </c>
      <c r="G35" s="282">
        <f ca="1">OFFSET([2]saisie_cde_B!$W$81,$A$3*A35,0)</f>
        <v>0</v>
      </c>
      <c r="H35" s="282">
        <f ca="1">OFFSET([2]saisie_cde_B!$W$80,$A$3*A35,0)</f>
        <v>0</v>
      </c>
      <c r="I35" s="284">
        <f ca="1">OFFSET([2]saisie_cde_B!$W$93,$A$3*A35,0)</f>
        <v>0</v>
      </c>
      <c r="J35" s="390">
        <f t="shared" si="3"/>
        <v>0</v>
      </c>
      <c r="K35" s="384"/>
      <c r="M35" s="282">
        <v>31</v>
      </c>
      <c r="N35" s="327">
        <v>8264</v>
      </c>
      <c r="O35" s="283">
        <v>361</v>
      </c>
      <c r="P35" s="282">
        <v>260</v>
      </c>
      <c r="Q35" s="282">
        <v>90</v>
      </c>
      <c r="R35" s="282">
        <v>11</v>
      </c>
      <c r="S35" s="284">
        <v>13</v>
      </c>
      <c r="T35" s="386">
        <f t="shared" si="2"/>
        <v>8654</v>
      </c>
      <c r="U35" s="384">
        <v>260</v>
      </c>
    </row>
    <row r="36" spans="1:21" x14ac:dyDescent="0.2">
      <c r="A36" s="278">
        <v>31</v>
      </c>
      <c r="B36" s="279">
        <f>'Récap devis'!B36</f>
        <v>44044</v>
      </c>
      <c r="C36" s="272">
        <v>32</v>
      </c>
      <c r="D36" s="272" t="str">
        <f t="shared" ca="1" si="0"/>
        <v/>
      </c>
      <c r="E36" s="280">
        <f t="shared" ref="E36" ca="1" si="5">SUM(F36:H36)</f>
        <v>0</v>
      </c>
      <c r="F36" s="272">
        <f ca="1">OFFSET([2]saisie_cde_B!$W$79,$A$3*A36,0)</f>
        <v>0</v>
      </c>
      <c r="G36" s="272">
        <f ca="1">OFFSET([2]saisie_cde_B!$W$81,$A$3*A36,0)</f>
        <v>0</v>
      </c>
      <c r="H36" s="272">
        <f ca="1">OFFSET([2]saisie_cde_B!$W$80,$A$3*A36,0)</f>
        <v>0</v>
      </c>
      <c r="I36" s="281">
        <f ca="1">OFFSET([2]saisie_cde_B!$W$93,$A$3*A36,0)</f>
        <v>0</v>
      </c>
      <c r="J36" s="386">
        <f t="shared" si="3"/>
        <v>0</v>
      </c>
      <c r="K36" s="384"/>
      <c r="M36" s="272">
        <v>32</v>
      </c>
      <c r="N36" s="325">
        <v>8536</v>
      </c>
      <c r="O36" s="280">
        <v>265</v>
      </c>
      <c r="P36" s="272">
        <v>242</v>
      </c>
      <c r="Q36" s="272">
        <v>23</v>
      </c>
      <c r="R36" s="272">
        <v>0</v>
      </c>
      <c r="S36" s="281">
        <v>7</v>
      </c>
      <c r="T36" s="386">
        <f t="shared" si="2"/>
        <v>8654</v>
      </c>
      <c r="U36" s="384"/>
    </row>
    <row r="37" spans="1:21" x14ac:dyDescent="0.2">
      <c r="A37" s="278"/>
      <c r="B37" s="279">
        <f>'Récap devis'!B37</f>
        <v>44044</v>
      </c>
      <c r="C37" s="272">
        <v>33</v>
      </c>
      <c r="D37" s="272" t="str">
        <f t="shared" si="0"/>
        <v/>
      </c>
      <c r="E37" s="275"/>
      <c r="I37" s="281"/>
      <c r="J37" s="386">
        <f t="shared" si="3"/>
        <v>0</v>
      </c>
      <c r="K37" s="384"/>
      <c r="M37" s="272">
        <v>33</v>
      </c>
      <c r="N37" s="325">
        <v>8536</v>
      </c>
      <c r="O37" s="275"/>
      <c r="S37" s="281"/>
      <c r="T37" s="386">
        <f t="shared" si="2"/>
        <v>8654</v>
      </c>
      <c r="U37" s="384"/>
    </row>
    <row r="38" spans="1:21" x14ac:dyDescent="0.2">
      <c r="A38" s="278"/>
      <c r="B38" s="279">
        <f>'Récap devis'!B38</f>
        <v>44044</v>
      </c>
      <c r="C38" s="272">
        <v>34</v>
      </c>
      <c r="D38" s="272" t="str">
        <f t="shared" si="0"/>
        <v/>
      </c>
      <c r="E38" s="275"/>
      <c r="I38" s="281"/>
      <c r="J38" s="386">
        <f t="shared" si="3"/>
        <v>0</v>
      </c>
      <c r="K38" s="384"/>
      <c r="M38" s="272">
        <v>34</v>
      </c>
      <c r="N38" s="325">
        <v>8536</v>
      </c>
      <c r="O38" s="275"/>
      <c r="S38" s="281"/>
      <c r="T38" s="386">
        <f t="shared" si="2"/>
        <v>8654</v>
      </c>
      <c r="U38" s="384"/>
    </row>
    <row r="39" spans="1:21" x14ac:dyDescent="0.2">
      <c r="A39" s="278"/>
      <c r="B39" s="279">
        <f>'Récap devis'!B39</f>
        <v>44044</v>
      </c>
      <c r="C39" s="282">
        <v>35</v>
      </c>
      <c r="D39" s="282" t="str">
        <f t="shared" si="0"/>
        <v/>
      </c>
      <c r="E39" s="285"/>
      <c r="F39" s="282"/>
      <c r="G39" s="282"/>
      <c r="H39" s="282"/>
      <c r="I39" s="284"/>
      <c r="J39" s="390">
        <f t="shared" si="3"/>
        <v>0</v>
      </c>
      <c r="K39" s="384"/>
      <c r="M39" s="282">
        <v>35</v>
      </c>
      <c r="N39" s="327">
        <v>8536</v>
      </c>
      <c r="O39" s="285"/>
      <c r="P39" s="282"/>
      <c r="Q39" s="282"/>
      <c r="R39" s="282"/>
      <c r="S39" s="284"/>
      <c r="T39" s="386">
        <f t="shared" si="2"/>
        <v>8654</v>
      </c>
      <c r="U39" s="384"/>
    </row>
    <row r="40" spans="1:21" x14ac:dyDescent="0.2">
      <c r="A40" s="278">
        <v>32</v>
      </c>
      <c r="B40" s="279">
        <f>'Récap devis'!B40</f>
        <v>44075</v>
      </c>
      <c r="C40" s="272">
        <v>36</v>
      </c>
      <c r="D40" s="272" t="str">
        <f t="shared" ca="1" si="0"/>
        <v/>
      </c>
      <c r="E40" s="280">
        <f ca="1">SUM(F40:H40)</f>
        <v>0</v>
      </c>
      <c r="F40" s="272">
        <f ca="1">OFFSET([2]saisie_cde_B!$W$79,$A$3*A40,0)</f>
        <v>0</v>
      </c>
      <c r="G40" s="272">
        <f ca="1">OFFSET([2]saisie_cde_B!$W$81,$A$3*A40,0)</f>
        <v>0</v>
      </c>
      <c r="H40" s="272">
        <f ca="1">OFFSET([2]saisie_cde_B!$W$80,$A$3*A40,0)</f>
        <v>0</v>
      </c>
      <c r="I40" s="281">
        <f ca="1">OFFSET([2]saisie_cde_B!$W$93,$A$3*A40,0)</f>
        <v>0</v>
      </c>
      <c r="J40" s="386">
        <f t="shared" si="3"/>
        <v>0</v>
      </c>
      <c r="K40" s="384"/>
      <c r="M40" s="272">
        <v>36</v>
      </c>
      <c r="N40" s="325">
        <v>8846</v>
      </c>
      <c r="O40" s="280">
        <v>293</v>
      </c>
      <c r="P40" s="272">
        <v>285</v>
      </c>
      <c r="Q40" s="272">
        <v>0</v>
      </c>
      <c r="R40" s="272">
        <v>8</v>
      </c>
      <c r="S40" s="281">
        <v>17</v>
      </c>
      <c r="T40" s="386">
        <f t="shared" si="2"/>
        <v>8905</v>
      </c>
      <c r="U40" s="384">
        <v>251</v>
      </c>
    </row>
    <row r="41" spans="1:21" x14ac:dyDescent="0.2">
      <c r="A41" s="278">
        <v>33</v>
      </c>
      <c r="B41" s="279">
        <f>'Récap devis'!B41</f>
        <v>44075</v>
      </c>
      <c r="C41" s="272">
        <v>37</v>
      </c>
      <c r="D41" s="272" t="str">
        <f t="shared" ca="1" si="0"/>
        <v/>
      </c>
      <c r="E41" s="280">
        <f t="shared" ref="E41:E56" ca="1" si="6">SUM(F41:H41)</f>
        <v>0</v>
      </c>
      <c r="F41" s="272">
        <f ca="1">OFFSET([2]saisie_cde_B!$W$79,$A$3*A41,0)</f>
        <v>0</v>
      </c>
      <c r="G41" s="272">
        <f ca="1">OFFSET([2]saisie_cde_B!$W$81,$A$3*A41,0)</f>
        <v>0</v>
      </c>
      <c r="H41" s="272">
        <f ca="1">OFFSET([2]saisie_cde_B!$W$80,$A$3*A41,0)</f>
        <v>0</v>
      </c>
      <c r="I41" s="281">
        <f ca="1">OFFSET([2]saisie_cde_B!$W$93,$A$3*A41,0)</f>
        <v>0</v>
      </c>
      <c r="J41" s="386">
        <f t="shared" si="3"/>
        <v>0</v>
      </c>
      <c r="K41" s="384"/>
      <c r="M41" s="272">
        <v>37</v>
      </c>
      <c r="N41" s="325">
        <v>9292</v>
      </c>
      <c r="O41" s="280">
        <v>433</v>
      </c>
      <c r="P41" s="272">
        <v>402</v>
      </c>
      <c r="Q41" s="272">
        <v>7</v>
      </c>
      <c r="R41" s="272">
        <v>24</v>
      </c>
      <c r="S41" s="281">
        <v>13</v>
      </c>
      <c r="T41" s="386">
        <f t="shared" si="2"/>
        <v>9178</v>
      </c>
      <c r="U41" s="384">
        <v>273</v>
      </c>
    </row>
    <row r="42" spans="1:21" x14ac:dyDescent="0.2">
      <c r="A42" s="278">
        <v>34</v>
      </c>
      <c r="B42" s="279">
        <f>'Récap devis'!B42</f>
        <v>44075</v>
      </c>
      <c r="C42" s="272">
        <v>38</v>
      </c>
      <c r="D42" s="272" t="str">
        <f t="shared" ca="1" si="0"/>
        <v/>
      </c>
      <c r="E42" s="280">
        <f t="shared" ca="1" si="6"/>
        <v>0</v>
      </c>
      <c r="F42" s="272">
        <f ca="1">OFFSET([2]saisie_cde_B!$W$79,$A$3*A42,0)</f>
        <v>0</v>
      </c>
      <c r="G42" s="272">
        <f ca="1">OFFSET([2]saisie_cde_B!$W$81,$A$3*A42,0)</f>
        <v>0</v>
      </c>
      <c r="H42" s="272">
        <f ca="1">OFFSET([2]saisie_cde_B!$W$80,$A$3*A42,0)</f>
        <v>0</v>
      </c>
      <c r="I42" s="281">
        <f ca="1">OFFSET([2]saisie_cde_B!$W$93,$A$3*A42,0)</f>
        <v>0</v>
      </c>
      <c r="J42" s="386">
        <f t="shared" si="3"/>
        <v>0</v>
      </c>
      <c r="K42" s="384"/>
      <c r="M42" s="272">
        <v>38</v>
      </c>
      <c r="N42" s="325">
        <v>9766</v>
      </c>
      <c r="O42" s="280">
        <v>458</v>
      </c>
      <c r="P42" s="272">
        <v>417</v>
      </c>
      <c r="Q42" s="272">
        <v>6</v>
      </c>
      <c r="R42" s="272">
        <v>35</v>
      </c>
      <c r="S42" s="281">
        <v>16</v>
      </c>
      <c r="T42" s="386">
        <f t="shared" si="2"/>
        <v>9435</v>
      </c>
      <c r="U42" s="384">
        <v>257</v>
      </c>
    </row>
    <row r="43" spans="1:21" x14ac:dyDescent="0.2">
      <c r="A43" s="278">
        <v>35</v>
      </c>
      <c r="B43" s="279">
        <f>'Récap devis'!B43</f>
        <v>44075</v>
      </c>
      <c r="C43" s="272">
        <v>39</v>
      </c>
      <c r="D43" s="272" t="str">
        <f t="shared" ca="1" si="0"/>
        <v/>
      </c>
      <c r="E43" s="280">
        <f t="shared" ca="1" si="6"/>
        <v>0</v>
      </c>
      <c r="F43" s="272">
        <f ca="1">OFFSET([2]saisie_cde_B!$W$79,$A$3*A43,0)</f>
        <v>0</v>
      </c>
      <c r="G43" s="272">
        <f ca="1">OFFSET([2]saisie_cde_B!$W$81,$A$3*A43,0)</f>
        <v>0</v>
      </c>
      <c r="H43" s="272">
        <f ca="1">OFFSET([2]saisie_cde_B!$W$80,$A$3*A43,0)</f>
        <v>0</v>
      </c>
      <c r="I43" s="281">
        <f ca="1">OFFSET([2]saisie_cde_B!$W$93,$A$3*A43,0)</f>
        <v>0</v>
      </c>
      <c r="J43" s="386">
        <f t="shared" si="3"/>
        <v>0</v>
      </c>
      <c r="K43" s="384"/>
      <c r="M43" s="272">
        <v>39</v>
      </c>
      <c r="N43" s="325">
        <v>10096</v>
      </c>
      <c r="O43" s="280">
        <v>304</v>
      </c>
      <c r="P43" s="272">
        <v>293</v>
      </c>
      <c r="Q43" s="272">
        <v>8</v>
      </c>
      <c r="R43" s="272">
        <v>3</v>
      </c>
      <c r="S43" s="281">
        <v>26</v>
      </c>
      <c r="T43" s="386">
        <f t="shared" si="2"/>
        <v>9703</v>
      </c>
      <c r="U43" s="384">
        <v>268</v>
      </c>
    </row>
    <row r="44" spans="1:21" x14ac:dyDescent="0.2">
      <c r="A44" s="278">
        <v>36</v>
      </c>
      <c r="B44" s="279">
        <f>'Récap devis'!B44</f>
        <v>44075</v>
      </c>
      <c r="C44" s="282">
        <v>40</v>
      </c>
      <c r="D44" s="282" t="str">
        <f t="shared" ca="1" si="0"/>
        <v/>
      </c>
      <c r="E44" s="283">
        <f t="shared" ca="1" si="6"/>
        <v>0</v>
      </c>
      <c r="F44" s="282">
        <f ca="1">OFFSET([2]saisie_cde_B!$W$79,$A$3*A44,0)</f>
        <v>0</v>
      </c>
      <c r="G44" s="282">
        <f ca="1">OFFSET([2]saisie_cde_B!$W$81,$A$3*A44,0)</f>
        <v>0</v>
      </c>
      <c r="H44" s="282">
        <f ca="1">OFFSET([2]saisie_cde_B!$W$80,$A$3*A44,0)</f>
        <v>0</v>
      </c>
      <c r="I44" s="284">
        <f ca="1">OFFSET([2]saisie_cde_B!$W$93,$A$3*A44,0)</f>
        <v>0</v>
      </c>
      <c r="J44" s="390">
        <f t="shared" si="3"/>
        <v>0</v>
      </c>
      <c r="K44" s="384"/>
      <c r="M44" s="282">
        <v>40</v>
      </c>
      <c r="N44" s="327">
        <v>10374</v>
      </c>
      <c r="O44" s="283">
        <v>264</v>
      </c>
      <c r="P44" s="282">
        <v>239</v>
      </c>
      <c r="Q44" s="282">
        <v>0</v>
      </c>
      <c r="R44" s="282">
        <v>25</v>
      </c>
      <c r="S44" s="284">
        <v>14</v>
      </c>
      <c r="T44" s="386">
        <f t="shared" si="2"/>
        <v>10029</v>
      </c>
      <c r="U44" s="384">
        <v>326</v>
      </c>
    </row>
    <row r="45" spans="1:21" x14ac:dyDescent="0.2">
      <c r="A45" s="278">
        <v>37</v>
      </c>
      <c r="B45" s="279">
        <f>'Récap devis'!B45</f>
        <v>44105</v>
      </c>
      <c r="C45" s="272">
        <v>41</v>
      </c>
      <c r="D45" s="272" t="str">
        <f t="shared" ca="1" si="0"/>
        <v/>
      </c>
      <c r="E45" s="280">
        <f t="shared" ca="1" si="6"/>
        <v>0</v>
      </c>
      <c r="F45" s="272">
        <f ca="1">OFFSET([2]saisie_cde_B!$W$79,$A$3*A45,0)</f>
        <v>0</v>
      </c>
      <c r="G45" s="272">
        <f ca="1">OFFSET([2]saisie_cde_B!$W$81,$A$3*A45,0)</f>
        <v>0</v>
      </c>
      <c r="H45" s="272">
        <f ca="1">OFFSET([2]saisie_cde_B!$W$80,$A$3*A45,0)</f>
        <v>0</v>
      </c>
      <c r="I45" s="281">
        <f ca="1">OFFSET([2]saisie_cde_B!$W$93,$A$3*A45,0)</f>
        <v>0</v>
      </c>
      <c r="J45" s="386">
        <f t="shared" si="3"/>
        <v>0</v>
      </c>
      <c r="K45" s="384"/>
      <c r="M45" s="272">
        <v>41</v>
      </c>
      <c r="N45" s="325">
        <v>10852</v>
      </c>
      <c r="O45" s="280">
        <v>462</v>
      </c>
      <c r="P45" s="272">
        <v>411</v>
      </c>
      <c r="Q45" s="272">
        <v>0</v>
      </c>
      <c r="R45" s="272">
        <v>51</v>
      </c>
      <c r="S45" s="281">
        <v>16</v>
      </c>
      <c r="T45" s="386">
        <f t="shared" si="2"/>
        <v>10256</v>
      </c>
      <c r="U45" s="384">
        <v>227</v>
      </c>
    </row>
    <row r="46" spans="1:21" x14ac:dyDescent="0.2">
      <c r="A46" s="278">
        <v>38</v>
      </c>
      <c r="B46" s="279">
        <f>'Récap devis'!B46</f>
        <v>44105</v>
      </c>
      <c r="C46" s="272">
        <v>42</v>
      </c>
      <c r="D46" s="272" t="str">
        <f t="shared" ca="1" si="0"/>
        <v/>
      </c>
      <c r="E46" s="280">
        <f t="shared" ca="1" si="6"/>
        <v>0</v>
      </c>
      <c r="F46" s="272">
        <f ca="1">OFFSET([2]saisie_cde_B!$W$79,$A$3*A46,0)</f>
        <v>0</v>
      </c>
      <c r="G46" s="272">
        <f ca="1">OFFSET([2]saisie_cde_B!$W$81,$A$3*A46,0)</f>
        <v>0</v>
      </c>
      <c r="H46" s="272">
        <f ca="1">OFFSET([2]saisie_cde_B!$W$80,$A$3*A46,0)</f>
        <v>0</v>
      </c>
      <c r="I46" s="281">
        <f ca="1">OFFSET([2]saisie_cde_B!$W$93,$A$3*A46,0)</f>
        <v>0</v>
      </c>
      <c r="J46" s="386">
        <f t="shared" si="3"/>
        <v>0</v>
      </c>
      <c r="K46" s="384"/>
      <c r="M46" s="272">
        <v>42</v>
      </c>
      <c r="N46" s="325">
        <v>11302</v>
      </c>
      <c r="O46" s="280">
        <v>407</v>
      </c>
      <c r="P46" s="272">
        <v>385</v>
      </c>
      <c r="Q46" s="272">
        <v>0</v>
      </c>
      <c r="R46" s="272">
        <v>22</v>
      </c>
      <c r="S46" s="281">
        <v>43</v>
      </c>
      <c r="T46" s="386">
        <f t="shared" si="2"/>
        <v>10555</v>
      </c>
      <c r="U46" s="384">
        <v>299</v>
      </c>
    </row>
    <row r="47" spans="1:21" x14ac:dyDescent="0.2">
      <c r="A47" s="278">
        <v>39</v>
      </c>
      <c r="B47" s="279">
        <f>'Récap devis'!B47</f>
        <v>44105</v>
      </c>
      <c r="C47" s="272">
        <v>43</v>
      </c>
      <c r="D47" s="272" t="str">
        <f t="shared" ca="1" si="0"/>
        <v/>
      </c>
      <c r="E47" s="280">
        <f t="shared" ca="1" si="6"/>
        <v>0</v>
      </c>
      <c r="F47" s="272">
        <f ca="1">OFFSET([2]saisie_cde_B!$W$79,$A$3*A47,0)</f>
        <v>0</v>
      </c>
      <c r="G47" s="272">
        <f ca="1">OFFSET([2]saisie_cde_B!$W$81,$A$3*A47,0)</f>
        <v>0</v>
      </c>
      <c r="H47" s="272">
        <f ca="1">OFFSET([2]saisie_cde_B!$W$80,$A$3*A47,0)</f>
        <v>0</v>
      </c>
      <c r="I47" s="281">
        <f ca="1">OFFSET([2]saisie_cde_B!$W$93,$A$3*A47,0)</f>
        <v>0</v>
      </c>
      <c r="J47" s="386">
        <f t="shared" si="3"/>
        <v>0</v>
      </c>
      <c r="K47" s="384"/>
      <c r="M47" s="272">
        <v>43</v>
      </c>
      <c r="N47" s="325">
        <v>11551</v>
      </c>
      <c r="O47" s="280">
        <v>222</v>
      </c>
      <c r="P47" s="272">
        <v>197</v>
      </c>
      <c r="Q47" s="272">
        <v>6</v>
      </c>
      <c r="R47" s="272">
        <v>19</v>
      </c>
      <c r="S47" s="281">
        <v>27</v>
      </c>
      <c r="T47" s="386">
        <f t="shared" si="2"/>
        <v>10887</v>
      </c>
      <c r="U47" s="384">
        <v>332</v>
      </c>
    </row>
    <row r="48" spans="1:21" x14ac:dyDescent="0.2">
      <c r="A48" s="278">
        <v>40</v>
      </c>
      <c r="B48" s="279">
        <f>'Récap devis'!B48</f>
        <v>44105</v>
      </c>
      <c r="C48" s="282">
        <v>44</v>
      </c>
      <c r="D48" s="282" t="str">
        <f t="shared" ca="1" si="0"/>
        <v/>
      </c>
      <c r="E48" s="283">
        <f t="shared" ca="1" si="6"/>
        <v>0</v>
      </c>
      <c r="F48" s="282">
        <f ca="1">OFFSET([2]saisie_cde_B!$W$79,$A$3*A48,0)</f>
        <v>0</v>
      </c>
      <c r="G48" s="282">
        <f ca="1">OFFSET([2]saisie_cde_B!$W$81,$A$3*A48,0)</f>
        <v>0</v>
      </c>
      <c r="H48" s="282">
        <f ca="1">OFFSET([2]saisie_cde_B!$W$80,$A$3*A48,0)</f>
        <v>0</v>
      </c>
      <c r="I48" s="284">
        <f ca="1">OFFSET([2]saisie_cde_B!$W$93,$A$3*A48,0)</f>
        <v>0</v>
      </c>
      <c r="J48" s="390">
        <f t="shared" si="3"/>
        <v>0</v>
      </c>
      <c r="K48" s="384"/>
      <c r="M48" s="282">
        <v>44</v>
      </c>
      <c r="N48" s="327">
        <v>11783</v>
      </c>
      <c r="O48" s="283">
        <v>219</v>
      </c>
      <c r="P48" s="282">
        <v>207</v>
      </c>
      <c r="Q48" s="282">
        <v>0</v>
      </c>
      <c r="R48" s="282">
        <v>12</v>
      </c>
      <c r="S48" s="284">
        <v>13</v>
      </c>
      <c r="T48" s="386">
        <f t="shared" si="2"/>
        <v>11136</v>
      </c>
      <c r="U48" s="384">
        <v>249</v>
      </c>
    </row>
    <row r="49" spans="1:25" x14ac:dyDescent="0.2">
      <c r="A49" s="278">
        <v>41</v>
      </c>
      <c r="B49" s="279">
        <f>'Récap devis'!B49</f>
        <v>44136</v>
      </c>
      <c r="C49" s="272">
        <v>45</v>
      </c>
      <c r="D49" s="272" t="str">
        <f t="shared" ca="1" si="0"/>
        <v/>
      </c>
      <c r="E49" s="280">
        <f t="shared" ca="1" si="6"/>
        <v>0</v>
      </c>
      <c r="F49" s="272">
        <f ca="1">OFFSET([2]saisie_cde_B!$W$79,$A$3*A49,0)</f>
        <v>0</v>
      </c>
      <c r="G49" s="272">
        <f ca="1">OFFSET([2]saisie_cde_B!$W$81,$A$3*A49,0)</f>
        <v>0</v>
      </c>
      <c r="H49" s="272">
        <f ca="1">OFFSET([2]saisie_cde_B!$W$80,$A$3*A49,0)</f>
        <v>0</v>
      </c>
      <c r="I49" s="281">
        <f ca="1">OFFSET([2]saisie_cde_B!$W$93,$A$3*A49,0)</f>
        <v>0</v>
      </c>
      <c r="J49" s="386">
        <f t="shared" si="3"/>
        <v>0</v>
      </c>
      <c r="K49" s="384"/>
      <c r="M49" s="272">
        <v>45</v>
      </c>
      <c r="N49" s="325">
        <v>12066</v>
      </c>
      <c r="O49" s="280">
        <v>267</v>
      </c>
      <c r="P49" s="272">
        <v>248</v>
      </c>
      <c r="Q49" s="272">
        <v>0</v>
      </c>
      <c r="R49" s="272">
        <v>19</v>
      </c>
      <c r="S49" s="281">
        <v>16</v>
      </c>
      <c r="T49" s="386">
        <f t="shared" si="2"/>
        <v>11445</v>
      </c>
      <c r="U49" s="384">
        <v>309</v>
      </c>
    </row>
    <row r="50" spans="1:25" x14ac:dyDescent="0.2">
      <c r="A50" s="278">
        <v>42</v>
      </c>
      <c r="B50" s="279">
        <f>'Récap devis'!B50</f>
        <v>44136</v>
      </c>
      <c r="C50" s="272">
        <v>46</v>
      </c>
      <c r="D50" s="272" t="str">
        <f t="shared" ca="1" si="0"/>
        <v/>
      </c>
      <c r="E50" s="280">
        <f t="shared" ca="1" si="6"/>
        <v>0</v>
      </c>
      <c r="F50" s="272">
        <f ca="1">OFFSET([2]saisie_cde_B!$W$79,$A$3*A50,0)</f>
        <v>0</v>
      </c>
      <c r="G50" s="272">
        <f ca="1">OFFSET([2]saisie_cde_B!$W$81,$A$3*A50,0)</f>
        <v>0</v>
      </c>
      <c r="H50" s="272">
        <f ca="1">OFFSET([2]saisie_cde_B!$W$80,$A$3*A50,0)</f>
        <v>0</v>
      </c>
      <c r="I50" s="281">
        <f ca="1">OFFSET([2]saisie_cde_B!$W$93,$A$3*A50,0)</f>
        <v>0</v>
      </c>
      <c r="J50" s="386">
        <f t="shared" si="3"/>
        <v>0</v>
      </c>
      <c r="K50" s="384"/>
      <c r="M50" s="272">
        <v>46</v>
      </c>
      <c r="N50" s="325">
        <v>12355</v>
      </c>
      <c r="O50" s="280">
        <v>276</v>
      </c>
      <c r="P50" s="272">
        <v>273</v>
      </c>
      <c r="Q50" s="272">
        <v>0</v>
      </c>
      <c r="R50" s="272">
        <v>3</v>
      </c>
      <c r="S50" s="281">
        <v>13</v>
      </c>
      <c r="T50" s="386">
        <f t="shared" si="2"/>
        <v>11662</v>
      </c>
      <c r="U50" s="384">
        <v>217</v>
      </c>
    </row>
    <row r="51" spans="1:25" x14ac:dyDescent="0.2">
      <c r="A51" s="278">
        <v>43</v>
      </c>
      <c r="B51" s="279">
        <f>'Récap devis'!B51</f>
        <v>44136</v>
      </c>
      <c r="C51" s="272">
        <v>47</v>
      </c>
      <c r="D51" s="272" t="str">
        <f t="shared" ca="1" si="0"/>
        <v/>
      </c>
      <c r="E51" s="280">
        <f t="shared" ca="1" si="6"/>
        <v>0</v>
      </c>
      <c r="F51" s="272">
        <f ca="1">OFFSET([2]saisie_cde_B!$W$79,$A$3*A51,0)</f>
        <v>0</v>
      </c>
      <c r="G51" s="272">
        <f ca="1">OFFSET([2]saisie_cde_B!$W$81,$A$3*A51,0)</f>
        <v>0</v>
      </c>
      <c r="H51" s="272">
        <f ca="1">OFFSET([2]saisie_cde_B!$W$80,$A$3*A51,0)</f>
        <v>0</v>
      </c>
      <c r="I51" s="281">
        <f ca="1">OFFSET([2]saisie_cde_B!$W$93,$A$3*A51,0)</f>
        <v>0</v>
      </c>
      <c r="J51" s="386">
        <f t="shared" si="3"/>
        <v>0</v>
      </c>
      <c r="K51" s="384"/>
      <c r="M51" s="272">
        <v>47</v>
      </c>
      <c r="N51" s="325">
        <v>12690</v>
      </c>
      <c r="O51" s="280">
        <v>318</v>
      </c>
      <c r="P51" s="272">
        <v>280</v>
      </c>
      <c r="Q51" s="272">
        <v>0</v>
      </c>
      <c r="R51" s="272">
        <v>38</v>
      </c>
      <c r="S51" s="281">
        <v>17</v>
      </c>
      <c r="T51" s="386">
        <f t="shared" si="2"/>
        <v>11961</v>
      </c>
      <c r="U51" s="384">
        <v>299</v>
      </c>
    </row>
    <row r="52" spans="1:25" x14ac:dyDescent="0.2">
      <c r="A52" s="278">
        <v>44</v>
      </c>
      <c r="B52" s="279">
        <f>'Récap devis'!B52</f>
        <v>44136</v>
      </c>
      <c r="C52" s="282">
        <v>48</v>
      </c>
      <c r="D52" s="282" t="str">
        <f t="shared" ca="1" si="0"/>
        <v/>
      </c>
      <c r="E52" s="283">
        <f t="shared" ca="1" si="6"/>
        <v>0</v>
      </c>
      <c r="F52" s="282">
        <f ca="1">OFFSET([2]saisie_cde_B!$W$79,$A$3*A52,0)</f>
        <v>0</v>
      </c>
      <c r="G52" s="282">
        <f ca="1">OFFSET([2]saisie_cde_B!$W$81,$A$3*A52,0)</f>
        <v>0</v>
      </c>
      <c r="H52" s="282">
        <f ca="1">OFFSET([2]saisie_cde_B!$W$80,$A$3*A52,0)</f>
        <v>0</v>
      </c>
      <c r="I52" s="284">
        <f ca="1">OFFSET([2]saisie_cde_B!$W$93,$A$3*A52,0)</f>
        <v>0</v>
      </c>
      <c r="J52" s="390">
        <f t="shared" si="3"/>
        <v>0</v>
      </c>
      <c r="K52" s="384"/>
      <c r="M52" s="282">
        <v>48</v>
      </c>
      <c r="N52" s="327">
        <v>12936</v>
      </c>
      <c r="O52" s="283">
        <v>235</v>
      </c>
      <c r="P52" s="282">
        <v>225</v>
      </c>
      <c r="Q52" s="282">
        <v>0</v>
      </c>
      <c r="R52" s="282">
        <v>10</v>
      </c>
      <c r="S52" s="284">
        <v>11</v>
      </c>
      <c r="T52" s="386">
        <f t="shared" si="2"/>
        <v>12260</v>
      </c>
      <c r="U52" s="384">
        <v>299</v>
      </c>
    </row>
    <row r="53" spans="1:25" x14ac:dyDescent="0.2">
      <c r="A53" s="278">
        <v>45</v>
      </c>
      <c r="B53" s="279">
        <f>'Récap devis'!B53</f>
        <v>44166</v>
      </c>
      <c r="C53" s="272">
        <v>49</v>
      </c>
      <c r="D53" s="272" t="str">
        <f t="shared" ca="1" si="0"/>
        <v/>
      </c>
      <c r="E53" s="280">
        <f t="shared" ca="1" si="6"/>
        <v>0</v>
      </c>
      <c r="F53" s="272">
        <f ca="1">OFFSET([2]saisie_cde_B!$W$79,$A$3*A53,0)</f>
        <v>0</v>
      </c>
      <c r="G53" s="272">
        <f ca="1">OFFSET([2]saisie_cde_B!$W$81,$A$3*A53,0)</f>
        <v>0</v>
      </c>
      <c r="H53" s="272">
        <f ca="1">OFFSET([2]saisie_cde_B!$W$80,$A$3*A53,0)</f>
        <v>0</v>
      </c>
      <c r="I53" s="281">
        <f ca="1">OFFSET([2]saisie_cde_B!$W$93,$A$3*A53,0)</f>
        <v>0</v>
      </c>
      <c r="J53" s="386">
        <f t="shared" si="3"/>
        <v>0</v>
      </c>
      <c r="K53" s="384"/>
      <c r="M53" s="272">
        <v>49</v>
      </c>
      <c r="N53" s="325">
        <v>13225</v>
      </c>
      <c r="O53" s="280">
        <v>269</v>
      </c>
      <c r="P53" s="272">
        <v>256</v>
      </c>
      <c r="Q53" s="272">
        <v>6</v>
      </c>
      <c r="R53" s="272">
        <v>7</v>
      </c>
      <c r="S53" s="281">
        <v>20</v>
      </c>
      <c r="T53" s="386">
        <f t="shared" si="2"/>
        <v>12559</v>
      </c>
      <c r="U53" s="384">
        <v>299</v>
      </c>
    </row>
    <row r="54" spans="1:25" x14ac:dyDescent="0.2">
      <c r="A54" s="278">
        <v>46</v>
      </c>
      <c r="B54" s="279">
        <f>'Récap devis'!B54</f>
        <v>44166</v>
      </c>
      <c r="C54" s="272">
        <v>50</v>
      </c>
      <c r="D54" s="272" t="str">
        <f t="shared" ca="1" si="0"/>
        <v/>
      </c>
      <c r="E54" s="280">
        <f t="shared" ca="1" si="6"/>
        <v>0</v>
      </c>
      <c r="F54" s="272">
        <f ca="1">OFFSET([2]saisie_cde_B!$W$79,$A$3*A54,0)</f>
        <v>0</v>
      </c>
      <c r="G54" s="272">
        <f ca="1">OFFSET([2]saisie_cde_B!$W$81,$A$3*A54,0)</f>
        <v>0</v>
      </c>
      <c r="H54" s="272">
        <f ca="1">OFFSET([2]saisie_cde_B!$W$80,$A$3*A54,0)</f>
        <v>0</v>
      </c>
      <c r="I54" s="281">
        <f ca="1">OFFSET([2]saisie_cde_B!$W$93,$A$3*A54,0)</f>
        <v>0</v>
      </c>
      <c r="J54" s="386">
        <f t="shared" si="3"/>
        <v>0</v>
      </c>
      <c r="K54" s="384"/>
      <c r="M54" s="272">
        <v>50</v>
      </c>
      <c r="N54" s="326">
        <v>13536</v>
      </c>
      <c r="O54" s="280">
        <v>300</v>
      </c>
      <c r="P54" s="272">
        <v>292</v>
      </c>
      <c r="Q54" s="272">
        <v>0</v>
      </c>
      <c r="R54" s="272">
        <v>8</v>
      </c>
      <c r="S54" s="281">
        <v>11</v>
      </c>
      <c r="T54" s="386">
        <f t="shared" si="2"/>
        <v>12836</v>
      </c>
      <c r="U54" s="384">
        <v>277</v>
      </c>
    </row>
    <row r="55" spans="1:25" x14ac:dyDescent="0.2">
      <c r="A55" s="278">
        <v>47</v>
      </c>
      <c r="B55" s="279">
        <f>'Récap devis'!B55</f>
        <v>44166</v>
      </c>
      <c r="C55" s="272">
        <v>51</v>
      </c>
      <c r="D55" s="272" t="str">
        <f t="shared" ca="1" si="0"/>
        <v/>
      </c>
      <c r="E55" s="280">
        <f t="shared" ca="1" si="6"/>
        <v>0</v>
      </c>
      <c r="F55" s="272">
        <f ca="1">OFFSET([2]saisie_cde_B!$W$79,$A$3*A55,0)</f>
        <v>0</v>
      </c>
      <c r="G55" s="272">
        <f ca="1">OFFSET([2]saisie_cde_B!$W$81,$A$3*A55,0)</f>
        <v>0</v>
      </c>
      <c r="H55" s="272">
        <f ca="1">OFFSET([2]saisie_cde_B!$W$80,$A$3*A55,0)</f>
        <v>0</v>
      </c>
      <c r="I55" s="281">
        <f ca="1">OFFSET([2]saisie_cde_B!$W$93,$A$3*A55,0)</f>
        <v>0</v>
      </c>
      <c r="J55" s="386">
        <f t="shared" si="3"/>
        <v>0</v>
      </c>
      <c r="K55" s="384"/>
      <c r="M55" s="272">
        <v>51</v>
      </c>
      <c r="N55" s="326">
        <v>14059</v>
      </c>
      <c r="O55" s="280">
        <v>513</v>
      </c>
      <c r="P55" s="272">
        <v>481</v>
      </c>
      <c r="Q55" s="272">
        <v>24</v>
      </c>
      <c r="R55" s="272">
        <v>8</v>
      </c>
      <c r="S55" s="281">
        <v>10</v>
      </c>
      <c r="T55" s="386">
        <f t="shared" si="2"/>
        <v>13131</v>
      </c>
      <c r="U55" s="384">
        <v>295</v>
      </c>
    </row>
    <row r="56" spans="1:25" x14ac:dyDescent="0.2">
      <c r="A56" s="278">
        <v>48</v>
      </c>
      <c r="B56" s="279">
        <f>'Récap devis'!B56</f>
        <v>44166</v>
      </c>
      <c r="C56" s="272">
        <v>52</v>
      </c>
      <c r="D56" s="272" t="str">
        <f t="shared" ca="1" si="0"/>
        <v/>
      </c>
      <c r="E56" s="280">
        <f t="shared" ca="1" si="6"/>
        <v>0</v>
      </c>
      <c r="F56" s="272">
        <f ca="1">OFFSET([2]saisie_cde_B!$W$79,$A$3*A56,0)</f>
        <v>0</v>
      </c>
      <c r="G56" s="272">
        <f ca="1">OFFSET([2]saisie_cde_B!$W$81,$A$3*A56,0)</f>
        <v>0</v>
      </c>
      <c r="H56" s="272">
        <f ca="1">OFFSET([2]saisie_cde_B!$W$80,$A$3*A56,0)</f>
        <v>0</v>
      </c>
      <c r="I56" s="281">
        <f ca="1">OFFSET([2]saisie_cde_B!$W$93,$A$3*A56,0)</f>
        <v>0</v>
      </c>
      <c r="J56" s="386">
        <f t="shared" si="3"/>
        <v>0</v>
      </c>
      <c r="K56" s="384"/>
      <c r="M56" s="272">
        <v>52</v>
      </c>
      <c r="N56" s="326">
        <v>14146</v>
      </c>
      <c r="O56" s="280">
        <v>85</v>
      </c>
      <c r="P56" s="272">
        <v>76</v>
      </c>
      <c r="Q56" s="272">
        <v>0</v>
      </c>
      <c r="R56" s="272">
        <v>9</v>
      </c>
      <c r="S56" s="281">
        <v>2</v>
      </c>
      <c r="T56" s="386">
        <f t="shared" si="2"/>
        <v>13235</v>
      </c>
      <c r="U56" s="384">
        <v>104</v>
      </c>
    </row>
    <row r="57" spans="1:25" x14ac:dyDescent="0.2">
      <c r="A57" s="278"/>
      <c r="B57" s="279"/>
      <c r="E57" s="275"/>
      <c r="I57" s="275"/>
      <c r="J57" s="386"/>
      <c r="K57" s="384"/>
      <c r="O57" s="275"/>
      <c r="S57" s="275"/>
      <c r="T57" s="386"/>
      <c r="U57" s="384"/>
    </row>
    <row r="58" spans="1:25" ht="13.5" thickBot="1" x14ac:dyDescent="0.25">
      <c r="A58" s="278"/>
      <c r="B58" s="329">
        <f>Recap_cde_A!B58</f>
        <v>8</v>
      </c>
      <c r="C58" s="332">
        <f ca="1">VLOOKUP(B58,$C$5:$D$57,2,FALSE)/VLOOKUP(B58,$M$5:$N$57,2,FALSE)-1</f>
        <v>0.37797619047619047</v>
      </c>
      <c r="D58" s="287"/>
      <c r="E58" s="288">
        <f ca="1">SUM(E5:E57)</f>
        <v>2426</v>
      </c>
      <c r="F58" s="287">
        <f t="shared" ref="F58:I58" ca="1" si="7">SUM(F5:F57)</f>
        <v>2268</v>
      </c>
      <c r="G58" s="287">
        <f t="shared" ca="1" si="7"/>
        <v>36</v>
      </c>
      <c r="H58" s="287">
        <f t="shared" ca="1" si="7"/>
        <v>122</v>
      </c>
      <c r="I58" s="288">
        <f t="shared" ca="1" si="7"/>
        <v>188</v>
      </c>
      <c r="J58" s="395"/>
      <c r="K58" s="387">
        <f t="shared" ref="K58" si="8">SUM(K5:K57)</f>
        <v>2254</v>
      </c>
      <c r="M58" s="287" t="s">
        <v>66</v>
      </c>
      <c r="N58" s="287">
        <f>O58+S58</f>
        <v>14146</v>
      </c>
      <c r="O58" s="288">
        <f>SUM(O5:O57)</f>
        <v>13324</v>
      </c>
      <c r="P58" s="287">
        <f>SUM(P5:P57)</f>
        <v>12089</v>
      </c>
      <c r="Q58" s="287">
        <f t="shared" ref="Q58:U58" si="9">SUM(Q5:Q57)</f>
        <v>554</v>
      </c>
      <c r="R58" s="287">
        <f t="shared" si="9"/>
        <v>681</v>
      </c>
      <c r="S58" s="288">
        <f t="shared" si="9"/>
        <v>822</v>
      </c>
      <c r="T58" s="395"/>
      <c r="U58" s="387">
        <f t="shared" si="9"/>
        <v>13235</v>
      </c>
    </row>
    <row r="59" spans="1:25" x14ac:dyDescent="0.2">
      <c r="J59" s="398" t="s">
        <v>228</v>
      </c>
      <c r="K59" s="396">
        <f>K58/VLOOKUP(B58,$C$5:$U$57,18,FALSE)-1</f>
        <v>-3.344768439108059E-2</v>
      </c>
    </row>
    <row r="64" spans="1:25" x14ac:dyDescent="0.2">
      <c r="C64" s="272" t="s">
        <v>94</v>
      </c>
      <c r="D64" s="273" t="s">
        <v>206</v>
      </c>
      <c r="E64" s="289" t="s">
        <v>205</v>
      </c>
      <c r="F64" s="273" t="s">
        <v>67</v>
      </c>
      <c r="G64" s="273" t="s">
        <v>68</v>
      </c>
      <c r="H64" s="273" t="s">
        <v>69</v>
      </c>
      <c r="I64" s="290" t="s">
        <v>80</v>
      </c>
      <c r="M64" s="291" t="s">
        <v>94</v>
      </c>
      <c r="N64" s="350" t="s">
        <v>206</v>
      </c>
      <c r="O64" s="289" t="s">
        <v>205</v>
      </c>
      <c r="P64" s="273" t="s">
        <v>67</v>
      </c>
      <c r="Q64" s="273" t="s">
        <v>68</v>
      </c>
      <c r="R64" s="273" t="s">
        <v>69</v>
      </c>
      <c r="S64" s="290" t="s">
        <v>80</v>
      </c>
      <c r="X64" s="272"/>
      <c r="Y64" s="273"/>
    </row>
    <row r="65" spans="3:25" x14ac:dyDescent="0.2">
      <c r="C65" s="277">
        <v>43831</v>
      </c>
      <c r="D65" s="326">
        <f t="shared" ref="D65" ca="1" si="10">+E65+I65</f>
        <v>1192</v>
      </c>
      <c r="E65" s="292">
        <f t="shared" ref="E65:E77" ca="1" si="11">SUM(F65:H65)</f>
        <v>1112</v>
      </c>
      <c r="F65" s="272">
        <f ca="1">SUMIF($B$5:$I$57,Tableau2[[#This Row],[MOIS]],$F$5:$F$57)</f>
        <v>1026</v>
      </c>
      <c r="G65" s="272">
        <f ca="1">SUMIF($B$5:$I$57,Tableau2[[#This Row],[MOIS]],$G$5:$G$57)</f>
        <v>21</v>
      </c>
      <c r="H65" s="272">
        <f ca="1">SUMIF($B$5:$I$57,Tableau2[[#This Row],[MOIS]],$H$5:$H$57)</f>
        <v>65</v>
      </c>
      <c r="I65" s="293">
        <f ca="1">SUMIF($B$5:$I$57,Tableau2[[#This Row],[MOIS]],$I$5:$I$57)</f>
        <v>80</v>
      </c>
      <c r="M65" s="294">
        <v>43466</v>
      </c>
      <c r="N65" s="352">
        <v>1079</v>
      </c>
      <c r="O65" s="292">
        <v>1001</v>
      </c>
      <c r="P65" s="272">
        <v>849</v>
      </c>
      <c r="Q65" s="272">
        <v>104</v>
      </c>
      <c r="R65" s="272">
        <v>48</v>
      </c>
      <c r="S65" s="293">
        <v>78</v>
      </c>
      <c r="X65" s="272"/>
      <c r="Y65" s="273"/>
    </row>
    <row r="66" spans="3:25" x14ac:dyDescent="0.2">
      <c r="C66" s="277">
        <v>43862</v>
      </c>
      <c r="D66" s="326">
        <f ca="1">IF(E66&lt;&gt;0,D65+E66+I66,"")</f>
        <v>2614</v>
      </c>
      <c r="E66" s="292">
        <f t="shared" ca="1" si="11"/>
        <v>1314</v>
      </c>
      <c r="F66" s="272">
        <f ca="1">SUMIF($B$5:$I$57,Tableau2[[#This Row],[MOIS]],$F$5:$F$57)</f>
        <v>1242</v>
      </c>
      <c r="G66" s="272">
        <f ca="1">SUMIF($B$5:$I$57,Tableau2[[#This Row],[MOIS]],$G$5:$G$57)</f>
        <v>15</v>
      </c>
      <c r="H66" s="272">
        <f ca="1">SUMIF($B$5:$I$57,Tableau2[[#This Row],[MOIS]],$H$5:$H$57)</f>
        <v>57</v>
      </c>
      <c r="I66" s="293">
        <f ca="1">SUMIF($B$5:$I$57,Tableau2[[#This Row],[MOIS]],$I$5:$I$57)</f>
        <v>108</v>
      </c>
      <c r="M66" s="295">
        <v>43497</v>
      </c>
      <c r="N66" s="353">
        <v>2001</v>
      </c>
      <c r="O66" s="292">
        <v>864</v>
      </c>
      <c r="P66" s="272">
        <v>804</v>
      </c>
      <c r="Q66" s="272">
        <v>33</v>
      </c>
      <c r="R66" s="272">
        <v>27</v>
      </c>
      <c r="S66" s="293">
        <v>58</v>
      </c>
      <c r="X66" s="272"/>
      <c r="Y66" s="273"/>
    </row>
    <row r="67" spans="3:25" x14ac:dyDescent="0.2">
      <c r="C67" s="277">
        <v>43891</v>
      </c>
      <c r="D67" s="326" t="str">
        <f t="shared" ref="D67:D76" ca="1" si="12">IF(E67&lt;&gt;0,D66+E67+I67,"")</f>
        <v/>
      </c>
      <c r="E67" s="292">
        <f t="shared" ca="1" si="11"/>
        <v>0</v>
      </c>
      <c r="F67" s="272">
        <f ca="1">SUMIF($B$5:$I$57,Tableau2[[#This Row],[MOIS]],$F$5:$F$57)</f>
        <v>0</v>
      </c>
      <c r="G67" s="272">
        <f ca="1">SUMIF($B$5:$I$57,Tableau2[[#This Row],[MOIS]],$G$5:$G$57)</f>
        <v>0</v>
      </c>
      <c r="H67" s="272">
        <f ca="1">SUMIF($B$5:$I$57,Tableau2[[#This Row],[MOIS]],$H$5:$H$57)</f>
        <v>0</v>
      </c>
      <c r="I67" s="293">
        <f ca="1">SUMIF($B$5:$I$57,Tableau2[[#This Row],[MOIS]],$I$5:$I$57)</f>
        <v>0</v>
      </c>
      <c r="M67" s="294">
        <v>43525</v>
      </c>
      <c r="N67" s="352">
        <v>3151</v>
      </c>
      <c r="O67" s="292">
        <v>1076</v>
      </c>
      <c r="P67" s="272">
        <v>901</v>
      </c>
      <c r="Q67" s="272">
        <v>99</v>
      </c>
      <c r="R67" s="272">
        <v>76</v>
      </c>
      <c r="S67" s="293">
        <v>74</v>
      </c>
      <c r="X67" s="272"/>
      <c r="Y67" s="273"/>
    </row>
    <row r="68" spans="3:25" x14ac:dyDescent="0.2">
      <c r="C68" s="277">
        <v>43922</v>
      </c>
      <c r="D68" s="326" t="str">
        <f t="shared" ca="1" si="12"/>
        <v/>
      </c>
      <c r="E68" s="292">
        <f t="shared" ca="1" si="11"/>
        <v>0</v>
      </c>
      <c r="F68" s="272">
        <f ca="1">SUMIF($B$5:$I$57,Tableau2[[#This Row],[MOIS]],$F$5:$F$57)</f>
        <v>0</v>
      </c>
      <c r="G68" s="272">
        <f ca="1">SUMIF($B$5:$I$57,Tableau2[[#This Row],[MOIS]],$G$5:$G$57)</f>
        <v>0</v>
      </c>
      <c r="H68" s="272">
        <f ca="1">SUMIF($B$5:$I$57,Tableau2[[#This Row],[MOIS]],$H$5:$H$57)</f>
        <v>0</v>
      </c>
      <c r="I68" s="293">
        <f ca="1">SUMIF($B$5:$I$57,Tableau2[[#This Row],[MOIS]],$I$5:$I$57)</f>
        <v>0</v>
      </c>
      <c r="M68" s="295">
        <v>43556</v>
      </c>
      <c r="N68" s="353">
        <v>4449</v>
      </c>
      <c r="O68" s="292">
        <v>1227</v>
      </c>
      <c r="P68" s="272">
        <v>1130</v>
      </c>
      <c r="Q68" s="272">
        <v>50</v>
      </c>
      <c r="R68" s="272">
        <v>47</v>
      </c>
      <c r="S68" s="293">
        <v>71</v>
      </c>
      <c r="X68" s="272"/>
      <c r="Y68" s="273"/>
    </row>
    <row r="69" spans="3:25" x14ac:dyDescent="0.2">
      <c r="C69" s="277">
        <v>43952</v>
      </c>
      <c r="D69" s="326" t="str">
        <f t="shared" ca="1" si="12"/>
        <v/>
      </c>
      <c r="E69" s="292">
        <f t="shared" ca="1" si="11"/>
        <v>0</v>
      </c>
      <c r="F69" s="272">
        <f ca="1">SUMIF($B$5:$I$57,Tableau2[[#This Row],[MOIS]],$F$5:$F$57)</f>
        <v>0</v>
      </c>
      <c r="G69" s="272">
        <f ca="1">SUMIF($B$5:$I$57,Tableau2[[#This Row],[MOIS]],$G$5:$G$57)</f>
        <v>0</v>
      </c>
      <c r="H69" s="272">
        <f ca="1">SUMIF($B$5:$I$57,Tableau2[[#This Row],[MOIS]],$H$5:$H$57)</f>
        <v>0</v>
      </c>
      <c r="I69" s="293">
        <f ca="1">SUMIF($B$5:$I$57,Tableau2[[#This Row],[MOIS]],$I$5:$I$57)</f>
        <v>0</v>
      </c>
      <c r="M69" s="294">
        <v>43586</v>
      </c>
      <c r="N69" s="352">
        <v>5586</v>
      </c>
      <c r="O69" s="292">
        <v>1078</v>
      </c>
      <c r="P69" s="272">
        <v>1014</v>
      </c>
      <c r="Q69" s="272">
        <v>21</v>
      </c>
      <c r="R69" s="272">
        <v>43</v>
      </c>
      <c r="S69" s="293">
        <v>59</v>
      </c>
      <c r="X69" s="272"/>
      <c r="Y69" s="273"/>
    </row>
    <row r="70" spans="3:25" x14ac:dyDescent="0.2">
      <c r="C70" s="277">
        <v>43983</v>
      </c>
      <c r="D70" s="326" t="str">
        <f t="shared" ca="1" si="12"/>
        <v/>
      </c>
      <c r="E70" s="292">
        <f t="shared" ca="1" si="11"/>
        <v>0</v>
      </c>
      <c r="F70" s="272">
        <f ca="1">SUMIF($B$5:$I$57,Tableau2[[#This Row],[MOIS]],$F$5:$F$57)</f>
        <v>0</v>
      </c>
      <c r="G70" s="272">
        <f ca="1">SUMIF($B$5:$I$57,Tableau2[[#This Row],[MOIS]],$G$5:$G$57)</f>
        <v>0</v>
      </c>
      <c r="H70" s="272">
        <f ca="1">SUMIF($B$5:$I$57,Tableau2[[#This Row],[MOIS]],$H$5:$H$57)</f>
        <v>0</v>
      </c>
      <c r="I70" s="293">
        <f ca="1">SUMIF($B$5:$I$57,Tableau2[[#This Row],[MOIS]],$I$5:$I$57)</f>
        <v>0</v>
      </c>
      <c r="M70" s="295">
        <v>43617</v>
      </c>
      <c r="N70" s="353">
        <v>6809</v>
      </c>
      <c r="O70" s="292">
        <v>1153</v>
      </c>
      <c r="P70" s="272">
        <v>1066</v>
      </c>
      <c r="Q70" s="272">
        <v>52</v>
      </c>
      <c r="R70" s="272">
        <v>35</v>
      </c>
      <c r="S70" s="293">
        <v>70</v>
      </c>
      <c r="X70" s="272"/>
      <c r="Y70" s="273"/>
    </row>
    <row r="71" spans="3:25" x14ac:dyDescent="0.2">
      <c r="C71" s="277">
        <v>44013</v>
      </c>
      <c r="D71" s="326" t="str">
        <f t="shared" ca="1" si="12"/>
        <v/>
      </c>
      <c r="E71" s="292">
        <f t="shared" ca="1" si="11"/>
        <v>0</v>
      </c>
      <c r="F71" s="272">
        <f ca="1">SUMIF($B$5:$I$57,Tableau2[[#This Row],[MOIS]],$F$5:$F$57)</f>
        <v>0</v>
      </c>
      <c r="G71" s="272">
        <f ca="1">SUMIF($B$5:$I$57,Tableau2[[#This Row],[MOIS]],$G$5:$G$57)</f>
        <v>0</v>
      </c>
      <c r="H71" s="272">
        <f ca="1">SUMIF($B$5:$I$57,Tableau2[[#This Row],[MOIS]],$H$5:$H$57)</f>
        <v>0</v>
      </c>
      <c r="I71" s="293">
        <f ca="1">SUMIF($B$5:$I$57,Tableau2[[#This Row],[MOIS]],$I$5:$I$57)</f>
        <v>0</v>
      </c>
      <c r="M71" s="294">
        <v>43647</v>
      </c>
      <c r="N71" s="352">
        <v>8264</v>
      </c>
      <c r="O71" s="292">
        <v>1335</v>
      </c>
      <c r="P71" s="272">
        <v>1116</v>
      </c>
      <c r="Q71" s="272">
        <v>115</v>
      </c>
      <c r="R71" s="272">
        <v>104</v>
      </c>
      <c r="S71" s="293">
        <v>120</v>
      </c>
      <c r="X71" s="272"/>
      <c r="Y71" s="273"/>
    </row>
    <row r="72" spans="3:25" x14ac:dyDescent="0.2">
      <c r="C72" s="277">
        <v>44044</v>
      </c>
      <c r="D72" s="326" t="str">
        <f t="shared" ca="1" si="12"/>
        <v/>
      </c>
      <c r="E72" s="292">
        <f t="shared" ca="1" si="11"/>
        <v>0</v>
      </c>
      <c r="F72" s="272">
        <f ca="1">SUMIF($B$5:$I$57,Tableau2[[#This Row],[MOIS]],$F$5:$F$57)</f>
        <v>0</v>
      </c>
      <c r="G72" s="272">
        <f ca="1">SUMIF($B$5:$I$57,Tableau2[[#This Row],[MOIS]],$G$5:$G$57)</f>
        <v>0</v>
      </c>
      <c r="H72" s="272">
        <f ca="1">SUMIF($B$5:$I$57,Tableau2[[#This Row],[MOIS]],$H$5:$H$57)</f>
        <v>0</v>
      </c>
      <c r="I72" s="293">
        <f ca="1">SUMIF($B$5:$I$57,Tableau2[[#This Row],[MOIS]],$I$5:$I$57)</f>
        <v>0</v>
      </c>
      <c r="M72" s="295">
        <v>43678</v>
      </c>
      <c r="N72" s="353">
        <v>8536</v>
      </c>
      <c r="O72" s="292">
        <v>265</v>
      </c>
      <c r="P72" s="272">
        <v>242</v>
      </c>
      <c r="Q72" s="272">
        <v>23</v>
      </c>
      <c r="R72" s="272">
        <v>0</v>
      </c>
      <c r="S72" s="293">
        <v>7</v>
      </c>
      <c r="X72" s="272"/>
      <c r="Y72" s="273"/>
    </row>
    <row r="73" spans="3:25" x14ac:dyDescent="0.2">
      <c r="C73" s="277">
        <v>44075</v>
      </c>
      <c r="D73" s="326" t="str">
        <f t="shared" ca="1" si="12"/>
        <v/>
      </c>
      <c r="E73" s="292">
        <f t="shared" ca="1" si="11"/>
        <v>0</v>
      </c>
      <c r="F73" s="272">
        <f ca="1">SUMIF($B$5:$I$57,Tableau2[[#This Row],[MOIS]],$F$5:$F$57)</f>
        <v>0</v>
      </c>
      <c r="G73" s="272">
        <f ca="1">SUMIF($B$5:$I$57,Tableau2[[#This Row],[MOIS]],$G$5:$G$57)</f>
        <v>0</v>
      </c>
      <c r="H73" s="272">
        <f ca="1">SUMIF($B$5:$I$57,Tableau2[[#This Row],[MOIS]],$H$5:$H$57)</f>
        <v>0</v>
      </c>
      <c r="I73" s="293">
        <f ca="1">SUMIF($B$5:$I$57,Tableau2[[#This Row],[MOIS]],$I$5:$I$57)</f>
        <v>0</v>
      </c>
      <c r="M73" s="294">
        <v>43709</v>
      </c>
      <c r="N73" s="352">
        <v>10374</v>
      </c>
      <c r="O73" s="292">
        <v>1752</v>
      </c>
      <c r="P73" s="272">
        <v>1636</v>
      </c>
      <c r="Q73" s="272">
        <v>21</v>
      </c>
      <c r="R73" s="272">
        <v>95</v>
      </c>
      <c r="S73" s="293">
        <v>86</v>
      </c>
      <c r="X73" s="272"/>
      <c r="Y73" s="273"/>
    </row>
    <row r="74" spans="3:25" x14ac:dyDescent="0.2">
      <c r="C74" s="277">
        <v>44105</v>
      </c>
      <c r="D74" s="326" t="str">
        <f t="shared" ca="1" si="12"/>
        <v/>
      </c>
      <c r="E74" s="292">
        <f t="shared" ca="1" si="11"/>
        <v>0</v>
      </c>
      <c r="F74" s="272">
        <f ca="1">SUMIF($B$5:$I$57,Tableau2[[#This Row],[MOIS]],$F$5:$F$57)</f>
        <v>0</v>
      </c>
      <c r="G74" s="272">
        <f ca="1">SUMIF($B$5:$I$57,Tableau2[[#This Row],[MOIS]],$G$5:$G$57)</f>
        <v>0</v>
      </c>
      <c r="H74" s="272">
        <f ca="1">SUMIF($B$5:$I$57,Tableau2[[#This Row],[MOIS]],$H$5:$H$57)</f>
        <v>0</v>
      </c>
      <c r="I74" s="293">
        <f ca="1">SUMIF($B$5:$I$57,Tableau2[[#This Row],[MOIS]],$I$5:$I$57)</f>
        <v>0</v>
      </c>
      <c r="M74" s="295">
        <v>43739</v>
      </c>
      <c r="N74" s="353">
        <v>11783</v>
      </c>
      <c r="O74" s="292">
        <v>1310</v>
      </c>
      <c r="P74" s="272">
        <v>1200</v>
      </c>
      <c r="Q74" s="272">
        <v>6</v>
      </c>
      <c r="R74" s="272">
        <v>104</v>
      </c>
      <c r="S74" s="293">
        <v>99</v>
      </c>
      <c r="X74" s="272"/>
      <c r="Y74" s="273"/>
    </row>
    <row r="75" spans="3:25" x14ac:dyDescent="0.2">
      <c r="C75" s="277">
        <v>44136</v>
      </c>
      <c r="D75" s="326" t="str">
        <f t="shared" ca="1" si="12"/>
        <v/>
      </c>
      <c r="E75" s="292">
        <f t="shared" ca="1" si="11"/>
        <v>0</v>
      </c>
      <c r="F75" s="272">
        <f ca="1">SUMIF($B$5:$I$57,Tableau2[[#This Row],[MOIS]],$F$5:$F$57)</f>
        <v>0</v>
      </c>
      <c r="G75" s="272">
        <f ca="1">SUMIF($B$5:$I$57,Tableau2[[#This Row],[MOIS]],$G$5:$G$57)</f>
        <v>0</v>
      </c>
      <c r="H75" s="272">
        <f ca="1">SUMIF($B$5:$I$57,Tableau2[[#This Row],[MOIS]],$H$5:$H$57)</f>
        <v>0</v>
      </c>
      <c r="I75" s="293">
        <f ca="1">SUMIF($B$5:$I$57,Tableau2[[#This Row],[MOIS]],$I$5:$I$57)</f>
        <v>0</v>
      </c>
      <c r="M75" s="294">
        <v>43770</v>
      </c>
      <c r="N75" s="352">
        <v>12936</v>
      </c>
      <c r="O75" s="292">
        <v>1096</v>
      </c>
      <c r="P75" s="272">
        <v>1026</v>
      </c>
      <c r="Q75" s="272">
        <v>0</v>
      </c>
      <c r="R75" s="272">
        <v>70</v>
      </c>
      <c r="S75" s="293">
        <v>57</v>
      </c>
      <c r="X75" s="272"/>
      <c r="Y75" s="273"/>
    </row>
    <row r="76" spans="3:25" x14ac:dyDescent="0.2">
      <c r="C76" s="277">
        <v>44166</v>
      </c>
      <c r="D76" s="326" t="str">
        <f t="shared" ca="1" si="12"/>
        <v/>
      </c>
      <c r="E76" s="292">
        <f t="shared" ca="1" si="11"/>
        <v>0</v>
      </c>
      <c r="F76" s="272">
        <f ca="1">SUMIF($B$5:$I$57,Tableau2[[#This Row],[MOIS]],$F$5:$F$57)</f>
        <v>0</v>
      </c>
      <c r="G76" s="272">
        <f ca="1">SUMIF($B$5:$I$57,Tableau2[[#This Row],[MOIS]],$G$5:$G$57)</f>
        <v>0</v>
      </c>
      <c r="H76" s="272">
        <f ca="1">SUMIF($B$5:$I$57,Tableau2[[#This Row],[MOIS]],$H$5:$H$57)</f>
        <v>0</v>
      </c>
      <c r="I76" s="293">
        <f ca="1">SUMIF($B$5:$I$57,Tableau2[[#This Row],[MOIS]],$I$5:$I$57)</f>
        <v>0</v>
      </c>
      <c r="M76" s="295">
        <v>43800</v>
      </c>
      <c r="N76" s="353">
        <v>14146</v>
      </c>
      <c r="O76" s="292">
        <v>1167</v>
      </c>
      <c r="P76" s="272">
        <v>1105</v>
      </c>
      <c r="Q76" s="272">
        <v>30</v>
      </c>
      <c r="R76" s="272">
        <v>32</v>
      </c>
      <c r="S76" s="293">
        <v>43</v>
      </c>
      <c r="X76" s="272"/>
      <c r="Y76" s="273"/>
    </row>
    <row r="77" spans="3:25" ht="13.5" thickBot="1" x14ac:dyDescent="0.25">
      <c r="C77" s="296"/>
      <c r="D77" s="296"/>
      <c r="E77" s="297">
        <f t="shared" ca="1" si="11"/>
        <v>2426</v>
      </c>
      <c r="F77" s="298">
        <f ca="1">SUM(F65:F76)</f>
        <v>2268</v>
      </c>
      <c r="G77" s="298">
        <f t="shared" ref="G77:I77" ca="1" si="13">SUM(G65:G76)</f>
        <v>36</v>
      </c>
      <c r="H77" s="298">
        <f t="shared" ca="1" si="13"/>
        <v>122</v>
      </c>
      <c r="I77" s="299">
        <f t="shared" ca="1" si="13"/>
        <v>188</v>
      </c>
      <c r="M77" s="300" t="s">
        <v>66</v>
      </c>
      <c r="N77" s="351">
        <v>14146</v>
      </c>
      <c r="O77" s="301">
        <v>13324</v>
      </c>
      <c r="P77" s="298">
        <v>12089</v>
      </c>
      <c r="Q77" s="298">
        <v>554</v>
      </c>
      <c r="R77" s="298">
        <v>681</v>
      </c>
      <c r="S77" s="299">
        <v>822</v>
      </c>
      <c r="X77" s="272"/>
      <c r="Y77" s="273"/>
    </row>
    <row r="78" spans="3:25" x14ac:dyDescent="0.2">
      <c r="E78" s="302">
        <f ca="1">E77/O77-1</f>
        <v>-0.81792254578204737</v>
      </c>
      <c r="F78" s="302">
        <f ca="1">F77/P77-1</f>
        <v>-0.81239143022582516</v>
      </c>
      <c r="G78" s="302">
        <f ca="1">G77/Q77-1</f>
        <v>-0.93501805054151621</v>
      </c>
      <c r="H78" s="302">
        <f ca="1">H77/R77-1</f>
        <v>-0.82085168869309832</v>
      </c>
      <c r="I78" s="302">
        <f ca="1">I77/S77-1</f>
        <v>-0.77128953771289543</v>
      </c>
      <c r="X78" s="272"/>
      <c r="Y78" s="273"/>
    </row>
  </sheetData>
  <autoFilter ref="A4:I56"/>
  <mergeCells count="2">
    <mergeCell ref="T3:U3"/>
    <mergeCell ref="J3:K3"/>
  </mergeCells>
  <pageMargins left="0" right="0" top="0.59055118110236227" bottom="0.55118110236220474" header="0.31496062992125984" footer="0.31496062992125984"/>
  <pageSetup paperSize="9" scale="63" orientation="portrait" r:id="rId1"/>
  <legacyDrawing r:id="rId2"/>
  <tableParts count="2">
    <tablePart r:id="rId3"/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V77"/>
  <sheetViews>
    <sheetView zoomScaleNormal="100" workbookViewId="0">
      <pane ySplit="4" topLeftCell="A5" activePane="bottomLeft" state="frozen"/>
      <selection pane="bottomLeft" activeCell="L13" sqref="L13"/>
    </sheetView>
  </sheetViews>
  <sheetFormatPr baseColWidth="10" defaultRowHeight="15" x14ac:dyDescent="0.25"/>
  <cols>
    <col min="1" max="1" width="3" style="286" bestFit="1" customWidth="1"/>
    <col min="2" max="2" width="8.42578125" style="286" bestFit="1" customWidth="1"/>
    <col min="3" max="3" width="5.42578125" style="272" customWidth="1"/>
    <col min="4" max="4" width="11.42578125" style="272" customWidth="1"/>
    <col min="5" max="5" width="7.5703125" customWidth="1"/>
    <col min="6" max="6" width="10" style="272" customWidth="1"/>
    <col min="7" max="7" width="8.5703125" style="272" customWidth="1"/>
    <col min="8" max="8" width="7.7109375" style="272" customWidth="1"/>
    <col min="9" max="9" width="9.5703125" style="272" bestFit="1" customWidth="1"/>
    <col min="10" max="12" width="6.85546875" style="272" customWidth="1"/>
    <col min="13" max="13" width="5.140625" style="272" customWidth="1"/>
    <col min="14" max="14" width="11.42578125" style="272"/>
    <col min="15" max="15" width="6.7109375" style="272" bestFit="1" customWidth="1"/>
    <col min="16" max="16" width="8.28515625" style="272" customWidth="1"/>
    <col min="17" max="17" width="8.140625" style="272" customWidth="1"/>
    <col min="18" max="18" width="9" style="272" customWidth="1"/>
    <col min="19" max="23" width="7.28515625" style="272" customWidth="1"/>
    <col min="24" max="16384" width="11.42578125" style="272"/>
  </cols>
  <sheetData>
    <row r="1" spans="1:22" ht="12.75" customHeight="1" x14ac:dyDescent="0.2">
      <c r="A1" s="369" t="s">
        <v>97</v>
      </c>
      <c r="B1" s="370"/>
      <c r="C1" s="371"/>
      <c r="D1" s="371"/>
      <c r="E1" s="371"/>
      <c r="F1" s="371"/>
      <c r="G1" s="371"/>
      <c r="H1" s="371"/>
      <c r="I1" s="371"/>
      <c r="J1" s="372" t="s">
        <v>208</v>
      </c>
      <c r="K1" s="371"/>
      <c r="L1" s="371"/>
      <c r="N1" s="369" t="s">
        <v>97</v>
      </c>
      <c r="O1" s="369"/>
      <c r="P1" s="371"/>
      <c r="Q1" s="371"/>
      <c r="R1" s="371"/>
      <c r="S1" s="371"/>
      <c r="T1" s="372" t="s">
        <v>209</v>
      </c>
      <c r="U1" s="371"/>
      <c r="V1" s="371"/>
    </row>
    <row r="2" spans="1:22" ht="12.75" x14ac:dyDescent="0.2">
      <c r="A2" s="370"/>
      <c r="B2" s="370"/>
      <c r="C2" s="371"/>
      <c r="D2" s="371"/>
      <c r="E2" s="371"/>
      <c r="F2" s="371"/>
      <c r="G2" s="371"/>
      <c r="H2" s="371"/>
      <c r="I2" s="371"/>
      <c r="J2" s="371"/>
      <c r="K2" s="371"/>
      <c r="L2" s="392"/>
      <c r="N2" s="371"/>
      <c r="O2" s="371"/>
      <c r="P2" s="371"/>
      <c r="Q2" s="371"/>
      <c r="R2" s="371"/>
      <c r="S2" s="371"/>
      <c r="T2" s="371"/>
      <c r="U2" s="371"/>
      <c r="V2" s="392"/>
    </row>
    <row r="3" spans="1:22" ht="15.75" x14ac:dyDescent="0.25">
      <c r="A3" s="371"/>
      <c r="B3" s="371"/>
      <c r="C3" s="371"/>
      <c r="D3" s="373" t="s">
        <v>204</v>
      </c>
      <c r="E3" s="371"/>
      <c r="F3" s="371"/>
      <c r="G3" s="371"/>
      <c r="H3" s="371"/>
      <c r="I3" s="371"/>
      <c r="J3" s="371"/>
      <c r="K3" s="539" t="s">
        <v>225</v>
      </c>
      <c r="L3" s="539"/>
      <c r="N3" s="373" t="s">
        <v>70</v>
      </c>
      <c r="O3" s="371"/>
      <c r="P3" s="371"/>
      <c r="Q3" s="371"/>
      <c r="R3" s="371"/>
      <c r="S3" s="371"/>
      <c r="T3" s="371"/>
      <c r="U3" s="539" t="s">
        <v>225</v>
      </c>
      <c r="V3" s="539"/>
    </row>
    <row r="4" spans="1:22" ht="18" customHeight="1" x14ac:dyDescent="0.2">
      <c r="B4" s="274" t="s">
        <v>94</v>
      </c>
      <c r="C4" s="272" t="s">
        <v>210</v>
      </c>
      <c r="D4" s="272" t="s">
        <v>65</v>
      </c>
      <c r="E4" s="330" t="s">
        <v>206</v>
      </c>
      <c r="F4" s="276" t="s">
        <v>75</v>
      </c>
      <c r="G4" s="273" t="s">
        <v>67</v>
      </c>
      <c r="H4" s="273" t="s">
        <v>68</v>
      </c>
      <c r="I4" s="273" t="s">
        <v>33</v>
      </c>
      <c r="J4" s="273" t="s">
        <v>69</v>
      </c>
      <c r="K4" s="393" t="s">
        <v>206</v>
      </c>
      <c r="L4" s="393" t="s">
        <v>226</v>
      </c>
      <c r="N4" s="272" t="s">
        <v>65</v>
      </c>
      <c r="O4" s="330" t="s">
        <v>206</v>
      </c>
      <c r="P4" s="276" t="s">
        <v>75</v>
      </c>
      <c r="Q4" s="273" t="s">
        <v>67</v>
      </c>
      <c r="R4" s="273" t="s">
        <v>68</v>
      </c>
      <c r="S4" s="273" t="s">
        <v>33</v>
      </c>
      <c r="T4" s="273" t="s">
        <v>69</v>
      </c>
      <c r="U4" s="393" t="s">
        <v>206</v>
      </c>
      <c r="V4" s="393" t="s">
        <v>226</v>
      </c>
    </row>
    <row r="5" spans="1:22" ht="12.75" x14ac:dyDescent="0.2">
      <c r="B5" s="279">
        <f>'Récap devis'!B5</f>
        <v>43831</v>
      </c>
      <c r="C5" s="273" t="str">
        <f>LEFT(D5,3)</f>
        <v>S01</v>
      </c>
      <c r="D5" s="273" t="s">
        <v>149</v>
      </c>
      <c r="E5" s="326">
        <f>F5+J5</f>
        <v>0</v>
      </c>
      <c r="F5" s="292"/>
      <c r="L5" s="384"/>
      <c r="N5" s="273" t="s">
        <v>150</v>
      </c>
      <c r="O5" s="335">
        <v>575</v>
      </c>
      <c r="P5" s="292">
        <v>575</v>
      </c>
      <c r="Q5" s="272">
        <v>205</v>
      </c>
      <c r="R5" s="272">
        <v>258</v>
      </c>
      <c r="S5" s="272">
        <v>11</v>
      </c>
      <c r="T5" s="272">
        <v>101</v>
      </c>
      <c r="U5" s="389">
        <f>IF(V5&lt;&gt;0,+V5,)</f>
        <v>697</v>
      </c>
      <c r="V5" s="384">
        <v>697</v>
      </c>
    </row>
    <row r="6" spans="1:22" ht="12.75" x14ac:dyDescent="0.2">
      <c r="B6" s="279">
        <f>'Récap devis'!B6</f>
        <v>43831</v>
      </c>
      <c r="C6" s="273" t="str">
        <f t="shared" ref="C6:C56" si="0">LEFT(D6,3)</f>
        <v>S02</v>
      </c>
      <c r="D6" s="273" t="s">
        <v>98</v>
      </c>
      <c r="E6" s="326">
        <f ca="1">IF(F6&lt;&gt;0,E5+F6,"")</f>
        <v>1443</v>
      </c>
      <c r="F6" s="292">
        <f t="shared" ref="F6:F36" ca="1" si="1">SUM(G6:J6)</f>
        <v>1443</v>
      </c>
      <c r="G6" s="303">
        <f t="shared" ref="G6:G13" ca="1" si="2">INDIRECT("'[suivi cde 2020.xlsx]"&amp;$D6&amp;"'!$R$12")+INDIRECT("'[suivi cde 2020.xlsx]"&amp;$D6&amp;"'!$R$23")+INDIRECT("'[suivi cde 2020.xlsx]"&amp;$D6&amp;"'!$R$66")</f>
        <v>763</v>
      </c>
      <c r="H6" s="303">
        <f ca="1">INDIRECT("'L:\[suivi cde 2020.xlsx]"&amp;$D6&amp;"'!$R$31")</f>
        <v>298</v>
      </c>
      <c r="I6" s="303">
        <f ca="1">INDIRECT("'L:\[suivi cde 2020.xlsx]"&amp;$D6&amp;"'!$R$42")</f>
        <v>73</v>
      </c>
      <c r="J6" s="303">
        <f ca="1">INDIRECT("'L:\[suivi cde 2020.xlsx]"&amp;$D6&amp;"'!$R$54")+INDIRECT("'L:\[suivi cde 2020.xlsx]"&amp;$D6&amp;"'!$R$78")</f>
        <v>309</v>
      </c>
      <c r="K6" s="389">
        <f>IF(L6&lt;&gt;0,+L6,)</f>
        <v>1331</v>
      </c>
      <c r="L6" s="388">
        <f>[3]Production!$C1628</f>
        <v>1331</v>
      </c>
      <c r="N6" s="273" t="s">
        <v>151</v>
      </c>
      <c r="O6" s="335">
        <v>1657</v>
      </c>
      <c r="P6" s="292">
        <v>1082</v>
      </c>
      <c r="Q6" s="303">
        <v>526</v>
      </c>
      <c r="R6" s="303">
        <v>328</v>
      </c>
      <c r="S6" s="303">
        <v>85</v>
      </c>
      <c r="T6" s="303">
        <v>143</v>
      </c>
      <c r="U6" s="389">
        <f>IF(V6&lt;&gt;0,U5+V6,)</f>
        <v>2146</v>
      </c>
      <c r="V6" s="384">
        <v>1449</v>
      </c>
    </row>
    <row r="7" spans="1:22" ht="12.75" x14ac:dyDescent="0.2">
      <c r="B7" s="279">
        <f>'Récap devis'!B7</f>
        <v>43831</v>
      </c>
      <c r="C7" s="273" t="str">
        <f t="shared" si="0"/>
        <v>S03</v>
      </c>
      <c r="D7" s="273" t="s">
        <v>99</v>
      </c>
      <c r="E7" s="326">
        <f t="shared" ref="E7:E56" ca="1" si="3">IF(F7&lt;&gt;0,E6+F7,"")</f>
        <v>2717</v>
      </c>
      <c r="F7" s="292">
        <f t="shared" ca="1" si="1"/>
        <v>1274</v>
      </c>
      <c r="G7" s="303">
        <f t="shared" ca="1" si="2"/>
        <v>683</v>
      </c>
      <c r="H7" s="303">
        <f t="shared" ref="H7:H13" ca="1" si="4">INDIRECT("'[suivi cde 2020.xlsx]"&amp;$D7&amp;"'!$R$31")</f>
        <v>282</v>
      </c>
      <c r="I7" s="303">
        <f t="shared" ref="I7:I13" ca="1" si="5">INDIRECT("'[suivi cde 2020.xlsx]"&amp;$D7&amp;"'!$R$42")</f>
        <v>103</v>
      </c>
      <c r="J7" s="303">
        <f t="shared" ref="J7:J13" ca="1" si="6">INDIRECT("'[suivi cde 2020.xlsx]"&amp;$D7&amp;"'!$R$54")+INDIRECT("'[suivi cde 2020.xlsx]"&amp;$D7&amp;"'!$R$78")</f>
        <v>206</v>
      </c>
      <c r="K7" s="389">
        <f>IF(L7&lt;&gt;0,K6+L7,)</f>
        <v>2765</v>
      </c>
      <c r="L7" s="388">
        <f>[3]Production!$C1629</f>
        <v>1434</v>
      </c>
      <c r="N7" s="273" t="s">
        <v>152</v>
      </c>
      <c r="O7" s="336">
        <v>2865</v>
      </c>
      <c r="P7" s="292">
        <v>1208</v>
      </c>
      <c r="Q7" s="272">
        <v>494</v>
      </c>
      <c r="R7" s="272">
        <v>413</v>
      </c>
      <c r="S7" s="272">
        <v>90</v>
      </c>
      <c r="T7" s="272">
        <v>211</v>
      </c>
      <c r="U7" s="389">
        <f t="shared" ref="U7:U56" si="7">IF(V7&lt;&gt;0,U6+V7,)</f>
        <v>3523</v>
      </c>
      <c r="V7" s="384">
        <v>1377</v>
      </c>
    </row>
    <row r="8" spans="1:22" ht="12.75" x14ac:dyDescent="0.2">
      <c r="B8" s="279">
        <f>'Récap devis'!B8</f>
        <v>43831</v>
      </c>
      <c r="C8" s="273" t="str">
        <f t="shared" si="0"/>
        <v>S04</v>
      </c>
      <c r="D8" s="273" t="s">
        <v>100</v>
      </c>
      <c r="E8" s="326">
        <f t="shared" ref="E8" ca="1" si="8">IF(F8&lt;&gt;0,E7+F8,"")</f>
        <v>4095</v>
      </c>
      <c r="F8" s="292">
        <f t="shared" ref="F8" ca="1" si="9">SUM(G8:J8)</f>
        <v>1378</v>
      </c>
      <c r="G8" s="272">
        <f t="shared" ca="1" si="2"/>
        <v>661</v>
      </c>
      <c r="H8" s="272">
        <f t="shared" ca="1" si="4"/>
        <v>336</v>
      </c>
      <c r="I8" s="272">
        <f t="shared" ca="1" si="5"/>
        <v>142</v>
      </c>
      <c r="J8" s="272">
        <f t="shared" ca="1" si="6"/>
        <v>239</v>
      </c>
      <c r="K8" s="386">
        <f>IF(L8&lt;&gt;0,K7+L8,)</f>
        <v>4102</v>
      </c>
      <c r="L8" s="388">
        <f>[3]Production!$C1630</f>
        <v>1337</v>
      </c>
      <c r="N8" s="273" t="s">
        <v>153</v>
      </c>
      <c r="O8" s="336">
        <v>3871</v>
      </c>
      <c r="P8" s="292">
        <v>1006</v>
      </c>
      <c r="Q8" s="272">
        <v>533</v>
      </c>
      <c r="R8" s="272">
        <v>211</v>
      </c>
      <c r="S8" s="272">
        <v>95</v>
      </c>
      <c r="T8" s="272">
        <v>167</v>
      </c>
      <c r="U8" s="389">
        <f t="shared" si="7"/>
        <v>4663</v>
      </c>
      <c r="V8" s="384">
        <v>1140</v>
      </c>
    </row>
    <row r="9" spans="1:22" ht="12.75" x14ac:dyDescent="0.2">
      <c r="A9" s="286">
        <v>4</v>
      </c>
      <c r="B9" s="279">
        <f>'Récap devis'!B9</f>
        <v>43831</v>
      </c>
      <c r="C9" s="333" t="str">
        <f t="shared" si="0"/>
        <v>S05</v>
      </c>
      <c r="D9" s="333" t="s">
        <v>101</v>
      </c>
      <c r="E9" s="402">
        <f t="shared" ca="1" si="3"/>
        <v>5254</v>
      </c>
      <c r="F9" s="304">
        <f t="shared" ca="1" si="1"/>
        <v>1159</v>
      </c>
      <c r="G9" s="282">
        <f t="shared" ca="1" si="2"/>
        <v>571</v>
      </c>
      <c r="H9" s="282">
        <f t="shared" ca="1" si="4"/>
        <v>231</v>
      </c>
      <c r="I9" s="282">
        <f t="shared" ca="1" si="5"/>
        <v>99</v>
      </c>
      <c r="J9" s="282">
        <f t="shared" ca="1" si="6"/>
        <v>258</v>
      </c>
      <c r="K9" s="390">
        <f t="shared" ref="K9:K56" si="10">IF(L9&lt;&gt;0,K8+L9,)</f>
        <v>5455</v>
      </c>
      <c r="L9" s="385">
        <v>1353</v>
      </c>
      <c r="N9" s="333" t="s">
        <v>154</v>
      </c>
      <c r="O9" s="337">
        <v>5211</v>
      </c>
      <c r="P9" s="304">
        <v>1340</v>
      </c>
      <c r="Q9" s="282">
        <v>628</v>
      </c>
      <c r="R9" s="282">
        <v>400</v>
      </c>
      <c r="S9" s="282">
        <v>65</v>
      </c>
      <c r="T9" s="282">
        <v>247</v>
      </c>
      <c r="U9" s="389">
        <f t="shared" si="7"/>
        <v>5763</v>
      </c>
      <c r="V9" s="384">
        <v>1100</v>
      </c>
    </row>
    <row r="10" spans="1:22" ht="12.75" x14ac:dyDescent="0.2">
      <c r="A10" s="286">
        <v>5</v>
      </c>
      <c r="B10" s="279">
        <f>'Récap devis'!B10</f>
        <v>43862</v>
      </c>
      <c r="C10" s="273" t="str">
        <f t="shared" si="0"/>
        <v>S06</v>
      </c>
      <c r="D10" s="273" t="s">
        <v>102</v>
      </c>
      <c r="E10" s="326">
        <f t="shared" ref="E10" ca="1" si="11">IF(F10&lt;&gt;0,E9+F10,"")</f>
        <v>6405</v>
      </c>
      <c r="F10" s="292">
        <f t="shared" ref="F10" ca="1" si="12">SUM(G10:J10)</f>
        <v>1151</v>
      </c>
      <c r="G10" s="272">
        <f t="shared" ca="1" si="2"/>
        <v>621</v>
      </c>
      <c r="H10" s="272">
        <f t="shared" ca="1" si="4"/>
        <v>273</v>
      </c>
      <c r="I10" s="272">
        <f t="shared" ca="1" si="5"/>
        <v>85</v>
      </c>
      <c r="J10" s="272">
        <f t="shared" ca="1" si="6"/>
        <v>172</v>
      </c>
      <c r="K10" s="386">
        <f t="shared" ref="K10" si="13">IF(L10&lt;&gt;0,K9+L10,)</f>
        <v>6902</v>
      </c>
      <c r="L10" s="384">
        <v>1447</v>
      </c>
      <c r="N10" s="273" t="s">
        <v>155</v>
      </c>
      <c r="O10" s="336">
        <v>6475</v>
      </c>
      <c r="P10" s="292">
        <v>1264</v>
      </c>
      <c r="Q10" s="272">
        <v>484</v>
      </c>
      <c r="R10" s="272">
        <v>503</v>
      </c>
      <c r="S10" s="272">
        <v>97</v>
      </c>
      <c r="T10" s="272">
        <v>180</v>
      </c>
      <c r="U10" s="389">
        <f t="shared" si="7"/>
        <v>7082</v>
      </c>
      <c r="V10" s="384">
        <v>1319</v>
      </c>
    </row>
    <row r="11" spans="1:22" ht="12.75" x14ac:dyDescent="0.2">
      <c r="A11" s="286">
        <v>6</v>
      </c>
      <c r="B11" s="279">
        <f>'Récap devis'!B11</f>
        <v>43862</v>
      </c>
      <c r="C11" s="273" t="str">
        <f t="shared" si="0"/>
        <v>S07</v>
      </c>
      <c r="D11" s="273" t="s">
        <v>103</v>
      </c>
      <c r="E11" s="326">
        <f t="shared" ca="1" si="3"/>
        <v>7703</v>
      </c>
      <c r="F11" s="280">
        <f t="shared" ca="1" si="1"/>
        <v>1298</v>
      </c>
      <c r="G11" s="272">
        <f t="shared" ca="1" si="2"/>
        <v>535</v>
      </c>
      <c r="H11" s="272">
        <f t="shared" ca="1" si="4"/>
        <v>228</v>
      </c>
      <c r="I11" s="272">
        <f t="shared" ca="1" si="5"/>
        <v>141</v>
      </c>
      <c r="J11" s="272">
        <f t="shared" ca="1" si="6"/>
        <v>394</v>
      </c>
      <c r="K11" s="386">
        <f t="shared" si="10"/>
        <v>8281</v>
      </c>
      <c r="L11" s="384">
        <v>1379</v>
      </c>
      <c r="N11" s="273" t="s">
        <v>156</v>
      </c>
      <c r="O11" s="336">
        <v>7780</v>
      </c>
      <c r="P11" s="280">
        <v>1305</v>
      </c>
      <c r="Q11" s="272">
        <v>443</v>
      </c>
      <c r="R11" s="272">
        <v>569</v>
      </c>
      <c r="S11" s="272">
        <v>77</v>
      </c>
      <c r="T11" s="272">
        <v>216</v>
      </c>
      <c r="U11" s="389">
        <f t="shared" si="7"/>
        <v>8422</v>
      </c>
      <c r="V11" s="384">
        <v>1340</v>
      </c>
    </row>
    <row r="12" spans="1:22" ht="12.75" x14ac:dyDescent="0.2">
      <c r="A12" s="286">
        <v>7</v>
      </c>
      <c r="B12" s="279">
        <f>'Récap devis'!B12</f>
        <v>43862</v>
      </c>
      <c r="C12" s="273" t="str">
        <f t="shared" si="0"/>
        <v>S08</v>
      </c>
      <c r="D12" s="273" t="s">
        <v>104</v>
      </c>
      <c r="E12" s="326">
        <f t="shared" ref="E12" ca="1" si="14">IF(F12&lt;&gt;0,E11+F12,"")</f>
        <v>8965</v>
      </c>
      <c r="F12" s="280">
        <f t="shared" ref="F12" ca="1" si="15">SUM(G12:J12)</f>
        <v>1262</v>
      </c>
      <c r="G12" s="272">
        <f t="shared" ca="1" si="2"/>
        <v>639</v>
      </c>
      <c r="H12" s="272">
        <f t="shared" ca="1" si="4"/>
        <v>367</v>
      </c>
      <c r="I12" s="272">
        <f t="shared" ca="1" si="5"/>
        <v>40</v>
      </c>
      <c r="J12" s="272">
        <f t="shared" ca="1" si="6"/>
        <v>216</v>
      </c>
      <c r="K12" s="386">
        <f t="shared" si="10"/>
        <v>9346</v>
      </c>
      <c r="L12" s="384">
        <v>1065</v>
      </c>
      <c r="N12" s="273" t="s">
        <v>157</v>
      </c>
      <c r="O12" s="336">
        <v>8861</v>
      </c>
      <c r="P12" s="280">
        <v>1081</v>
      </c>
      <c r="Q12" s="272">
        <v>438</v>
      </c>
      <c r="R12" s="272">
        <v>362</v>
      </c>
      <c r="S12" s="272">
        <v>62</v>
      </c>
      <c r="T12" s="272">
        <v>219</v>
      </c>
      <c r="U12" s="389">
        <f t="shared" si="7"/>
        <v>9772</v>
      </c>
      <c r="V12" s="384">
        <v>1350</v>
      </c>
    </row>
    <row r="13" spans="1:22" ht="12.75" x14ac:dyDescent="0.2">
      <c r="A13" s="286">
        <v>8</v>
      </c>
      <c r="B13" s="279">
        <f>'Récap devis'!B13</f>
        <v>43862</v>
      </c>
      <c r="C13" s="333" t="str">
        <f t="shared" si="0"/>
        <v>S09</v>
      </c>
      <c r="D13" s="333" t="s">
        <v>105</v>
      </c>
      <c r="E13" s="402">
        <f t="shared" ref="E13" ca="1" si="16">IF(F13&lt;&gt;0,E12+F13,"")</f>
        <v>10571</v>
      </c>
      <c r="F13" s="283">
        <f t="shared" ref="F13" ca="1" si="17">SUM(G13:J13)</f>
        <v>1606</v>
      </c>
      <c r="G13" s="282">
        <f t="shared" ca="1" si="2"/>
        <v>719</v>
      </c>
      <c r="H13" s="282">
        <f t="shared" ca="1" si="4"/>
        <v>515</v>
      </c>
      <c r="I13" s="282">
        <f t="shared" ca="1" si="5"/>
        <v>131</v>
      </c>
      <c r="J13" s="282">
        <f t="shared" ca="1" si="6"/>
        <v>241</v>
      </c>
      <c r="K13" s="390">
        <f t="shared" si="10"/>
        <v>0</v>
      </c>
      <c r="L13" s="385"/>
      <c r="N13" s="333" t="s">
        <v>158</v>
      </c>
      <c r="O13" s="337">
        <v>10036</v>
      </c>
      <c r="P13" s="283">
        <v>1175</v>
      </c>
      <c r="Q13" s="282">
        <v>489</v>
      </c>
      <c r="R13" s="282">
        <v>414</v>
      </c>
      <c r="S13" s="282">
        <v>52</v>
      </c>
      <c r="T13" s="282">
        <v>220</v>
      </c>
      <c r="U13" s="389">
        <f t="shared" si="7"/>
        <v>11176</v>
      </c>
      <c r="V13" s="384">
        <v>1404</v>
      </c>
    </row>
    <row r="14" spans="1:22" ht="12.75" x14ac:dyDescent="0.2">
      <c r="A14" s="286">
        <v>9</v>
      </c>
      <c r="B14" s="279">
        <f>'Récap devis'!B14</f>
        <v>43891</v>
      </c>
      <c r="C14" s="273" t="str">
        <f t="shared" si="0"/>
        <v>S10</v>
      </c>
      <c r="D14" s="273" t="s">
        <v>106</v>
      </c>
      <c r="E14" s="273" t="str">
        <f t="shared" si="3"/>
        <v/>
      </c>
      <c r="F14" s="280">
        <f t="shared" si="1"/>
        <v>0</v>
      </c>
      <c r="K14" s="386">
        <f t="shared" si="10"/>
        <v>0</v>
      </c>
      <c r="L14" s="384"/>
      <c r="N14" s="273" t="s">
        <v>159</v>
      </c>
      <c r="O14" s="336">
        <v>11256</v>
      </c>
      <c r="P14" s="280">
        <v>1220</v>
      </c>
      <c r="Q14" s="272">
        <v>480</v>
      </c>
      <c r="R14" s="272">
        <v>442</v>
      </c>
      <c r="S14" s="272">
        <v>76</v>
      </c>
      <c r="T14" s="272">
        <v>222</v>
      </c>
      <c r="U14" s="389">
        <f t="shared" si="7"/>
        <v>12604</v>
      </c>
      <c r="V14" s="384">
        <v>1428</v>
      </c>
    </row>
    <row r="15" spans="1:22" ht="12.75" x14ac:dyDescent="0.2">
      <c r="A15" s="286">
        <v>10</v>
      </c>
      <c r="B15" s="279">
        <f>'Récap devis'!B15</f>
        <v>43891</v>
      </c>
      <c r="C15" s="273" t="str">
        <f t="shared" si="0"/>
        <v>S11</v>
      </c>
      <c r="D15" s="273" t="s">
        <v>107</v>
      </c>
      <c r="E15" s="273" t="str">
        <f t="shared" si="3"/>
        <v/>
      </c>
      <c r="F15" s="280">
        <f t="shared" si="1"/>
        <v>0</v>
      </c>
      <c r="K15" s="386">
        <f t="shared" si="10"/>
        <v>0</v>
      </c>
      <c r="L15" s="384"/>
      <c r="N15" s="273" t="s">
        <v>160</v>
      </c>
      <c r="O15" s="336">
        <v>12830</v>
      </c>
      <c r="P15" s="280">
        <v>1574</v>
      </c>
      <c r="Q15" s="272">
        <v>494</v>
      </c>
      <c r="R15" s="272">
        <v>584</v>
      </c>
      <c r="S15" s="272">
        <v>253</v>
      </c>
      <c r="T15" s="272">
        <v>243</v>
      </c>
      <c r="U15" s="389">
        <f t="shared" si="7"/>
        <v>13900</v>
      </c>
      <c r="V15" s="384">
        <v>1296</v>
      </c>
    </row>
    <row r="16" spans="1:22" ht="12.75" x14ac:dyDescent="0.2">
      <c r="A16" s="286">
        <v>11</v>
      </c>
      <c r="B16" s="279">
        <f>'Récap devis'!B16</f>
        <v>43891</v>
      </c>
      <c r="C16" s="273" t="str">
        <f t="shared" si="0"/>
        <v>S12</v>
      </c>
      <c r="D16" s="273" t="s">
        <v>108</v>
      </c>
      <c r="E16" s="273" t="str">
        <f t="shared" si="3"/>
        <v/>
      </c>
      <c r="F16" s="280">
        <f t="shared" si="1"/>
        <v>0</v>
      </c>
      <c r="K16" s="386">
        <f t="shared" si="10"/>
        <v>0</v>
      </c>
      <c r="L16" s="384"/>
      <c r="N16" s="273" t="s">
        <v>161</v>
      </c>
      <c r="O16" s="336">
        <v>14158</v>
      </c>
      <c r="P16" s="280">
        <v>1328</v>
      </c>
      <c r="Q16" s="272">
        <v>606</v>
      </c>
      <c r="R16" s="272">
        <v>391</v>
      </c>
      <c r="S16" s="272">
        <v>128</v>
      </c>
      <c r="T16" s="272">
        <v>203</v>
      </c>
      <c r="U16" s="389">
        <f t="shared" si="7"/>
        <v>15254</v>
      </c>
      <c r="V16" s="384">
        <v>1354</v>
      </c>
    </row>
    <row r="17" spans="1:22" ht="12.75" x14ac:dyDescent="0.2">
      <c r="A17" s="286">
        <v>12</v>
      </c>
      <c r="B17" s="279">
        <f>'Récap devis'!B17</f>
        <v>43891</v>
      </c>
      <c r="C17" s="333" t="str">
        <f t="shared" si="0"/>
        <v>S13</v>
      </c>
      <c r="D17" s="333" t="s">
        <v>109</v>
      </c>
      <c r="E17" s="333" t="str">
        <f t="shared" si="3"/>
        <v/>
      </c>
      <c r="F17" s="285">
        <f t="shared" si="1"/>
        <v>0</v>
      </c>
      <c r="G17" s="282"/>
      <c r="H17" s="282"/>
      <c r="I17" s="282"/>
      <c r="J17" s="282"/>
      <c r="K17" s="390">
        <f t="shared" si="10"/>
        <v>0</v>
      </c>
      <c r="L17" s="385"/>
      <c r="N17" s="333" t="s">
        <v>162</v>
      </c>
      <c r="O17" s="337">
        <v>15382</v>
      </c>
      <c r="P17" s="283">
        <v>1224</v>
      </c>
      <c r="Q17" s="282">
        <v>546</v>
      </c>
      <c r="R17" s="282">
        <v>294</v>
      </c>
      <c r="S17" s="282">
        <v>200</v>
      </c>
      <c r="T17" s="282">
        <v>184</v>
      </c>
      <c r="U17" s="389">
        <f t="shared" si="7"/>
        <v>16631</v>
      </c>
      <c r="V17" s="384">
        <v>1377</v>
      </c>
    </row>
    <row r="18" spans="1:22" ht="12.75" x14ac:dyDescent="0.2">
      <c r="A18" s="286">
        <v>13</v>
      </c>
      <c r="B18" s="279">
        <f>'Récap devis'!B18</f>
        <v>43922</v>
      </c>
      <c r="C18" s="273" t="str">
        <f t="shared" si="0"/>
        <v>S14</v>
      </c>
      <c r="D18" s="273" t="s">
        <v>110</v>
      </c>
      <c r="E18" s="273" t="str">
        <f t="shared" si="3"/>
        <v/>
      </c>
      <c r="F18" s="275">
        <f t="shared" si="1"/>
        <v>0</v>
      </c>
      <c r="K18" s="386">
        <f t="shared" si="10"/>
        <v>0</v>
      </c>
      <c r="L18" s="384"/>
      <c r="N18" s="273" t="s">
        <v>163</v>
      </c>
      <c r="O18" s="336">
        <v>16822</v>
      </c>
      <c r="P18" s="280">
        <v>1440</v>
      </c>
      <c r="Q18" s="272">
        <v>645</v>
      </c>
      <c r="R18" s="272">
        <v>403</v>
      </c>
      <c r="S18" s="272">
        <v>203</v>
      </c>
      <c r="T18" s="272">
        <v>189</v>
      </c>
      <c r="U18" s="389">
        <f t="shared" si="7"/>
        <v>18022</v>
      </c>
      <c r="V18" s="384">
        <v>1391</v>
      </c>
    </row>
    <row r="19" spans="1:22" ht="12.75" x14ac:dyDescent="0.2">
      <c r="A19" s="286">
        <v>14</v>
      </c>
      <c r="B19" s="279">
        <f>'Récap devis'!B19</f>
        <v>43922</v>
      </c>
      <c r="C19" s="273" t="str">
        <f t="shared" si="0"/>
        <v>S15</v>
      </c>
      <c r="D19" s="273" t="s">
        <v>111</v>
      </c>
      <c r="E19" s="273" t="str">
        <f t="shared" si="3"/>
        <v/>
      </c>
      <c r="F19" s="275">
        <f t="shared" si="1"/>
        <v>0</v>
      </c>
      <c r="K19" s="386">
        <f t="shared" si="10"/>
        <v>0</v>
      </c>
      <c r="L19" s="384"/>
      <c r="N19" s="273" t="s">
        <v>164</v>
      </c>
      <c r="O19" s="336">
        <v>18274</v>
      </c>
      <c r="P19" s="280">
        <v>1452</v>
      </c>
      <c r="Q19" s="272">
        <v>565</v>
      </c>
      <c r="R19" s="272">
        <v>447</v>
      </c>
      <c r="S19" s="272">
        <v>202</v>
      </c>
      <c r="T19" s="272">
        <v>238</v>
      </c>
      <c r="U19" s="389">
        <f t="shared" si="7"/>
        <v>19392</v>
      </c>
      <c r="V19" s="384">
        <v>1370</v>
      </c>
    </row>
    <row r="20" spans="1:22" ht="12.75" x14ac:dyDescent="0.2">
      <c r="A20" s="286">
        <v>15</v>
      </c>
      <c r="B20" s="279">
        <f>'Récap devis'!B20</f>
        <v>43922</v>
      </c>
      <c r="C20" s="273" t="str">
        <f t="shared" si="0"/>
        <v>S16</v>
      </c>
      <c r="D20" s="273" t="s">
        <v>112</v>
      </c>
      <c r="E20" s="273" t="str">
        <f t="shared" si="3"/>
        <v/>
      </c>
      <c r="F20" s="275">
        <f t="shared" si="1"/>
        <v>0</v>
      </c>
      <c r="K20" s="386">
        <f t="shared" si="10"/>
        <v>0</v>
      </c>
      <c r="L20" s="384"/>
      <c r="N20" s="273" t="s">
        <v>165</v>
      </c>
      <c r="O20" s="336">
        <v>19510</v>
      </c>
      <c r="P20" s="280">
        <v>1236</v>
      </c>
      <c r="Q20" s="272">
        <v>496</v>
      </c>
      <c r="R20" s="272">
        <v>374</v>
      </c>
      <c r="S20" s="272">
        <v>198</v>
      </c>
      <c r="T20" s="272">
        <v>168</v>
      </c>
      <c r="U20" s="389">
        <f t="shared" si="7"/>
        <v>20809</v>
      </c>
      <c r="V20" s="384">
        <v>1417</v>
      </c>
    </row>
    <row r="21" spans="1:22" ht="12.75" x14ac:dyDescent="0.2">
      <c r="A21" s="286">
        <v>16</v>
      </c>
      <c r="B21" s="279">
        <f>'Récap devis'!B21</f>
        <v>43922</v>
      </c>
      <c r="C21" s="273" t="str">
        <f t="shared" si="0"/>
        <v>S17</v>
      </c>
      <c r="D21" s="273" t="s">
        <v>113</v>
      </c>
      <c r="E21" s="273" t="str">
        <f t="shared" si="3"/>
        <v/>
      </c>
      <c r="F21" s="275">
        <f t="shared" si="1"/>
        <v>0</v>
      </c>
      <c r="K21" s="386">
        <f t="shared" si="10"/>
        <v>0</v>
      </c>
      <c r="L21" s="384"/>
      <c r="N21" s="273" t="s">
        <v>166</v>
      </c>
      <c r="O21" s="336">
        <v>20619</v>
      </c>
      <c r="P21" s="280">
        <v>1109</v>
      </c>
      <c r="Q21" s="272">
        <v>351</v>
      </c>
      <c r="R21" s="272">
        <v>470</v>
      </c>
      <c r="S21" s="272">
        <v>89</v>
      </c>
      <c r="T21" s="272">
        <v>199</v>
      </c>
      <c r="U21" s="389">
        <f t="shared" si="7"/>
        <v>21880</v>
      </c>
      <c r="V21" s="384">
        <v>1071</v>
      </c>
    </row>
    <row r="22" spans="1:22" ht="12.75" x14ac:dyDescent="0.2">
      <c r="A22" s="286">
        <v>17</v>
      </c>
      <c r="B22" s="279">
        <f>'Récap devis'!B22</f>
        <v>43922</v>
      </c>
      <c r="C22" s="333" t="str">
        <f t="shared" si="0"/>
        <v>S18</v>
      </c>
      <c r="D22" s="333" t="s">
        <v>114</v>
      </c>
      <c r="E22" s="333" t="str">
        <f t="shared" si="3"/>
        <v/>
      </c>
      <c r="F22" s="285">
        <f t="shared" si="1"/>
        <v>0</v>
      </c>
      <c r="G22" s="282"/>
      <c r="H22" s="282"/>
      <c r="I22" s="282"/>
      <c r="J22" s="282"/>
      <c r="K22" s="390">
        <f t="shared" si="10"/>
        <v>0</v>
      </c>
      <c r="L22" s="385"/>
      <c r="N22" s="333" t="s">
        <v>167</v>
      </c>
      <c r="O22" s="337">
        <v>21702</v>
      </c>
      <c r="P22" s="283">
        <v>1083</v>
      </c>
      <c r="Q22" s="282">
        <v>420</v>
      </c>
      <c r="R22" s="282">
        <v>268</v>
      </c>
      <c r="S22" s="282">
        <v>133</v>
      </c>
      <c r="T22" s="282">
        <v>262</v>
      </c>
      <c r="U22" s="389">
        <f t="shared" si="7"/>
        <v>22899</v>
      </c>
      <c r="V22" s="384">
        <v>1019</v>
      </c>
    </row>
    <row r="23" spans="1:22" ht="12.75" x14ac:dyDescent="0.2">
      <c r="A23" s="286">
        <v>18</v>
      </c>
      <c r="B23" s="279">
        <f>'Récap devis'!B23</f>
        <v>43952</v>
      </c>
      <c r="C23" s="273" t="str">
        <f t="shared" si="0"/>
        <v>S19</v>
      </c>
      <c r="D23" s="273" t="s">
        <v>115</v>
      </c>
      <c r="E23" s="273" t="str">
        <f t="shared" si="3"/>
        <v/>
      </c>
      <c r="F23" s="275">
        <f t="shared" si="1"/>
        <v>0</v>
      </c>
      <c r="K23" s="386">
        <f t="shared" si="10"/>
        <v>0</v>
      </c>
      <c r="L23" s="384"/>
      <c r="N23" s="273" t="s">
        <v>168</v>
      </c>
      <c r="O23" s="336">
        <v>22820</v>
      </c>
      <c r="P23" s="280">
        <v>1118</v>
      </c>
      <c r="Q23" s="272">
        <v>467</v>
      </c>
      <c r="R23" s="272">
        <v>287</v>
      </c>
      <c r="S23" s="272">
        <v>133</v>
      </c>
      <c r="T23" s="272">
        <v>231</v>
      </c>
      <c r="U23" s="389">
        <f t="shared" si="7"/>
        <v>23981</v>
      </c>
      <c r="V23" s="384">
        <v>1082</v>
      </c>
    </row>
    <row r="24" spans="1:22" ht="12.75" x14ac:dyDescent="0.2">
      <c r="A24" s="286">
        <v>19</v>
      </c>
      <c r="B24" s="279">
        <f>'Récap devis'!B24</f>
        <v>43952</v>
      </c>
      <c r="C24" s="273" t="str">
        <f t="shared" si="0"/>
        <v>S20</v>
      </c>
      <c r="D24" s="273" t="s">
        <v>116</v>
      </c>
      <c r="E24" s="273" t="str">
        <f t="shared" si="3"/>
        <v/>
      </c>
      <c r="F24" s="275">
        <f t="shared" si="1"/>
        <v>0</v>
      </c>
      <c r="K24" s="386">
        <f t="shared" si="10"/>
        <v>0</v>
      </c>
      <c r="L24" s="384"/>
      <c r="N24" s="273" t="s">
        <v>169</v>
      </c>
      <c r="O24" s="336">
        <v>24095</v>
      </c>
      <c r="P24" s="280">
        <v>1275</v>
      </c>
      <c r="Q24" s="272">
        <v>571</v>
      </c>
      <c r="R24" s="272">
        <v>295</v>
      </c>
      <c r="S24" s="272">
        <v>162</v>
      </c>
      <c r="T24" s="272">
        <v>247</v>
      </c>
      <c r="U24" s="389">
        <f t="shared" si="7"/>
        <v>25245</v>
      </c>
      <c r="V24" s="384">
        <v>1264</v>
      </c>
    </row>
    <row r="25" spans="1:22" ht="12.75" x14ac:dyDescent="0.2">
      <c r="A25" s="286">
        <v>20</v>
      </c>
      <c r="B25" s="279">
        <f>'Récap devis'!B25</f>
        <v>43952</v>
      </c>
      <c r="C25" s="273" t="str">
        <f t="shared" si="0"/>
        <v>S21</v>
      </c>
      <c r="D25" s="273" t="s">
        <v>117</v>
      </c>
      <c r="E25" s="273" t="str">
        <f t="shared" si="3"/>
        <v/>
      </c>
      <c r="F25" s="275">
        <f t="shared" si="1"/>
        <v>0</v>
      </c>
      <c r="K25" s="386">
        <f t="shared" si="10"/>
        <v>0</v>
      </c>
      <c r="L25" s="384"/>
      <c r="N25" s="273" t="s">
        <v>170</v>
      </c>
      <c r="O25" s="336">
        <v>25384</v>
      </c>
      <c r="P25" s="280">
        <v>1289</v>
      </c>
      <c r="Q25" s="272">
        <v>500</v>
      </c>
      <c r="R25" s="272">
        <v>428</v>
      </c>
      <c r="S25" s="272">
        <v>118</v>
      </c>
      <c r="T25" s="272">
        <v>243</v>
      </c>
      <c r="U25" s="389">
        <f t="shared" si="7"/>
        <v>26457</v>
      </c>
      <c r="V25" s="384">
        <v>1212</v>
      </c>
    </row>
    <row r="26" spans="1:22" ht="12.75" x14ac:dyDescent="0.2">
      <c r="A26" s="286">
        <v>21</v>
      </c>
      <c r="B26" s="279">
        <f>'Récap devis'!B26</f>
        <v>43952</v>
      </c>
      <c r="C26" s="333" t="str">
        <f t="shared" si="0"/>
        <v>S22</v>
      </c>
      <c r="D26" s="333" t="s">
        <v>118</v>
      </c>
      <c r="E26" s="333" t="str">
        <f t="shared" si="3"/>
        <v/>
      </c>
      <c r="F26" s="285">
        <f t="shared" si="1"/>
        <v>0</v>
      </c>
      <c r="G26" s="282"/>
      <c r="H26" s="282"/>
      <c r="I26" s="282"/>
      <c r="J26" s="282"/>
      <c r="K26" s="390">
        <f t="shared" si="10"/>
        <v>0</v>
      </c>
      <c r="L26" s="385"/>
      <c r="N26" s="333" t="s">
        <v>171</v>
      </c>
      <c r="O26" s="337">
        <v>26295</v>
      </c>
      <c r="P26" s="283">
        <v>911</v>
      </c>
      <c r="Q26" s="282">
        <v>399</v>
      </c>
      <c r="R26" s="282">
        <v>300</v>
      </c>
      <c r="S26" s="282">
        <v>42</v>
      </c>
      <c r="T26" s="282">
        <v>170</v>
      </c>
      <c r="U26" s="389">
        <f t="shared" si="7"/>
        <v>27294</v>
      </c>
      <c r="V26" s="384">
        <v>837</v>
      </c>
    </row>
    <row r="27" spans="1:22" ht="12.75" x14ac:dyDescent="0.2">
      <c r="A27" s="286">
        <v>22</v>
      </c>
      <c r="B27" s="279">
        <f>'Récap devis'!B27</f>
        <v>43983</v>
      </c>
      <c r="C27" s="273" t="str">
        <f t="shared" si="0"/>
        <v>S23</v>
      </c>
      <c r="D27" s="273" t="s">
        <v>119</v>
      </c>
      <c r="E27" s="273" t="str">
        <f t="shared" si="3"/>
        <v/>
      </c>
      <c r="F27" s="275">
        <f t="shared" si="1"/>
        <v>0</v>
      </c>
      <c r="K27" s="386">
        <f t="shared" si="10"/>
        <v>0</v>
      </c>
      <c r="L27" s="384"/>
      <c r="N27" s="273" t="s">
        <v>172</v>
      </c>
      <c r="O27" s="336">
        <v>28033</v>
      </c>
      <c r="P27" s="280">
        <v>1738</v>
      </c>
      <c r="Q27" s="272">
        <v>711</v>
      </c>
      <c r="R27" s="272">
        <v>583</v>
      </c>
      <c r="S27" s="272">
        <v>142</v>
      </c>
      <c r="T27" s="272">
        <v>302</v>
      </c>
      <c r="U27" s="389">
        <f t="shared" si="7"/>
        <v>28557</v>
      </c>
      <c r="V27" s="384">
        <v>1263</v>
      </c>
    </row>
    <row r="28" spans="1:22" ht="12.75" x14ac:dyDescent="0.2">
      <c r="A28" s="286">
        <v>23</v>
      </c>
      <c r="B28" s="279">
        <f>'Récap devis'!B28</f>
        <v>43983</v>
      </c>
      <c r="C28" s="273" t="str">
        <f t="shared" si="0"/>
        <v>S24</v>
      </c>
      <c r="D28" s="273" t="s">
        <v>120</v>
      </c>
      <c r="E28" s="273" t="str">
        <f t="shared" si="3"/>
        <v/>
      </c>
      <c r="F28" s="275">
        <f t="shared" si="1"/>
        <v>0</v>
      </c>
      <c r="K28" s="386">
        <f t="shared" si="10"/>
        <v>0</v>
      </c>
      <c r="L28" s="384"/>
      <c r="N28" s="273" t="s">
        <v>173</v>
      </c>
      <c r="O28" s="336">
        <v>29050</v>
      </c>
      <c r="P28" s="280">
        <v>1017</v>
      </c>
      <c r="Q28" s="272">
        <v>509</v>
      </c>
      <c r="R28" s="272">
        <v>294</v>
      </c>
      <c r="S28" s="272">
        <v>92</v>
      </c>
      <c r="T28" s="272">
        <v>122</v>
      </c>
      <c r="U28" s="389">
        <f t="shared" si="7"/>
        <v>29557</v>
      </c>
      <c r="V28" s="384">
        <v>1000</v>
      </c>
    </row>
    <row r="29" spans="1:22" ht="12.75" x14ac:dyDescent="0.2">
      <c r="A29" s="286">
        <v>24</v>
      </c>
      <c r="B29" s="279">
        <f>'Récap devis'!B29</f>
        <v>43983</v>
      </c>
      <c r="C29" s="273" t="str">
        <f t="shared" si="0"/>
        <v>S25</v>
      </c>
      <c r="D29" s="273" t="s">
        <v>121</v>
      </c>
      <c r="E29" s="273" t="str">
        <f t="shared" si="3"/>
        <v/>
      </c>
      <c r="F29" s="275">
        <f t="shared" si="1"/>
        <v>0</v>
      </c>
      <c r="K29" s="386">
        <f t="shared" si="10"/>
        <v>0</v>
      </c>
      <c r="L29" s="384"/>
      <c r="N29" s="273" t="s">
        <v>174</v>
      </c>
      <c r="O29" s="336">
        <v>30398</v>
      </c>
      <c r="P29" s="280">
        <v>1348</v>
      </c>
      <c r="Q29" s="272">
        <v>702</v>
      </c>
      <c r="R29" s="272">
        <v>368</v>
      </c>
      <c r="S29" s="272">
        <v>99</v>
      </c>
      <c r="T29" s="272">
        <v>179</v>
      </c>
      <c r="U29" s="389">
        <f t="shared" si="7"/>
        <v>30743</v>
      </c>
      <c r="V29" s="384">
        <v>1186</v>
      </c>
    </row>
    <row r="30" spans="1:22" ht="12.75" x14ac:dyDescent="0.2">
      <c r="A30" s="286">
        <v>25</v>
      </c>
      <c r="B30" s="279">
        <f>'Récap devis'!B30</f>
        <v>43983</v>
      </c>
      <c r="C30" s="333" t="str">
        <f t="shared" si="0"/>
        <v>S26</v>
      </c>
      <c r="D30" s="333" t="s">
        <v>122</v>
      </c>
      <c r="E30" s="333" t="str">
        <f t="shared" si="3"/>
        <v/>
      </c>
      <c r="F30" s="285">
        <f t="shared" si="1"/>
        <v>0</v>
      </c>
      <c r="G30" s="282"/>
      <c r="H30" s="282"/>
      <c r="I30" s="282"/>
      <c r="J30" s="282"/>
      <c r="K30" s="390">
        <f t="shared" si="10"/>
        <v>0</v>
      </c>
      <c r="L30" s="385"/>
      <c r="N30" s="333" t="s">
        <v>175</v>
      </c>
      <c r="O30" s="337">
        <v>31442</v>
      </c>
      <c r="P30" s="283">
        <v>1044</v>
      </c>
      <c r="Q30" s="282">
        <v>500</v>
      </c>
      <c r="R30" s="282">
        <v>298</v>
      </c>
      <c r="S30" s="282">
        <v>48</v>
      </c>
      <c r="T30" s="282">
        <v>198</v>
      </c>
      <c r="U30" s="389">
        <f t="shared" si="7"/>
        <v>31989</v>
      </c>
      <c r="V30" s="384">
        <v>1246</v>
      </c>
    </row>
    <row r="31" spans="1:22" ht="12.75" x14ac:dyDescent="0.2">
      <c r="A31" s="286">
        <v>26</v>
      </c>
      <c r="B31" s="279">
        <f>'Récap devis'!B31</f>
        <v>44013</v>
      </c>
      <c r="C31" s="273" t="str">
        <f t="shared" si="0"/>
        <v>S27</v>
      </c>
      <c r="D31" s="273" t="s">
        <v>123</v>
      </c>
      <c r="E31" s="273" t="str">
        <f t="shared" si="3"/>
        <v/>
      </c>
      <c r="F31" s="275">
        <f t="shared" si="1"/>
        <v>0</v>
      </c>
      <c r="K31" s="386">
        <f t="shared" si="10"/>
        <v>0</v>
      </c>
      <c r="L31" s="384"/>
      <c r="N31" s="273" t="s">
        <v>176</v>
      </c>
      <c r="O31" s="336">
        <v>32604</v>
      </c>
      <c r="P31" s="280">
        <v>1162</v>
      </c>
      <c r="Q31" s="272">
        <v>519</v>
      </c>
      <c r="R31" s="272">
        <v>383</v>
      </c>
      <c r="S31" s="272">
        <v>65</v>
      </c>
      <c r="T31" s="272">
        <v>195</v>
      </c>
      <c r="U31" s="389">
        <f t="shared" si="7"/>
        <v>33182</v>
      </c>
      <c r="V31" s="384">
        <v>1193</v>
      </c>
    </row>
    <row r="32" spans="1:22" ht="12.75" x14ac:dyDescent="0.2">
      <c r="A32" s="286">
        <v>27</v>
      </c>
      <c r="B32" s="279">
        <f>'Récap devis'!B32</f>
        <v>44013</v>
      </c>
      <c r="C32" s="273" t="str">
        <f t="shared" si="0"/>
        <v>S28</v>
      </c>
      <c r="D32" s="273" t="s">
        <v>124</v>
      </c>
      <c r="E32" s="273" t="str">
        <f t="shared" si="3"/>
        <v/>
      </c>
      <c r="F32" s="275">
        <f t="shared" si="1"/>
        <v>0</v>
      </c>
      <c r="K32" s="386">
        <f t="shared" si="10"/>
        <v>0</v>
      </c>
      <c r="L32" s="384"/>
      <c r="N32" s="273" t="s">
        <v>177</v>
      </c>
      <c r="O32" s="336">
        <v>33771</v>
      </c>
      <c r="P32" s="280">
        <v>1167</v>
      </c>
      <c r="Q32" s="272">
        <v>483</v>
      </c>
      <c r="R32" s="272">
        <v>298</v>
      </c>
      <c r="S32" s="272">
        <v>139</v>
      </c>
      <c r="T32" s="272">
        <v>247</v>
      </c>
      <c r="U32" s="389">
        <f t="shared" si="7"/>
        <v>34483</v>
      </c>
      <c r="V32" s="384">
        <v>1301</v>
      </c>
    </row>
    <row r="33" spans="1:22" ht="12.75" x14ac:dyDescent="0.2">
      <c r="A33" s="286">
        <v>28</v>
      </c>
      <c r="B33" s="279">
        <f>'Récap devis'!B33</f>
        <v>44013</v>
      </c>
      <c r="C33" s="273" t="str">
        <f t="shared" si="0"/>
        <v>S29</v>
      </c>
      <c r="D33" s="273" t="s">
        <v>125</v>
      </c>
      <c r="E33" s="273" t="str">
        <f t="shared" si="3"/>
        <v/>
      </c>
      <c r="F33" s="275">
        <f t="shared" si="1"/>
        <v>0</v>
      </c>
      <c r="K33" s="386">
        <f t="shared" si="10"/>
        <v>0</v>
      </c>
      <c r="L33" s="384"/>
      <c r="N33" s="273" t="s">
        <v>178</v>
      </c>
      <c r="O33" s="336">
        <v>34934</v>
      </c>
      <c r="P33" s="280">
        <v>1163</v>
      </c>
      <c r="Q33" s="272">
        <v>505</v>
      </c>
      <c r="R33" s="272">
        <v>328</v>
      </c>
      <c r="S33" s="272">
        <v>160</v>
      </c>
      <c r="T33" s="272">
        <v>170</v>
      </c>
      <c r="U33" s="389">
        <f t="shared" si="7"/>
        <v>35753</v>
      </c>
      <c r="V33" s="384">
        <v>1270</v>
      </c>
    </row>
    <row r="34" spans="1:22" ht="12.75" x14ac:dyDescent="0.2">
      <c r="A34" s="286">
        <v>29</v>
      </c>
      <c r="B34" s="279">
        <f>'Récap devis'!B34</f>
        <v>44013</v>
      </c>
      <c r="C34" s="273" t="str">
        <f t="shared" si="0"/>
        <v>S30</v>
      </c>
      <c r="D34" s="273" t="s">
        <v>126</v>
      </c>
      <c r="E34" s="273" t="str">
        <f t="shared" si="3"/>
        <v/>
      </c>
      <c r="F34" s="275">
        <f t="shared" si="1"/>
        <v>0</v>
      </c>
      <c r="K34" s="386">
        <f t="shared" si="10"/>
        <v>0</v>
      </c>
      <c r="L34" s="384"/>
      <c r="N34" s="273" t="s">
        <v>179</v>
      </c>
      <c r="O34" s="336">
        <v>35975</v>
      </c>
      <c r="P34" s="280">
        <v>1041</v>
      </c>
      <c r="Q34" s="272">
        <v>410</v>
      </c>
      <c r="R34" s="272">
        <v>340</v>
      </c>
      <c r="S34" s="272">
        <v>163</v>
      </c>
      <c r="T34" s="272">
        <v>128</v>
      </c>
      <c r="U34" s="389">
        <f t="shared" si="7"/>
        <v>37047</v>
      </c>
      <c r="V34" s="384">
        <v>1294</v>
      </c>
    </row>
    <row r="35" spans="1:22" ht="12.75" x14ac:dyDescent="0.2">
      <c r="A35" s="286">
        <v>30</v>
      </c>
      <c r="B35" s="279">
        <f>'Récap devis'!B35</f>
        <v>44013</v>
      </c>
      <c r="C35" s="333" t="str">
        <f t="shared" si="0"/>
        <v>S31</v>
      </c>
      <c r="D35" s="333" t="s">
        <v>127</v>
      </c>
      <c r="E35" s="333" t="str">
        <f t="shared" si="3"/>
        <v/>
      </c>
      <c r="F35" s="285">
        <f t="shared" si="1"/>
        <v>0</v>
      </c>
      <c r="G35" s="282"/>
      <c r="H35" s="282"/>
      <c r="I35" s="282"/>
      <c r="J35" s="282"/>
      <c r="K35" s="390">
        <f t="shared" si="10"/>
        <v>0</v>
      </c>
      <c r="L35" s="385"/>
      <c r="N35" s="333" t="s">
        <v>180</v>
      </c>
      <c r="O35" s="337">
        <v>36982</v>
      </c>
      <c r="P35" s="283">
        <v>1007</v>
      </c>
      <c r="Q35" s="282">
        <v>418</v>
      </c>
      <c r="R35" s="282">
        <v>326</v>
      </c>
      <c r="S35" s="282">
        <v>84</v>
      </c>
      <c r="T35" s="282">
        <v>179</v>
      </c>
      <c r="U35" s="389">
        <f t="shared" si="7"/>
        <v>38275</v>
      </c>
      <c r="V35" s="384">
        <v>1228</v>
      </c>
    </row>
    <row r="36" spans="1:22" ht="12.75" x14ac:dyDescent="0.2">
      <c r="A36" s="286">
        <v>31</v>
      </c>
      <c r="B36" s="279">
        <f>'Récap devis'!B36</f>
        <v>44044</v>
      </c>
      <c r="C36" s="273" t="str">
        <f t="shared" si="0"/>
        <v>S32</v>
      </c>
      <c r="D36" s="273" t="s">
        <v>128</v>
      </c>
      <c r="E36" s="273" t="str">
        <f t="shared" si="3"/>
        <v/>
      </c>
      <c r="F36" s="275">
        <f t="shared" si="1"/>
        <v>0</v>
      </c>
      <c r="K36" s="386">
        <f t="shared" si="10"/>
        <v>0</v>
      </c>
      <c r="L36" s="384"/>
      <c r="N36" s="273" t="s">
        <v>181</v>
      </c>
      <c r="O36" s="336">
        <v>36982</v>
      </c>
      <c r="P36" s="280">
        <v>0</v>
      </c>
      <c r="Q36" s="272">
        <v>0</v>
      </c>
      <c r="R36" s="272">
        <v>0</v>
      </c>
      <c r="S36" s="272">
        <v>0</v>
      </c>
      <c r="T36" s="272">
        <v>0</v>
      </c>
      <c r="U36" s="389">
        <f t="shared" si="7"/>
        <v>0</v>
      </c>
      <c r="V36" s="384"/>
    </row>
    <row r="37" spans="1:22" ht="12.75" x14ac:dyDescent="0.2">
      <c r="B37" s="279">
        <f>'Récap devis'!B37</f>
        <v>44044</v>
      </c>
      <c r="C37" s="273" t="str">
        <f t="shared" si="0"/>
        <v>S33</v>
      </c>
      <c r="D37" s="273" t="s">
        <v>129</v>
      </c>
      <c r="E37" s="273" t="str">
        <f t="shared" si="3"/>
        <v/>
      </c>
      <c r="F37" s="275">
        <f t="shared" ref="F37:F56" si="18">SUM(G37:J37)</f>
        <v>0</v>
      </c>
      <c r="K37" s="386">
        <f t="shared" si="10"/>
        <v>0</v>
      </c>
      <c r="L37" s="384"/>
      <c r="N37" s="273" t="s">
        <v>182</v>
      </c>
      <c r="O37" s="336">
        <v>36982</v>
      </c>
      <c r="P37" s="280">
        <v>0</v>
      </c>
      <c r="Q37" s="272">
        <v>0</v>
      </c>
      <c r="R37" s="272">
        <v>0</v>
      </c>
      <c r="S37" s="272">
        <v>0</v>
      </c>
      <c r="T37" s="272">
        <v>0</v>
      </c>
      <c r="U37" s="389">
        <f t="shared" si="7"/>
        <v>0</v>
      </c>
      <c r="V37" s="384"/>
    </row>
    <row r="38" spans="1:22" ht="12.75" x14ac:dyDescent="0.2">
      <c r="B38" s="279">
        <f>'Récap devis'!B38</f>
        <v>44044</v>
      </c>
      <c r="C38" s="273" t="str">
        <f t="shared" si="0"/>
        <v>S34</v>
      </c>
      <c r="D38" s="273" t="s">
        <v>130</v>
      </c>
      <c r="E38" s="273" t="str">
        <f t="shared" si="3"/>
        <v/>
      </c>
      <c r="F38" s="275">
        <f t="shared" si="18"/>
        <v>0</v>
      </c>
      <c r="K38" s="386">
        <f t="shared" si="10"/>
        <v>0</v>
      </c>
      <c r="L38" s="384"/>
      <c r="N38" s="273" t="s">
        <v>183</v>
      </c>
      <c r="O38" s="336">
        <v>36982</v>
      </c>
      <c r="P38" s="280">
        <v>0</v>
      </c>
      <c r="Q38" s="272">
        <v>0</v>
      </c>
      <c r="R38" s="272">
        <v>0</v>
      </c>
      <c r="S38" s="272">
        <v>0</v>
      </c>
      <c r="T38" s="272">
        <v>0</v>
      </c>
      <c r="U38" s="389">
        <f t="shared" si="7"/>
        <v>0</v>
      </c>
      <c r="V38" s="384"/>
    </row>
    <row r="39" spans="1:22" ht="12.75" x14ac:dyDescent="0.2">
      <c r="B39" s="279">
        <f>'Récap devis'!B39</f>
        <v>44044</v>
      </c>
      <c r="C39" s="333" t="str">
        <f t="shared" si="0"/>
        <v>S35</v>
      </c>
      <c r="D39" s="333" t="s">
        <v>131</v>
      </c>
      <c r="E39" s="333" t="str">
        <f t="shared" si="3"/>
        <v/>
      </c>
      <c r="F39" s="285">
        <f t="shared" si="18"/>
        <v>0</v>
      </c>
      <c r="G39" s="282"/>
      <c r="H39" s="282"/>
      <c r="I39" s="282"/>
      <c r="J39" s="282"/>
      <c r="K39" s="390">
        <f t="shared" si="10"/>
        <v>0</v>
      </c>
      <c r="L39" s="385"/>
      <c r="N39" s="333" t="s">
        <v>184</v>
      </c>
      <c r="O39" s="337">
        <v>37773</v>
      </c>
      <c r="P39" s="283">
        <v>791</v>
      </c>
      <c r="Q39" s="282">
        <v>461</v>
      </c>
      <c r="R39" s="282">
        <v>232</v>
      </c>
      <c r="S39" s="282">
        <v>98</v>
      </c>
      <c r="T39" s="282">
        <v>0</v>
      </c>
      <c r="U39" s="389">
        <f t="shared" si="7"/>
        <v>0</v>
      </c>
      <c r="V39" s="384"/>
    </row>
    <row r="40" spans="1:22" ht="12.75" x14ac:dyDescent="0.2">
      <c r="A40" s="286">
        <v>32</v>
      </c>
      <c r="B40" s="279">
        <f>'Récap devis'!B40</f>
        <v>44075</v>
      </c>
      <c r="C40" s="273" t="str">
        <f t="shared" si="0"/>
        <v>S36</v>
      </c>
      <c r="D40" s="273" t="s">
        <v>132</v>
      </c>
      <c r="E40" s="273" t="str">
        <f t="shared" si="3"/>
        <v/>
      </c>
      <c r="F40" s="275">
        <f t="shared" si="18"/>
        <v>0</v>
      </c>
      <c r="K40" s="386">
        <f t="shared" si="10"/>
        <v>0</v>
      </c>
      <c r="L40" s="384"/>
      <c r="N40" s="273" t="s">
        <v>185</v>
      </c>
      <c r="O40" s="336">
        <v>39150</v>
      </c>
      <c r="P40" s="280">
        <v>1377</v>
      </c>
      <c r="Q40" s="272">
        <v>707</v>
      </c>
      <c r="R40" s="272">
        <v>302</v>
      </c>
      <c r="S40" s="272">
        <v>60</v>
      </c>
      <c r="T40" s="272">
        <v>308</v>
      </c>
      <c r="U40" s="389">
        <f>IF(V40&lt;&gt;0,U35+V40,)</f>
        <v>39557</v>
      </c>
      <c r="V40" s="384">
        <v>1282</v>
      </c>
    </row>
    <row r="41" spans="1:22" ht="12.75" x14ac:dyDescent="0.2">
      <c r="A41" s="286">
        <v>33</v>
      </c>
      <c r="B41" s="279">
        <f>'Récap devis'!B41</f>
        <v>44075</v>
      </c>
      <c r="C41" s="273" t="str">
        <f t="shared" si="0"/>
        <v>S37</v>
      </c>
      <c r="D41" s="273" t="s">
        <v>133</v>
      </c>
      <c r="E41" s="273" t="str">
        <f t="shared" si="3"/>
        <v/>
      </c>
      <c r="F41" s="275">
        <f t="shared" si="18"/>
        <v>0</v>
      </c>
      <c r="K41" s="386">
        <f t="shared" si="10"/>
        <v>0</v>
      </c>
      <c r="L41" s="384"/>
      <c r="N41" s="273" t="s">
        <v>186</v>
      </c>
      <c r="O41" s="336">
        <v>40717</v>
      </c>
      <c r="P41" s="280">
        <v>1567</v>
      </c>
      <c r="Q41" s="272">
        <v>690</v>
      </c>
      <c r="R41" s="272">
        <v>335</v>
      </c>
      <c r="S41" s="272">
        <v>82</v>
      </c>
      <c r="T41" s="272">
        <v>460</v>
      </c>
      <c r="U41" s="389">
        <f t="shared" si="7"/>
        <v>40743</v>
      </c>
      <c r="V41" s="384">
        <v>1186</v>
      </c>
    </row>
    <row r="42" spans="1:22" ht="12.75" x14ac:dyDescent="0.2">
      <c r="A42" s="286">
        <v>34</v>
      </c>
      <c r="B42" s="279">
        <f>'Récap devis'!B42</f>
        <v>44075</v>
      </c>
      <c r="C42" s="273" t="str">
        <f t="shared" si="0"/>
        <v>S38</v>
      </c>
      <c r="D42" s="273" t="s">
        <v>134</v>
      </c>
      <c r="E42" s="273" t="str">
        <f t="shared" si="3"/>
        <v/>
      </c>
      <c r="F42" s="275">
        <f t="shared" si="18"/>
        <v>0</v>
      </c>
      <c r="K42" s="386">
        <f t="shared" si="10"/>
        <v>0</v>
      </c>
      <c r="L42" s="384"/>
      <c r="N42" s="273" t="s">
        <v>187</v>
      </c>
      <c r="O42" s="336">
        <v>42447</v>
      </c>
      <c r="P42" s="280">
        <v>1730</v>
      </c>
      <c r="Q42" s="272">
        <v>775</v>
      </c>
      <c r="R42" s="272">
        <v>402</v>
      </c>
      <c r="S42" s="272">
        <v>274</v>
      </c>
      <c r="T42" s="272">
        <v>279</v>
      </c>
      <c r="U42" s="389">
        <f t="shared" si="7"/>
        <v>42038</v>
      </c>
      <c r="V42" s="384">
        <v>1295</v>
      </c>
    </row>
    <row r="43" spans="1:22" ht="12.75" x14ac:dyDescent="0.2">
      <c r="A43" s="286">
        <v>35</v>
      </c>
      <c r="B43" s="279">
        <f>'Récap devis'!B43</f>
        <v>44075</v>
      </c>
      <c r="C43" s="273" t="str">
        <f t="shared" si="0"/>
        <v>S39</v>
      </c>
      <c r="D43" s="273" t="s">
        <v>135</v>
      </c>
      <c r="E43" s="273" t="str">
        <f t="shared" si="3"/>
        <v/>
      </c>
      <c r="F43" s="275">
        <f t="shared" si="18"/>
        <v>0</v>
      </c>
      <c r="K43" s="386">
        <f t="shared" si="10"/>
        <v>0</v>
      </c>
      <c r="L43" s="384"/>
      <c r="N43" s="273" t="s">
        <v>188</v>
      </c>
      <c r="O43" s="336">
        <v>43739</v>
      </c>
      <c r="P43" s="280">
        <v>1292</v>
      </c>
      <c r="Q43" s="272">
        <v>643</v>
      </c>
      <c r="R43" s="272">
        <v>271</v>
      </c>
      <c r="S43" s="272">
        <v>113</v>
      </c>
      <c r="T43" s="272">
        <v>265</v>
      </c>
      <c r="U43" s="389">
        <f t="shared" si="7"/>
        <v>43365</v>
      </c>
      <c r="V43" s="384">
        <v>1327</v>
      </c>
    </row>
    <row r="44" spans="1:22" ht="12.75" x14ac:dyDescent="0.2">
      <c r="A44" s="286">
        <v>36</v>
      </c>
      <c r="B44" s="279">
        <f>'Récap devis'!B44</f>
        <v>44075</v>
      </c>
      <c r="C44" s="333" t="str">
        <f t="shared" si="0"/>
        <v>S40</v>
      </c>
      <c r="D44" s="333" t="s">
        <v>136</v>
      </c>
      <c r="E44" s="333" t="str">
        <f t="shared" si="3"/>
        <v/>
      </c>
      <c r="F44" s="285">
        <f t="shared" si="18"/>
        <v>0</v>
      </c>
      <c r="G44" s="282"/>
      <c r="H44" s="282"/>
      <c r="I44" s="282"/>
      <c r="J44" s="282"/>
      <c r="K44" s="390">
        <f t="shared" si="10"/>
        <v>0</v>
      </c>
      <c r="L44" s="385"/>
      <c r="N44" s="333" t="s">
        <v>189</v>
      </c>
      <c r="O44" s="337">
        <v>45140</v>
      </c>
      <c r="P44" s="283">
        <v>1401</v>
      </c>
      <c r="Q44" s="282">
        <v>619</v>
      </c>
      <c r="R44" s="282">
        <v>425</v>
      </c>
      <c r="S44" s="282">
        <v>146</v>
      </c>
      <c r="T44" s="282">
        <v>211</v>
      </c>
      <c r="U44" s="389">
        <f t="shared" si="7"/>
        <v>44789</v>
      </c>
      <c r="V44" s="384">
        <v>1424</v>
      </c>
    </row>
    <row r="45" spans="1:22" ht="12.75" x14ac:dyDescent="0.2">
      <c r="A45" s="286">
        <v>37</v>
      </c>
      <c r="B45" s="279">
        <f>'Récap devis'!B45</f>
        <v>44105</v>
      </c>
      <c r="C45" s="273" t="str">
        <f t="shared" si="0"/>
        <v>S41</v>
      </c>
      <c r="D45" s="273" t="s">
        <v>137</v>
      </c>
      <c r="E45" s="273" t="str">
        <f t="shared" si="3"/>
        <v/>
      </c>
      <c r="F45" s="275">
        <f t="shared" si="18"/>
        <v>0</v>
      </c>
      <c r="K45" s="386">
        <f t="shared" si="10"/>
        <v>0</v>
      </c>
      <c r="L45" s="384"/>
      <c r="N45" s="273" t="s">
        <v>190</v>
      </c>
      <c r="O45" s="336">
        <v>46507</v>
      </c>
      <c r="P45" s="280">
        <v>1367</v>
      </c>
      <c r="Q45" s="272">
        <v>613</v>
      </c>
      <c r="R45" s="272">
        <v>316</v>
      </c>
      <c r="S45" s="272">
        <v>139</v>
      </c>
      <c r="T45" s="272">
        <v>299</v>
      </c>
      <c r="U45" s="389">
        <f t="shared" si="7"/>
        <v>46270</v>
      </c>
      <c r="V45" s="384">
        <v>1481</v>
      </c>
    </row>
    <row r="46" spans="1:22" ht="12.75" x14ac:dyDescent="0.2">
      <c r="A46" s="286">
        <v>38</v>
      </c>
      <c r="B46" s="279">
        <f>'Récap devis'!B46</f>
        <v>44105</v>
      </c>
      <c r="C46" s="273" t="str">
        <f t="shared" si="0"/>
        <v>S42</v>
      </c>
      <c r="D46" s="273" t="s">
        <v>138</v>
      </c>
      <c r="E46" s="273" t="str">
        <f t="shared" si="3"/>
        <v/>
      </c>
      <c r="F46" s="275">
        <f t="shared" si="18"/>
        <v>0</v>
      </c>
      <c r="K46" s="386">
        <f t="shared" si="10"/>
        <v>0</v>
      </c>
      <c r="L46" s="384"/>
      <c r="N46" s="273" t="s">
        <v>191</v>
      </c>
      <c r="O46" s="336">
        <v>47980</v>
      </c>
      <c r="P46" s="280">
        <v>1473</v>
      </c>
      <c r="Q46" s="272">
        <v>590</v>
      </c>
      <c r="R46" s="272">
        <v>357</v>
      </c>
      <c r="S46" s="272">
        <v>269</v>
      </c>
      <c r="T46" s="272">
        <v>257</v>
      </c>
      <c r="U46" s="389">
        <f t="shared" si="7"/>
        <v>47732</v>
      </c>
      <c r="V46" s="384">
        <v>1462</v>
      </c>
    </row>
    <row r="47" spans="1:22" ht="12.75" x14ac:dyDescent="0.2">
      <c r="A47" s="286">
        <v>39</v>
      </c>
      <c r="B47" s="279">
        <f>'Récap devis'!B47</f>
        <v>44105</v>
      </c>
      <c r="C47" s="273" t="str">
        <f t="shared" si="0"/>
        <v>S43</v>
      </c>
      <c r="D47" s="273" t="s">
        <v>139</v>
      </c>
      <c r="E47" s="273" t="str">
        <f t="shared" si="3"/>
        <v/>
      </c>
      <c r="F47" s="275">
        <f t="shared" si="18"/>
        <v>0</v>
      </c>
      <c r="K47" s="386">
        <f t="shared" si="10"/>
        <v>0</v>
      </c>
      <c r="L47" s="384"/>
      <c r="N47" s="273" t="s">
        <v>192</v>
      </c>
      <c r="O47" s="336">
        <v>49331</v>
      </c>
      <c r="P47" s="280">
        <v>1351</v>
      </c>
      <c r="Q47" s="272">
        <v>593</v>
      </c>
      <c r="R47" s="272">
        <v>244</v>
      </c>
      <c r="S47" s="272">
        <v>269</v>
      </c>
      <c r="T47" s="272">
        <v>245</v>
      </c>
      <c r="U47" s="389">
        <f t="shared" si="7"/>
        <v>49115</v>
      </c>
      <c r="V47" s="384">
        <v>1383</v>
      </c>
    </row>
    <row r="48" spans="1:22" ht="12.75" x14ac:dyDescent="0.2">
      <c r="A48" s="286">
        <v>40</v>
      </c>
      <c r="B48" s="279">
        <f>'Récap devis'!B48</f>
        <v>44105</v>
      </c>
      <c r="C48" s="333" t="str">
        <f t="shared" si="0"/>
        <v>S44</v>
      </c>
      <c r="D48" s="333" t="s">
        <v>140</v>
      </c>
      <c r="E48" s="333" t="str">
        <f t="shared" si="3"/>
        <v/>
      </c>
      <c r="F48" s="285">
        <f t="shared" si="18"/>
        <v>0</v>
      </c>
      <c r="G48" s="282"/>
      <c r="H48" s="282"/>
      <c r="I48" s="282"/>
      <c r="J48" s="282"/>
      <c r="K48" s="390">
        <f t="shared" si="10"/>
        <v>0</v>
      </c>
      <c r="L48" s="385"/>
      <c r="N48" s="333" t="s">
        <v>193</v>
      </c>
      <c r="O48" s="337">
        <v>50474</v>
      </c>
      <c r="P48" s="283">
        <v>1143</v>
      </c>
      <c r="Q48" s="282">
        <v>492</v>
      </c>
      <c r="R48" s="282">
        <v>301</v>
      </c>
      <c r="S48" s="282">
        <v>147</v>
      </c>
      <c r="T48" s="282">
        <v>203</v>
      </c>
      <c r="U48" s="389">
        <f t="shared" si="7"/>
        <v>50259</v>
      </c>
      <c r="V48" s="384">
        <v>1144</v>
      </c>
    </row>
    <row r="49" spans="1:22" ht="12.75" x14ac:dyDescent="0.2">
      <c r="A49" s="286">
        <v>41</v>
      </c>
      <c r="B49" s="279">
        <f>'Récap devis'!B49</f>
        <v>44136</v>
      </c>
      <c r="C49" s="273" t="str">
        <f t="shared" si="0"/>
        <v>S45</v>
      </c>
      <c r="D49" s="273" t="s">
        <v>141</v>
      </c>
      <c r="E49" s="273" t="str">
        <f t="shared" si="3"/>
        <v/>
      </c>
      <c r="F49" s="275">
        <f t="shared" si="18"/>
        <v>0</v>
      </c>
      <c r="K49" s="386">
        <f t="shared" si="10"/>
        <v>0</v>
      </c>
      <c r="L49" s="384"/>
      <c r="N49" s="273" t="s">
        <v>194</v>
      </c>
      <c r="O49" s="336">
        <v>51931</v>
      </c>
      <c r="P49" s="280">
        <v>1457</v>
      </c>
      <c r="Q49" s="272">
        <v>749</v>
      </c>
      <c r="R49" s="272">
        <v>357</v>
      </c>
      <c r="S49" s="272">
        <v>146</v>
      </c>
      <c r="T49" s="272">
        <v>205</v>
      </c>
      <c r="U49" s="389">
        <f t="shared" si="7"/>
        <v>51706</v>
      </c>
      <c r="V49" s="384">
        <v>1447</v>
      </c>
    </row>
    <row r="50" spans="1:22" ht="12.75" x14ac:dyDescent="0.2">
      <c r="A50" s="286">
        <v>42</v>
      </c>
      <c r="B50" s="279">
        <f>'Récap devis'!B50</f>
        <v>44136</v>
      </c>
      <c r="C50" s="273" t="str">
        <f t="shared" si="0"/>
        <v>S46</v>
      </c>
      <c r="D50" s="273" t="s">
        <v>142</v>
      </c>
      <c r="E50" s="273" t="str">
        <f t="shared" si="3"/>
        <v/>
      </c>
      <c r="F50" s="275">
        <f t="shared" si="18"/>
        <v>0</v>
      </c>
      <c r="K50" s="386">
        <f t="shared" si="10"/>
        <v>0</v>
      </c>
      <c r="L50" s="384"/>
      <c r="N50" s="273" t="s">
        <v>195</v>
      </c>
      <c r="O50" s="336">
        <v>53036</v>
      </c>
      <c r="P50" s="280">
        <v>1105</v>
      </c>
      <c r="Q50" s="272">
        <v>363</v>
      </c>
      <c r="R50" s="272">
        <v>430</v>
      </c>
      <c r="S50" s="272">
        <v>126</v>
      </c>
      <c r="T50" s="272">
        <v>186</v>
      </c>
      <c r="U50" s="389">
        <f t="shared" si="7"/>
        <v>52847</v>
      </c>
      <c r="V50" s="384">
        <v>1141</v>
      </c>
    </row>
    <row r="51" spans="1:22" ht="12.75" x14ac:dyDescent="0.2">
      <c r="A51" s="286">
        <v>43</v>
      </c>
      <c r="B51" s="279">
        <f>'Récap devis'!B51</f>
        <v>44136</v>
      </c>
      <c r="C51" s="273" t="str">
        <f t="shared" si="0"/>
        <v>S47</v>
      </c>
      <c r="D51" s="273" t="s">
        <v>143</v>
      </c>
      <c r="E51" s="273" t="str">
        <f t="shared" si="3"/>
        <v/>
      </c>
      <c r="F51" s="275">
        <f t="shared" si="18"/>
        <v>0</v>
      </c>
      <c r="K51" s="386">
        <f t="shared" si="10"/>
        <v>0</v>
      </c>
      <c r="L51" s="384"/>
      <c r="N51" s="273" t="s">
        <v>196</v>
      </c>
      <c r="O51" s="336">
        <v>54272</v>
      </c>
      <c r="P51" s="280">
        <v>1236</v>
      </c>
      <c r="Q51" s="272">
        <v>613</v>
      </c>
      <c r="R51" s="272">
        <v>263</v>
      </c>
      <c r="S51" s="272">
        <v>71</v>
      </c>
      <c r="T51" s="272">
        <v>289</v>
      </c>
      <c r="U51" s="389">
        <f t="shared" si="7"/>
        <v>54142</v>
      </c>
      <c r="V51" s="384">
        <v>1295</v>
      </c>
    </row>
    <row r="52" spans="1:22" ht="12.75" x14ac:dyDescent="0.2">
      <c r="A52" s="286">
        <v>44</v>
      </c>
      <c r="B52" s="279">
        <f>'Récap devis'!B52</f>
        <v>44136</v>
      </c>
      <c r="C52" s="333" t="str">
        <f t="shared" si="0"/>
        <v>S48</v>
      </c>
      <c r="D52" s="333" t="s">
        <v>144</v>
      </c>
      <c r="E52" s="333" t="str">
        <f t="shared" si="3"/>
        <v/>
      </c>
      <c r="F52" s="285">
        <f t="shared" si="18"/>
        <v>0</v>
      </c>
      <c r="G52" s="282"/>
      <c r="H52" s="282"/>
      <c r="I52" s="282"/>
      <c r="J52" s="282"/>
      <c r="K52" s="390">
        <f t="shared" si="10"/>
        <v>0</v>
      </c>
      <c r="L52" s="385"/>
      <c r="N52" s="333" t="s">
        <v>197</v>
      </c>
      <c r="O52" s="337">
        <v>55679</v>
      </c>
      <c r="P52" s="283">
        <v>1407</v>
      </c>
      <c r="Q52" s="282">
        <v>732</v>
      </c>
      <c r="R52" s="282">
        <v>301</v>
      </c>
      <c r="S52" s="282">
        <v>158</v>
      </c>
      <c r="T52" s="282">
        <v>216</v>
      </c>
      <c r="U52" s="389">
        <f t="shared" si="7"/>
        <v>55607</v>
      </c>
      <c r="V52" s="384">
        <v>1465</v>
      </c>
    </row>
    <row r="53" spans="1:22" ht="12.75" x14ac:dyDescent="0.2">
      <c r="A53" s="286">
        <v>45</v>
      </c>
      <c r="B53" s="279">
        <f>'Récap devis'!B53</f>
        <v>44166</v>
      </c>
      <c r="C53" s="273" t="str">
        <f t="shared" si="0"/>
        <v>S49</v>
      </c>
      <c r="D53" s="273" t="s">
        <v>145</v>
      </c>
      <c r="E53" s="273" t="str">
        <f t="shared" si="3"/>
        <v/>
      </c>
      <c r="F53" s="275">
        <f t="shared" si="18"/>
        <v>0</v>
      </c>
      <c r="K53" s="386">
        <f t="shared" si="10"/>
        <v>0</v>
      </c>
      <c r="L53" s="384"/>
      <c r="N53" s="273" t="s">
        <v>198</v>
      </c>
      <c r="O53" s="336">
        <v>56753</v>
      </c>
      <c r="P53" s="280">
        <v>1074</v>
      </c>
      <c r="Q53" s="272">
        <v>516</v>
      </c>
      <c r="R53" s="272">
        <v>287</v>
      </c>
      <c r="S53" s="272">
        <v>43</v>
      </c>
      <c r="T53" s="272">
        <v>228</v>
      </c>
      <c r="U53" s="389">
        <f t="shared" si="7"/>
        <v>56988</v>
      </c>
      <c r="V53" s="384">
        <v>1381</v>
      </c>
    </row>
    <row r="54" spans="1:22" ht="12.75" x14ac:dyDescent="0.2">
      <c r="A54" s="286">
        <v>46</v>
      </c>
      <c r="B54" s="279">
        <f>'Récap devis'!B54</f>
        <v>44166</v>
      </c>
      <c r="C54" s="273" t="str">
        <f t="shared" si="0"/>
        <v>S50</v>
      </c>
      <c r="D54" s="273" t="s">
        <v>146</v>
      </c>
      <c r="E54" s="273" t="str">
        <f t="shared" si="3"/>
        <v/>
      </c>
      <c r="F54" s="275">
        <f t="shared" si="18"/>
        <v>0</v>
      </c>
      <c r="K54" s="386">
        <f t="shared" si="10"/>
        <v>0</v>
      </c>
      <c r="L54" s="384"/>
      <c r="N54" s="273" t="s">
        <v>199</v>
      </c>
      <c r="O54" s="336">
        <v>57918</v>
      </c>
      <c r="P54" s="280">
        <v>1165</v>
      </c>
      <c r="Q54" s="272">
        <v>528</v>
      </c>
      <c r="R54" s="272">
        <v>315</v>
      </c>
      <c r="S54" s="272">
        <v>138</v>
      </c>
      <c r="T54" s="272">
        <v>184</v>
      </c>
      <c r="U54" s="389">
        <f t="shared" si="7"/>
        <v>58280</v>
      </c>
      <c r="V54" s="384">
        <v>1292</v>
      </c>
    </row>
    <row r="55" spans="1:22" ht="12.75" x14ac:dyDescent="0.2">
      <c r="A55" s="286">
        <v>47</v>
      </c>
      <c r="B55" s="279">
        <f>'Récap devis'!B55</f>
        <v>44166</v>
      </c>
      <c r="C55" s="273" t="str">
        <f t="shared" si="0"/>
        <v>S51</v>
      </c>
      <c r="D55" s="273" t="s">
        <v>147</v>
      </c>
      <c r="E55" s="273" t="str">
        <f t="shared" si="3"/>
        <v/>
      </c>
      <c r="F55" s="275">
        <f t="shared" si="18"/>
        <v>0</v>
      </c>
      <c r="K55" s="386">
        <f t="shared" si="10"/>
        <v>0</v>
      </c>
      <c r="L55" s="384"/>
      <c r="N55" s="273" t="s">
        <v>200</v>
      </c>
      <c r="O55" s="336">
        <v>59115</v>
      </c>
      <c r="P55" s="280">
        <v>1197</v>
      </c>
      <c r="Q55" s="272">
        <v>485</v>
      </c>
      <c r="R55" s="272">
        <v>349</v>
      </c>
      <c r="S55" s="272">
        <v>168</v>
      </c>
      <c r="T55" s="272">
        <v>195</v>
      </c>
      <c r="U55" s="389">
        <f t="shared" si="7"/>
        <v>59648</v>
      </c>
      <c r="V55" s="384">
        <v>1368</v>
      </c>
    </row>
    <row r="56" spans="1:22" ht="12.75" x14ac:dyDescent="0.2">
      <c r="A56" s="286">
        <v>48</v>
      </c>
      <c r="B56" s="279">
        <f>'Récap devis'!B56</f>
        <v>44166</v>
      </c>
      <c r="C56" s="273" t="str">
        <f t="shared" si="0"/>
        <v>S52</v>
      </c>
      <c r="D56" s="273" t="s">
        <v>148</v>
      </c>
      <c r="E56" s="273" t="str">
        <f t="shared" si="3"/>
        <v/>
      </c>
      <c r="F56" s="275">
        <f t="shared" si="18"/>
        <v>0</v>
      </c>
      <c r="K56" s="386">
        <f t="shared" si="10"/>
        <v>0</v>
      </c>
      <c r="L56" s="384"/>
      <c r="N56" s="273" t="s">
        <v>201</v>
      </c>
      <c r="O56" s="336">
        <v>59423</v>
      </c>
      <c r="P56" s="280">
        <v>308</v>
      </c>
      <c r="Q56" s="272">
        <v>145</v>
      </c>
      <c r="R56" s="272">
        <v>53</v>
      </c>
      <c r="S56" s="272">
        <v>51</v>
      </c>
      <c r="T56" s="272">
        <v>59</v>
      </c>
      <c r="U56" s="389">
        <f t="shared" si="7"/>
        <v>60024</v>
      </c>
      <c r="V56" s="384">
        <v>376</v>
      </c>
    </row>
    <row r="57" spans="1:22" ht="12.75" x14ac:dyDescent="0.2">
      <c r="E57" s="272"/>
      <c r="F57" s="275"/>
      <c r="L57" s="384"/>
      <c r="P57" s="275"/>
      <c r="V57" s="384"/>
    </row>
    <row r="58" spans="1:22" ht="13.5" thickBot="1" x14ac:dyDescent="0.25">
      <c r="C58" s="329" t="str">
        <f>CONCATENATE("S0" &amp; Recap_cde_A!B58)</f>
        <v>S08</v>
      </c>
      <c r="D58" s="334">
        <f ca="1">VLOOKUP(C58,$C$5:$E$57,3,FALSE)/VLOOKUP(C58,$C$5:$P$57,13,FALSE)-1</f>
        <v>1.1736824286197933E-2</v>
      </c>
      <c r="E58" s="287"/>
      <c r="F58" s="305">
        <f ca="1">SUM(F5:F57)</f>
        <v>10571</v>
      </c>
      <c r="G58" s="306">
        <f t="shared" ref="G58:L58" ca="1" si="19">SUM(G5:G57)</f>
        <v>5192</v>
      </c>
      <c r="H58" s="306">
        <f t="shared" ca="1" si="19"/>
        <v>2530</v>
      </c>
      <c r="I58" s="306">
        <f t="shared" ca="1" si="19"/>
        <v>814</v>
      </c>
      <c r="J58" s="306">
        <f t="shared" ca="1" si="19"/>
        <v>2035</v>
      </c>
      <c r="K58" s="306"/>
      <c r="L58" s="391">
        <f t="shared" si="19"/>
        <v>9346</v>
      </c>
      <c r="N58" s="287" t="s">
        <v>66</v>
      </c>
      <c r="O58" s="287"/>
      <c r="P58" s="305">
        <f>SUM(P5:P57)</f>
        <v>59423</v>
      </c>
      <c r="Q58" s="306">
        <f t="shared" ref="Q58:T58" si="20">SUM(Q5:Q57)</f>
        <v>25851</v>
      </c>
      <c r="R58" s="306">
        <f t="shared" si="20"/>
        <v>17199</v>
      </c>
      <c r="S58" s="306">
        <f t="shared" si="20"/>
        <v>6061</v>
      </c>
      <c r="T58" s="306">
        <f t="shared" si="20"/>
        <v>10312</v>
      </c>
      <c r="U58" s="306"/>
      <c r="V58" s="387">
        <f>SUM(V5:V57)</f>
        <v>60024</v>
      </c>
    </row>
    <row r="59" spans="1:22" ht="12.75" x14ac:dyDescent="0.2">
      <c r="E59" s="272"/>
      <c r="K59" s="398" t="s">
        <v>228</v>
      </c>
      <c r="L59" s="396">
        <f>L58/VLOOKUP(C58,$C$5:$U$57,19,FALSE)-1</f>
        <v>-4.3593941874744191E-2</v>
      </c>
    </row>
    <row r="60" spans="1:22" ht="12.75" x14ac:dyDescent="0.2">
      <c r="E60" s="272"/>
    </row>
    <row r="61" spans="1:22" ht="12.75" x14ac:dyDescent="0.2">
      <c r="E61" s="272"/>
    </row>
    <row r="62" spans="1:22" ht="12.75" x14ac:dyDescent="0.2">
      <c r="E62" s="272"/>
    </row>
    <row r="63" spans="1:22" ht="12.75" x14ac:dyDescent="0.2">
      <c r="E63" s="272"/>
    </row>
    <row r="64" spans="1:22" ht="12.75" x14ac:dyDescent="0.2">
      <c r="D64" s="272" t="s">
        <v>94</v>
      </c>
      <c r="E64" s="273" t="s">
        <v>206</v>
      </c>
      <c r="F64" s="289" t="s">
        <v>75</v>
      </c>
      <c r="G64" s="273" t="s">
        <v>67</v>
      </c>
      <c r="H64" s="273" t="s">
        <v>68</v>
      </c>
      <c r="I64" s="273" t="s">
        <v>33</v>
      </c>
      <c r="J64" s="307" t="s">
        <v>69</v>
      </c>
      <c r="K64" s="307"/>
      <c r="L64" s="307"/>
      <c r="N64" s="272" t="s">
        <v>94</v>
      </c>
      <c r="O64" s="272" t="s">
        <v>206</v>
      </c>
      <c r="P64" s="289" t="s">
        <v>75</v>
      </c>
      <c r="Q64" s="273" t="s">
        <v>67</v>
      </c>
      <c r="R64" s="273" t="s">
        <v>68</v>
      </c>
      <c r="S64" s="273" t="s">
        <v>33</v>
      </c>
      <c r="T64" s="307" t="s">
        <v>69</v>
      </c>
      <c r="U64" s="307"/>
    </row>
    <row r="65" spans="4:21" ht="12.75" x14ac:dyDescent="0.2">
      <c r="D65" s="277">
        <v>43831</v>
      </c>
      <c r="E65" s="326">
        <f ca="1">+F65</f>
        <v>5254</v>
      </c>
      <c r="F65" s="280">
        <f ca="1">SUM(Tableau35[[#This Row],[bsa]:[filiales]])</f>
        <v>5254</v>
      </c>
      <c r="G65" s="272">
        <f ca="1">SUMIF($B$5:$J$57,Tableau35[[#This Row],[MOIS]],$G$5:$G$57)</f>
        <v>2678</v>
      </c>
      <c r="H65" s="272">
        <f ca="1">SUMIF($B$5:$J$57,Tableau35[[#This Row],[MOIS]],$H$5:$H$57)</f>
        <v>1147</v>
      </c>
      <c r="I65" s="272">
        <f ca="1">SUMIF($B$5:$J$57,Tableau35[[#This Row],[MOIS]],$I$5:$I$57)</f>
        <v>417</v>
      </c>
      <c r="J65" s="308">
        <f ca="1">SUMIF($B$5:$J$57,Tableau35[[#This Row],[MOIS]],$J$5:$J$57)</f>
        <v>1012</v>
      </c>
      <c r="K65" s="308"/>
      <c r="L65" s="308"/>
      <c r="N65" s="277">
        <v>43466</v>
      </c>
      <c r="O65" s="338">
        <f>P65</f>
        <v>5211</v>
      </c>
      <c r="P65" s="280">
        <f>SUM(Q65:T65)</f>
        <v>5211</v>
      </c>
      <c r="Q65" s="272">
        <v>2386</v>
      </c>
      <c r="R65" s="272">
        <v>1610</v>
      </c>
      <c r="S65" s="272">
        <v>346</v>
      </c>
      <c r="T65" s="272">
        <v>869</v>
      </c>
    </row>
    <row r="66" spans="4:21" ht="12.75" x14ac:dyDescent="0.2">
      <c r="D66" s="277">
        <v>43862</v>
      </c>
      <c r="E66" s="326">
        <f ca="1">IF(F66&lt;&gt;0,E65+F66,"")</f>
        <v>10571</v>
      </c>
      <c r="F66" s="280">
        <f ca="1">SUM(Tableau35[[#This Row],[bsa]:[filiales]])</f>
        <v>5317</v>
      </c>
      <c r="G66" s="272">
        <f ca="1">SUMIF($B$5:$J$57,Tableau35[[#This Row],[MOIS]],$G$5:$G$57)</f>
        <v>2514</v>
      </c>
      <c r="H66" s="272">
        <f ca="1">SUMIF($B$5:$J$57,Tableau35[[#This Row],[MOIS]],$H$5:$H$57)</f>
        <v>1383</v>
      </c>
      <c r="I66" s="272">
        <f ca="1">SUMIF($B$5:$J$57,Tableau35[[#This Row],[MOIS]],$I$5:$I$57)</f>
        <v>397</v>
      </c>
      <c r="J66" s="308">
        <f ca="1">SUMIF($B$5:$J$57,Tableau35[[#This Row],[MOIS]],$J$5:$J$57)</f>
        <v>1023</v>
      </c>
      <c r="K66" s="308"/>
      <c r="L66" s="308"/>
      <c r="N66" s="277">
        <v>43497</v>
      </c>
      <c r="O66" s="338">
        <f>O65+P66</f>
        <v>10036</v>
      </c>
      <c r="P66" s="280">
        <f t="shared" ref="P66:P76" si="21">SUM(Q66:T66)</f>
        <v>4825</v>
      </c>
      <c r="Q66" s="272">
        <v>1854</v>
      </c>
      <c r="R66" s="272">
        <v>1848</v>
      </c>
      <c r="S66" s="272">
        <v>288</v>
      </c>
      <c r="T66" s="308">
        <v>835</v>
      </c>
      <c r="U66" s="308"/>
    </row>
    <row r="67" spans="4:21" ht="12.75" x14ac:dyDescent="0.2">
      <c r="D67" s="277">
        <v>43891</v>
      </c>
      <c r="E67" s="326" t="str">
        <f t="shared" ref="E67:E76" ca="1" si="22">IF(F67&lt;&gt;0,E66+F67,"")</f>
        <v/>
      </c>
      <c r="F67" s="280">
        <f ca="1">SUM(Tableau35[[#This Row],[bsa]:[filiales]])</f>
        <v>0</v>
      </c>
      <c r="G67" s="272">
        <f ca="1">SUMIF($B$5:$J$57,Tableau35[[#This Row],[MOIS]],$G$5:$G$57)</f>
        <v>0</v>
      </c>
      <c r="H67" s="272">
        <f ca="1">SUMIF($B$5:$J$57,Tableau35[[#This Row],[MOIS]],$H$5:$H$57)</f>
        <v>0</v>
      </c>
      <c r="I67" s="272">
        <f ca="1">SUMIF($B$5:$J$57,Tableau35[[#This Row],[MOIS]],$I$5:$I$57)</f>
        <v>0</v>
      </c>
      <c r="J67" s="308">
        <f ca="1">SUMIF($B$5:$J$57,Tableau35[[#This Row],[MOIS]],$J$5:$J$57)</f>
        <v>0</v>
      </c>
      <c r="K67" s="308"/>
      <c r="L67" s="308"/>
      <c r="N67" s="277">
        <v>43525</v>
      </c>
      <c r="O67" s="338">
        <f t="shared" ref="O67:O76" si="23">O66+P67</f>
        <v>15382</v>
      </c>
      <c r="P67" s="280">
        <f t="shared" si="21"/>
        <v>5346</v>
      </c>
      <c r="Q67" s="272">
        <v>2126</v>
      </c>
      <c r="R67" s="272">
        <v>1711</v>
      </c>
      <c r="S67" s="272">
        <v>657</v>
      </c>
      <c r="T67" s="308">
        <v>852</v>
      </c>
      <c r="U67" s="308"/>
    </row>
    <row r="68" spans="4:21" ht="12.75" x14ac:dyDescent="0.2">
      <c r="D68" s="277">
        <v>43922</v>
      </c>
      <c r="E68" s="326" t="str">
        <f t="shared" ca="1" si="22"/>
        <v/>
      </c>
      <c r="F68" s="280">
        <f ca="1">SUM(Tableau35[[#This Row],[bsa]:[filiales]])</f>
        <v>0</v>
      </c>
      <c r="G68" s="272">
        <f ca="1">SUMIF($B$5:$J$57,Tableau35[[#This Row],[MOIS]],$G$5:$G$57)</f>
        <v>0</v>
      </c>
      <c r="H68" s="272">
        <f ca="1">SUMIF($B$5:$J$57,Tableau35[[#This Row],[MOIS]],$H$5:$H$57)</f>
        <v>0</v>
      </c>
      <c r="I68" s="272">
        <f ca="1">SUMIF($B$5:$J$57,Tableau35[[#This Row],[MOIS]],$I$5:$I$57)</f>
        <v>0</v>
      </c>
      <c r="J68" s="308">
        <f ca="1">SUMIF($B$5:$J$57,Tableau35[[#This Row],[MOIS]],$J$5:$J$57)</f>
        <v>0</v>
      </c>
      <c r="K68" s="308"/>
      <c r="L68" s="308"/>
      <c r="N68" s="277">
        <v>43556</v>
      </c>
      <c r="O68" s="338">
        <f t="shared" si="23"/>
        <v>21702</v>
      </c>
      <c r="P68" s="280">
        <f t="shared" si="21"/>
        <v>6320</v>
      </c>
      <c r="Q68" s="272">
        <v>2477</v>
      </c>
      <c r="R68" s="272">
        <v>1962</v>
      </c>
      <c r="S68" s="272">
        <v>825</v>
      </c>
      <c r="T68" s="308">
        <v>1056</v>
      </c>
      <c r="U68" s="308"/>
    </row>
    <row r="69" spans="4:21" ht="12.75" x14ac:dyDescent="0.2">
      <c r="D69" s="277">
        <v>43952</v>
      </c>
      <c r="E69" s="326" t="str">
        <f t="shared" ca="1" si="22"/>
        <v/>
      </c>
      <c r="F69" s="280">
        <f ca="1">SUM(Tableau35[[#This Row],[bsa]:[filiales]])</f>
        <v>0</v>
      </c>
      <c r="G69" s="272">
        <f ca="1">SUMIF($B$5:$J$57,Tableau35[[#This Row],[MOIS]],$G$5:$G$57)</f>
        <v>0</v>
      </c>
      <c r="H69" s="272">
        <f ca="1">SUMIF($B$5:$J$57,Tableau35[[#This Row],[MOIS]],$H$5:$H$57)</f>
        <v>0</v>
      </c>
      <c r="I69" s="272">
        <f ca="1">SUMIF($B$5:$J$57,Tableau35[[#This Row],[MOIS]],$I$5:$I$57)</f>
        <v>0</v>
      </c>
      <c r="J69" s="308">
        <f ca="1">SUMIF($B$5:$J$57,Tableau35[[#This Row],[MOIS]],$J$5:$J$57)</f>
        <v>0</v>
      </c>
      <c r="K69" s="308"/>
      <c r="L69" s="308"/>
      <c r="N69" s="277">
        <v>43586</v>
      </c>
      <c r="O69" s="338">
        <f t="shared" si="23"/>
        <v>26295</v>
      </c>
      <c r="P69" s="280">
        <f t="shared" si="21"/>
        <v>4593</v>
      </c>
      <c r="Q69" s="272">
        <v>1937</v>
      </c>
      <c r="R69" s="272">
        <v>1310</v>
      </c>
      <c r="S69" s="272">
        <v>455</v>
      </c>
      <c r="T69" s="308">
        <v>891</v>
      </c>
      <c r="U69" s="308"/>
    </row>
    <row r="70" spans="4:21" ht="12.75" x14ac:dyDescent="0.2">
      <c r="D70" s="277">
        <v>43983</v>
      </c>
      <c r="E70" s="326" t="str">
        <f t="shared" ca="1" si="22"/>
        <v/>
      </c>
      <c r="F70" s="280">
        <f ca="1">SUM(Tableau35[[#This Row],[bsa]:[filiales]])</f>
        <v>0</v>
      </c>
      <c r="G70" s="272">
        <f ca="1">SUMIF($B$5:$J$57,Tableau35[[#This Row],[MOIS]],$G$5:$G$57)</f>
        <v>0</v>
      </c>
      <c r="H70" s="272">
        <f ca="1">SUMIF($B$5:$J$57,Tableau35[[#This Row],[MOIS]],$H$5:$H$57)</f>
        <v>0</v>
      </c>
      <c r="I70" s="272">
        <f ca="1">SUMIF($B$5:$J$57,Tableau35[[#This Row],[MOIS]],$I$5:$I$57)</f>
        <v>0</v>
      </c>
      <c r="J70" s="308">
        <f ca="1">SUMIF($B$5:$J$57,Tableau35[[#This Row],[MOIS]],$J$5:$J$57)</f>
        <v>0</v>
      </c>
      <c r="K70" s="308"/>
      <c r="L70" s="308"/>
      <c r="N70" s="277">
        <v>43617</v>
      </c>
      <c r="O70" s="338">
        <f t="shared" si="23"/>
        <v>31442</v>
      </c>
      <c r="P70" s="280">
        <f t="shared" si="21"/>
        <v>5147</v>
      </c>
      <c r="Q70" s="272">
        <v>2422</v>
      </c>
      <c r="R70" s="272">
        <v>1543</v>
      </c>
      <c r="S70" s="272">
        <v>381</v>
      </c>
      <c r="T70" s="308">
        <v>801</v>
      </c>
      <c r="U70" s="308"/>
    </row>
    <row r="71" spans="4:21" ht="12.75" x14ac:dyDescent="0.2">
      <c r="D71" s="277">
        <v>44013</v>
      </c>
      <c r="E71" s="326" t="str">
        <f t="shared" ca="1" si="22"/>
        <v/>
      </c>
      <c r="F71" s="280">
        <f ca="1">SUM(Tableau35[[#This Row],[bsa]:[filiales]])</f>
        <v>0</v>
      </c>
      <c r="G71" s="272">
        <f ca="1">SUMIF($B$5:$J$57,Tableau35[[#This Row],[MOIS]],$G$5:$G$57)</f>
        <v>0</v>
      </c>
      <c r="H71" s="272">
        <f ca="1">SUMIF($B$5:$J$57,Tableau35[[#This Row],[MOIS]],$H$5:$H$57)</f>
        <v>0</v>
      </c>
      <c r="I71" s="272">
        <f ca="1">SUMIF($B$5:$J$57,Tableau35[[#This Row],[MOIS]],$I$5:$I$57)</f>
        <v>0</v>
      </c>
      <c r="J71" s="308">
        <f ca="1">SUMIF($B$5:$J$57,Tableau35[[#This Row],[MOIS]],$J$5:$J$57)</f>
        <v>0</v>
      </c>
      <c r="K71" s="308"/>
      <c r="L71" s="308"/>
      <c r="N71" s="277">
        <v>43647</v>
      </c>
      <c r="O71" s="338">
        <f t="shared" si="23"/>
        <v>36982</v>
      </c>
      <c r="P71" s="280">
        <f t="shared" si="21"/>
        <v>5540</v>
      </c>
      <c r="Q71" s="272">
        <v>2335</v>
      </c>
      <c r="R71" s="272">
        <v>1675</v>
      </c>
      <c r="S71" s="272">
        <v>611</v>
      </c>
      <c r="T71" s="308">
        <v>919</v>
      </c>
      <c r="U71" s="308"/>
    </row>
    <row r="72" spans="4:21" ht="12.75" x14ac:dyDescent="0.2">
      <c r="D72" s="277">
        <v>44044</v>
      </c>
      <c r="E72" s="326" t="str">
        <f t="shared" ca="1" si="22"/>
        <v/>
      </c>
      <c r="F72" s="280">
        <f ca="1">SUM(Tableau35[[#This Row],[bsa]:[filiales]])</f>
        <v>0</v>
      </c>
      <c r="G72" s="272">
        <f ca="1">SUMIF($B$5:$J$57,Tableau35[[#This Row],[MOIS]],$G$5:$G$57)</f>
        <v>0</v>
      </c>
      <c r="H72" s="272">
        <f ca="1">SUMIF($B$5:$J$57,Tableau35[[#This Row],[MOIS]],$H$5:$H$57)</f>
        <v>0</v>
      </c>
      <c r="I72" s="272">
        <f ca="1">SUMIF($B$5:$J$57,Tableau35[[#This Row],[MOIS]],$I$5:$I$57)</f>
        <v>0</v>
      </c>
      <c r="J72" s="308">
        <f ca="1">SUMIF($B$5:$J$57,Tableau35[[#This Row],[MOIS]],$J$5:$J$57)</f>
        <v>0</v>
      </c>
      <c r="K72" s="308"/>
      <c r="L72" s="308"/>
      <c r="N72" s="277">
        <v>43678</v>
      </c>
      <c r="O72" s="338">
        <f t="shared" si="23"/>
        <v>37773</v>
      </c>
      <c r="P72" s="280">
        <f t="shared" si="21"/>
        <v>791</v>
      </c>
      <c r="Q72" s="272">
        <v>461</v>
      </c>
      <c r="R72" s="272">
        <v>232</v>
      </c>
      <c r="S72" s="272">
        <v>98</v>
      </c>
      <c r="T72" s="308">
        <v>0</v>
      </c>
      <c r="U72" s="308"/>
    </row>
    <row r="73" spans="4:21" ht="12.75" x14ac:dyDescent="0.2">
      <c r="D73" s="277">
        <v>44075</v>
      </c>
      <c r="E73" s="326" t="str">
        <f t="shared" ca="1" si="22"/>
        <v/>
      </c>
      <c r="F73" s="280">
        <f ca="1">SUM(Tableau35[[#This Row],[bsa]:[filiales]])</f>
        <v>0</v>
      </c>
      <c r="G73" s="272">
        <f ca="1">SUMIF($B$5:$J$57,Tableau35[[#This Row],[MOIS]],$G$5:$G$57)</f>
        <v>0</v>
      </c>
      <c r="H73" s="272">
        <f ca="1">SUMIF($B$5:$J$57,Tableau35[[#This Row],[MOIS]],$H$5:$H$57)</f>
        <v>0</v>
      </c>
      <c r="I73" s="272">
        <f ca="1">SUMIF($B$5:$J$57,Tableau35[[#This Row],[MOIS]],$I$5:$I$57)</f>
        <v>0</v>
      </c>
      <c r="J73" s="308">
        <f ca="1">SUMIF($B$5:$J$57,Tableau35[[#This Row],[MOIS]],$J$5:$J$57)</f>
        <v>0</v>
      </c>
      <c r="K73" s="308"/>
      <c r="L73" s="308"/>
      <c r="N73" s="277">
        <v>43709</v>
      </c>
      <c r="O73" s="338">
        <f t="shared" si="23"/>
        <v>45140</v>
      </c>
      <c r="P73" s="280">
        <f t="shared" si="21"/>
        <v>7367</v>
      </c>
      <c r="Q73" s="272">
        <v>3434</v>
      </c>
      <c r="R73" s="272">
        <v>1735</v>
      </c>
      <c r="S73" s="272">
        <v>675</v>
      </c>
      <c r="T73" s="308">
        <v>1523</v>
      </c>
      <c r="U73" s="308"/>
    </row>
    <row r="74" spans="4:21" ht="12.75" x14ac:dyDescent="0.2">
      <c r="D74" s="277">
        <v>44105</v>
      </c>
      <c r="E74" s="326" t="str">
        <f t="shared" ca="1" si="22"/>
        <v/>
      </c>
      <c r="F74" s="280">
        <f ca="1">SUM(Tableau35[[#This Row],[bsa]:[filiales]])</f>
        <v>0</v>
      </c>
      <c r="G74" s="272">
        <f ca="1">SUMIF($B$5:$J$57,Tableau35[[#This Row],[MOIS]],$G$5:$G$57)</f>
        <v>0</v>
      </c>
      <c r="H74" s="272">
        <f ca="1">SUMIF($B$5:$J$57,Tableau35[[#This Row],[MOIS]],$H$5:$H$57)</f>
        <v>0</v>
      </c>
      <c r="I74" s="272">
        <f ca="1">SUMIF($B$5:$J$57,Tableau35[[#This Row],[MOIS]],$I$5:$I$57)</f>
        <v>0</v>
      </c>
      <c r="J74" s="308">
        <f ca="1">SUMIF($B$5:$J$57,Tableau35[[#This Row],[MOIS]],$J$5:$J$57)</f>
        <v>0</v>
      </c>
      <c r="K74" s="308"/>
      <c r="L74" s="308"/>
      <c r="N74" s="277">
        <v>43739</v>
      </c>
      <c r="O74" s="338">
        <f t="shared" si="23"/>
        <v>50474</v>
      </c>
      <c r="P74" s="280">
        <f t="shared" si="21"/>
        <v>5334</v>
      </c>
      <c r="Q74" s="272">
        <v>2288</v>
      </c>
      <c r="R74" s="272">
        <v>1218</v>
      </c>
      <c r="S74" s="272">
        <v>824</v>
      </c>
      <c r="T74" s="272">
        <v>1004</v>
      </c>
    </row>
    <row r="75" spans="4:21" ht="12.75" x14ac:dyDescent="0.2">
      <c r="D75" s="277">
        <v>44136</v>
      </c>
      <c r="E75" s="326" t="str">
        <f t="shared" ca="1" si="22"/>
        <v/>
      </c>
      <c r="F75" s="280">
        <f ca="1">SUM(Tableau35[[#This Row],[bsa]:[filiales]])</f>
        <v>0</v>
      </c>
      <c r="G75" s="272">
        <f ca="1">SUMIF($B$5:$J$57,Tableau35[[#This Row],[MOIS]],$G$5:$G$57)</f>
        <v>0</v>
      </c>
      <c r="H75" s="272">
        <f ca="1">SUMIF($B$5:$J$57,Tableau35[[#This Row],[MOIS]],$H$5:$H$57)</f>
        <v>0</v>
      </c>
      <c r="I75" s="272">
        <f ca="1">SUMIF($B$5:$J$57,Tableau35[[#This Row],[MOIS]],$I$5:$I$57)</f>
        <v>0</v>
      </c>
      <c r="J75" s="308">
        <f ca="1">SUMIF($B$5:$J$57,Tableau35[[#This Row],[MOIS]],$J$5:$J$57)</f>
        <v>0</v>
      </c>
      <c r="K75" s="308"/>
      <c r="L75" s="308"/>
      <c r="N75" s="277">
        <v>43770</v>
      </c>
      <c r="O75" s="338">
        <f t="shared" si="23"/>
        <v>55679</v>
      </c>
      <c r="P75" s="280">
        <f t="shared" si="21"/>
        <v>5205</v>
      </c>
      <c r="Q75" s="272">
        <v>2457</v>
      </c>
      <c r="R75" s="272">
        <v>1351</v>
      </c>
      <c r="S75" s="272">
        <v>501</v>
      </c>
      <c r="T75" s="308">
        <v>896</v>
      </c>
      <c r="U75" s="308"/>
    </row>
    <row r="76" spans="4:21" ht="12.75" x14ac:dyDescent="0.2">
      <c r="D76" s="277">
        <v>44166</v>
      </c>
      <c r="E76" s="326" t="str">
        <f t="shared" ca="1" si="22"/>
        <v/>
      </c>
      <c r="F76" s="280">
        <f ca="1">SUM(Tableau35[[#This Row],[bsa]:[filiales]])</f>
        <v>0</v>
      </c>
      <c r="G76" s="272">
        <f ca="1">SUMIF($B$5:$J$57,Tableau35[[#This Row],[MOIS]],$G$5:$G$57)</f>
        <v>0</v>
      </c>
      <c r="H76" s="272">
        <f ca="1">SUMIF($B$5:$J$57,Tableau35[[#This Row],[MOIS]],$H$5:$H$57)</f>
        <v>0</v>
      </c>
      <c r="I76" s="272">
        <f ca="1">SUMIF($B$5:$J$57,Tableau35[[#This Row],[MOIS]],$I$5:$I$57)</f>
        <v>0</v>
      </c>
      <c r="J76" s="308">
        <f ca="1">SUMIF($B$5:$J$57,Tableau35[[#This Row],[MOIS]],$J$5:$J$57)</f>
        <v>0</v>
      </c>
      <c r="K76" s="308"/>
      <c r="L76" s="308"/>
      <c r="N76" s="277">
        <v>43800</v>
      </c>
      <c r="O76" s="338">
        <f t="shared" si="23"/>
        <v>59423</v>
      </c>
      <c r="P76" s="280">
        <f t="shared" si="21"/>
        <v>3744</v>
      </c>
      <c r="Q76" s="272">
        <v>1674</v>
      </c>
      <c r="R76" s="272">
        <v>1004</v>
      </c>
      <c r="S76" s="272">
        <v>400</v>
      </c>
      <c r="T76" s="308">
        <v>666</v>
      </c>
      <c r="U76" s="308"/>
    </row>
    <row r="77" spans="4:21" ht="12.75" x14ac:dyDescent="0.2">
      <c r="D77" s="309"/>
      <c r="E77" s="309"/>
      <c r="F77" s="310">
        <f ca="1">SUBTOTAL(109,F65:F76)</f>
        <v>10571</v>
      </c>
      <c r="G77" s="312">
        <f t="shared" ref="G77:I77" ca="1" si="24">SUM(G65:G76)</f>
        <v>5192</v>
      </c>
      <c r="H77" s="312">
        <f t="shared" ca="1" si="24"/>
        <v>2530</v>
      </c>
      <c r="I77" s="312">
        <f t="shared" ca="1" si="24"/>
        <v>814</v>
      </c>
      <c r="J77" s="312">
        <f ca="1">SUM(J65:J76)</f>
        <v>2035</v>
      </c>
      <c r="K77" s="383"/>
      <c r="L77" s="383"/>
      <c r="N77" s="309" t="s">
        <v>66</v>
      </c>
      <c r="O77" s="328"/>
      <c r="P77" s="310">
        <f>SUBTOTAL(109,P65:P76)</f>
        <v>59423</v>
      </c>
      <c r="Q77" s="312">
        <v>24693</v>
      </c>
      <c r="R77" s="312">
        <v>16498</v>
      </c>
      <c r="S77" s="312">
        <v>5704</v>
      </c>
      <c r="T77" s="312">
        <v>9874</v>
      </c>
      <c r="U77" s="383"/>
    </row>
  </sheetData>
  <autoFilter ref="A4:M4"/>
  <mergeCells count="2">
    <mergeCell ref="K3:L3"/>
    <mergeCell ref="U3:V3"/>
  </mergeCells>
  <pageMargins left="0" right="0" top="0.59055118110236227" bottom="0.59055118110236227" header="0.31496062992125984" footer="0.31496062992125984"/>
  <pageSetup paperSize="9" scale="61" orientation="portrait" r:id="rId1"/>
  <legacyDrawing r:id="rId2"/>
  <tableParts count="2">
    <tablePart r:id="rId3"/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  <pageSetUpPr fitToPage="1"/>
  </sheetPr>
  <dimension ref="A1:AA106"/>
  <sheetViews>
    <sheetView tabSelected="1" topLeftCell="A19" zoomScale="57" zoomScaleNormal="57" workbookViewId="0">
      <selection activeCell="I67" sqref="I67"/>
    </sheetView>
  </sheetViews>
  <sheetFormatPr baseColWidth="10" defaultRowHeight="21" x14ac:dyDescent="0.35"/>
  <cols>
    <col min="1" max="1" width="10.7109375" customWidth="1"/>
    <col min="2" max="2" width="10.7109375" style="147" customWidth="1"/>
    <col min="3" max="7" width="10.7109375" customWidth="1"/>
    <col min="8" max="8" width="18.7109375" customWidth="1"/>
    <col min="9" max="9" width="11" customWidth="1"/>
    <col min="10" max="13" width="10.7109375" customWidth="1"/>
    <col min="217" max="217" width="4.140625" customWidth="1"/>
    <col min="218" max="218" width="4" customWidth="1"/>
    <col min="219" max="219" width="4.140625" customWidth="1"/>
    <col min="220" max="220" width="3.85546875" customWidth="1"/>
    <col min="221" max="229" width="4.140625" customWidth="1"/>
    <col min="230" max="230" width="3.7109375" customWidth="1"/>
    <col min="231" max="261" width="4.42578125" customWidth="1"/>
    <col min="473" max="473" width="4.140625" customWidth="1"/>
    <col min="474" max="474" width="4" customWidth="1"/>
    <col min="475" max="475" width="4.140625" customWidth="1"/>
    <col min="476" max="476" width="3.85546875" customWidth="1"/>
    <col min="477" max="485" width="4.140625" customWidth="1"/>
    <col min="486" max="486" width="3.7109375" customWidth="1"/>
    <col min="487" max="517" width="4.42578125" customWidth="1"/>
    <col min="729" max="729" width="4.140625" customWidth="1"/>
    <col min="730" max="730" width="4" customWidth="1"/>
    <col min="731" max="731" width="4.140625" customWidth="1"/>
    <col min="732" max="732" width="3.85546875" customWidth="1"/>
    <col min="733" max="741" width="4.140625" customWidth="1"/>
    <col min="742" max="742" width="3.7109375" customWidth="1"/>
    <col min="743" max="773" width="4.42578125" customWidth="1"/>
    <col min="985" max="985" width="4.140625" customWidth="1"/>
    <col min="986" max="986" width="4" customWidth="1"/>
    <col min="987" max="987" width="4.140625" customWidth="1"/>
    <col min="988" max="988" width="3.85546875" customWidth="1"/>
    <col min="989" max="997" width="4.140625" customWidth="1"/>
    <col min="998" max="998" width="3.7109375" customWidth="1"/>
    <col min="999" max="1029" width="4.42578125" customWidth="1"/>
    <col min="1241" max="1241" width="4.140625" customWidth="1"/>
    <col min="1242" max="1242" width="4" customWidth="1"/>
    <col min="1243" max="1243" width="4.140625" customWidth="1"/>
    <col min="1244" max="1244" width="3.85546875" customWidth="1"/>
    <col min="1245" max="1253" width="4.140625" customWidth="1"/>
    <col min="1254" max="1254" width="3.7109375" customWidth="1"/>
    <col min="1255" max="1285" width="4.42578125" customWidth="1"/>
    <col min="1497" max="1497" width="4.140625" customWidth="1"/>
    <col min="1498" max="1498" width="4" customWidth="1"/>
    <col min="1499" max="1499" width="4.140625" customWidth="1"/>
    <col min="1500" max="1500" width="3.85546875" customWidth="1"/>
    <col min="1501" max="1509" width="4.140625" customWidth="1"/>
    <col min="1510" max="1510" width="3.7109375" customWidth="1"/>
    <col min="1511" max="1541" width="4.42578125" customWidth="1"/>
    <col min="1753" max="1753" width="4.140625" customWidth="1"/>
    <col min="1754" max="1754" width="4" customWidth="1"/>
    <col min="1755" max="1755" width="4.140625" customWidth="1"/>
    <col min="1756" max="1756" width="3.85546875" customWidth="1"/>
    <col min="1757" max="1765" width="4.140625" customWidth="1"/>
    <col min="1766" max="1766" width="3.7109375" customWidth="1"/>
    <col min="1767" max="1797" width="4.42578125" customWidth="1"/>
    <col min="2009" max="2009" width="4.140625" customWidth="1"/>
    <col min="2010" max="2010" width="4" customWidth="1"/>
    <col min="2011" max="2011" width="4.140625" customWidth="1"/>
    <col min="2012" max="2012" width="3.85546875" customWidth="1"/>
    <col min="2013" max="2021" width="4.140625" customWidth="1"/>
    <col min="2022" max="2022" width="3.7109375" customWidth="1"/>
    <col min="2023" max="2053" width="4.42578125" customWidth="1"/>
    <col min="2265" max="2265" width="4.140625" customWidth="1"/>
    <col min="2266" max="2266" width="4" customWidth="1"/>
    <col min="2267" max="2267" width="4.140625" customWidth="1"/>
    <col min="2268" max="2268" width="3.85546875" customWidth="1"/>
    <col min="2269" max="2277" width="4.140625" customWidth="1"/>
    <col min="2278" max="2278" width="3.7109375" customWidth="1"/>
    <col min="2279" max="2309" width="4.42578125" customWidth="1"/>
    <col min="2521" max="2521" width="4.140625" customWidth="1"/>
    <col min="2522" max="2522" width="4" customWidth="1"/>
    <col min="2523" max="2523" width="4.140625" customWidth="1"/>
    <col min="2524" max="2524" width="3.85546875" customWidth="1"/>
    <col min="2525" max="2533" width="4.140625" customWidth="1"/>
    <col min="2534" max="2534" width="3.7109375" customWidth="1"/>
    <col min="2535" max="2565" width="4.42578125" customWidth="1"/>
    <col min="2777" max="2777" width="4.140625" customWidth="1"/>
    <col min="2778" max="2778" width="4" customWidth="1"/>
    <col min="2779" max="2779" width="4.140625" customWidth="1"/>
    <col min="2780" max="2780" width="3.85546875" customWidth="1"/>
    <col min="2781" max="2789" width="4.140625" customWidth="1"/>
    <col min="2790" max="2790" width="3.7109375" customWidth="1"/>
    <col min="2791" max="2821" width="4.42578125" customWidth="1"/>
    <col min="3033" max="3033" width="4.140625" customWidth="1"/>
    <col min="3034" max="3034" width="4" customWidth="1"/>
    <col min="3035" max="3035" width="4.140625" customWidth="1"/>
    <col min="3036" max="3036" width="3.85546875" customWidth="1"/>
    <col min="3037" max="3045" width="4.140625" customWidth="1"/>
    <col min="3046" max="3046" width="3.7109375" customWidth="1"/>
    <col min="3047" max="3077" width="4.42578125" customWidth="1"/>
    <col min="3289" max="3289" width="4.140625" customWidth="1"/>
    <col min="3290" max="3290" width="4" customWidth="1"/>
    <col min="3291" max="3291" width="4.140625" customWidth="1"/>
    <col min="3292" max="3292" width="3.85546875" customWidth="1"/>
    <col min="3293" max="3301" width="4.140625" customWidth="1"/>
    <col min="3302" max="3302" width="3.7109375" customWidth="1"/>
    <col min="3303" max="3333" width="4.42578125" customWidth="1"/>
    <col min="3545" max="3545" width="4.140625" customWidth="1"/>
    <col min="3546" max="3546" width="4" customWidth="1"/>
    <col min="3547" max="3547" width="4.140625" customWidth="1"/>
    <col min="3548" max="3548" width="3.85546875" customWidth="1"/>
    <col min="3549" max="3557" width="4.140625" customWidth="1"/>
    <col min="3558" max="3558" width="3.7109375" customWidth="1"/>
    <col min="3559" max="3589" width="4.42578125" customWidth="1"/>
    <col min="3801" max="3801" width="4.140625" customWidth="1"/>
    <col min="3802" max="3802" width="4" customWidth="1"/>
    <col min="3803" max="3803" width="4.140625" customWidth="1"/>
    <col min="3804" max="3804" width="3.85546875" customWidth="1"/>
    <col min="3805" max="3813" width="4.140625" customWidth="1"/>
    <col min="3814" max="3814" width="3.7109375" customWidth="1"/>
    <col min="3815" max="3845" width="4.42578125" customWidth="1"/>
    <col min="4057" max="4057" width="4.140625" customWidth="1"/>
    <col min="4058" max="4058" width="4" customWidth="1"/>
    <col min="4059" max="4059" width="4.140625" customWidth="1"/>
    <col min="4060" max="4060" width="3.85546875" customWidth="1"/>
    <col min="4061" max="4069" width="4.140625" customWidth="1"/>
    <col min="4070" max="4070" width="3.7109375" customWidth="1"/>
    <col min="4071" max="4101" width="4.42578125" customWidth="1"/>
    <col min="4313" max="4313" width="4.140625" customWidth="1"/>
    <col min="4314" max="4314" width="4" customWidth="1"/>
    <col min="4315" max="4315" width="4.140625" customWidth="1"/>
    <col min="4316" max="4316" width="3.85546875" customWidth="1"/>
    <col min="4317" max="4325" width="4.140625" customWidth="1"/>
    <col min="4326" max="4326" width="3.7109375" customWidth="1"/>
    <col min="4327" max="4357" width="4.42578125" customWidth="1"/>
    <col min="4569" max="4569" width="4.140625" customWidth="1"/>
    <col min="4570" max="4570" width="4" customWidth="1"/>
    <col min="4571" max="4571" width="4.140625" customWidth="1"/>
    <col min="4572" max="4572" width="3.85546875" customWidth="1"/>
    <col min="4573" max="4581" width="4.140625" customWidth="1"/>
    <col min="4582" max="4582" width="3.7109375" customWidth="1"/>
    <col min="4583" max="4613" width="4.42578125" customWidth="1"/>
    <col min="4825" max="4825" width="4.140625" customWidth="1"/>
    <col min="4826" max="4826" width="4" customWidth="1"/>
    <col min="4827" max="4827" width="4.140625" customWidth="1"/>
    <col min="4828" max="4828" width="3.85546875" customWidth="1"/>
    <col min="4829" max="4837" width="4.140625" customWidth="1"/>
    <col min="4838" max="4838" width="3.7109375" customWidth="1"/>
    <col min="4839" max="4869" width="4.42578125" customWidth="1"/>
    <col min="5081" max="5081" width="4.140625" customWidth="1"/>
    <col min="5082" max="5082" width="4" customWidth="1"/>
    <col min="5083" max="5083" width="4.140625" customWidth="1"/>
    <col min="5084" max="5084" width="3.85546875" customWidth="1"/>
    <col min="5085" max="5093" width="4.140625" customWidth="1"/>
    <col min="5094" max="5094" width="3.7109375" customWidth="1"/>
    <col min="5095" max="5125" width="4.42578125" customWidth="1"/>
    <col min="5337" max="5337" width="4.140625" customWidth="1"/>
    <col min="5338" max="5338" width="4" customWidth="1"/>
    <col min="5339" max="5339" width="4.140625" customWidth="1"/>
    <col min="5340" max="5340" width="3.85546875" customWidth="1"/>
    <col min="5341" max="5349" width="4.140625" customWidth="1"/>
    <col min="5350" max="5350" width="3.7109375" customWidth="1"/>
    <col min="5351" max="5381" width="4.42578125" customWidth="1"/>
    <col min="5593" max="5593" width="4.140625" customWidth="1"/>
    <col min="5594" max="5594" width="4" customWidth="1"/>
    <col min="5595" max="5595" width="4.140625" customWidth="1"/>
    <col min="5596" max="5596" width="3.85546875" customWidth="1"/>
    <col min="5597" max="5605" width="4.140625" customWidth="1"/>
    <col min="5606" max="5606" width="3.7109375" customWidth="1"/>
    <col min="5607" max="5637" width="4.42578125" customWidth="1"/>
    <col min="5849" max="5849" width="4.140625" customWidth="1"/>
    <col min="5850" max="5850" width="4" customWidth="1"/>
    <col min="5851" max="5851" width="4.140625" customWidth="1"/>
    <col min="5852" max="5852" width="3.85546875" customWidth="1"/>
    <col min="5853" max="5861" width="4.140625" customWidth="1"/>
    <col min="5862" max="5862" width="3.7109375" customWidth="1"/>
    <col min="5863" max="5893" width="4.42578125" customWidth="1"/>
    <col min="6105" max="6105" width="4.140625" customWidth="1"/>
    <col min="6106" max="6106" width="4" customWidth="1"/>
    <col min="6107" max="6107" width="4.140625" customWidth="1"/>
    <col min="6108" max="6108" width="3.85546875" customWidth="1"/>
    <col min="6109" max="6117" width="4.140625" customWidth="1"/>
    <col min="6118" max="6118" width="3.7109375" customWidth="1"/>
    <col min="6119" max="6149" width="4.42578125" customWidth="1"/>
    <col min="6361" max="6361" width="4.140625" customWidth="1"/>
    <col min="6362" max="6362" width="4" customWidth="1"/>
    <col min="6363" max="6363" width="4.140625" customWidth="1"/>
    <col min="6364" max="6364" width="3.85546875" customWidth="1"/>
    <col min="6365" max="6373" width="4.140625" customWidth="1"/>
    <col min="6374" max="6374" width="3.7109375" customWidth="1"/>
    <col min="6375" max="6405" width="4.42578125" customWidth="1"/>
    <col min="6617" max="6617" width="4.140625" customWidth="1"/>
    <col min="6618" max="6618" width="4" customWidth="1"/>
    <col min="6619" max="6619" width="4.140625" customWidth="1"/>
    <col min="6620" max="6620" width="3.85546875" customWidth="1"/>
    <col min="6621" max="6629" width="4.140625" customWidth="1"/>
    <col min="6630" max="6630" width="3.7109375" customWidth="1"/>
    <col min="6631" max="6661" width="4.42578125" customWidth="1"/>
    <col min="6873" max="6873" width="4.140625" customWidth="1"/>
    <col min="6874" max="6874" width="4" customWidth="1"/>
    <col min="6875" max="6875" width="4.140625" customWidth="1"/>
    <col min="6876" max="6876" width="3.85546875" customWidth="1"/>
    <col min="6877" max="6885" width="4.140625" customWidth="1"/>
    <col min="6886" max="6886" width="3.7109375" customWidth="1"/>
    <col min="6887" max="6917" width="4.42578125" customWidth="1"/>
    <col min="7129" max="7129" width="4.140625" customWidth="1"/>
    <col min="7130" max="7130" width="4" customWidth="1"/>
    <col min="7131" max="7131" width="4.140625" customWidth="1"/>
    <col min="7132" max="7132" width="3.85546875" customWidth="1"/>
    <col min="7133" max="7141" width="4.140625" customWidth="1"/>
    <col min="7142" max="7142" width="3.7109375" customWidth="1"/>
    <col min="7143" max="7173" width="4.42578125" customWidth="1"/>
    <col min="7385" max="7385" width="4.140625" customWidth="1"/>
    <col min="7386" max="7386" width="4" customWidth="1"/>
    <col min="7387" max="7387" width="4.140625" customWidth="1"/>
    <col min="7388" max="7388" width="3.85546875" customWidth="1"/>
    <col min="7389" max="7397" width="4.140625" customWidth="1"/>
    <col min="7398" max="7398" width="3.7109375" customWidth="1"/>
    <col min="7399" max="7429" width="4.42578125" customWidth="1"/>
    <col min="7641" max="7641" width="4.140625" customWidth="1"/>
    <col min="7642" max="7642" width="4" customWidth="1"/>
    <col min="7643" max="7643" width="4.140625" customWidth="1"/>
    <col min="7644" max="7644" width="3.85546875" customWidth="1"/>
    <col min="7645" max="7653" width="4.140625" customWidth="1"/>
    <col min="7654" max="7654" width="3.7109375" customWidth="1"/>
    <col min="7655" max="7685" width="4.42578125" customWidth="1"/>
    <col min="7897" max="7897" width="4.140625" customWidth="1"/>
    <col min="7898" max="7898" width="4" customWidth="1"/>
    <col min="7899" max="7899" width="4.140625" customWidth="1"/>
    <col min="7900" max="7900" width="3.85546875" customWidth="1"/>
    <col min="7901" max="7909" width="4.140625" customWidth="1"/>
    <col min="7910" max="7910" width="3.7109375" customWidth="1"/>
    <col min="7911" max="7941" width="4.42578125" customWidth="1"/>
    <col min="8153" max="8153" width="4.140625" customWidth="1"/>
    <col min="8154" max="8154" width="4" customWidth="1"/>
    <col min="8155" max="8155" width="4.140625" customWidth="1"/>
    <col min="8156" max="8156" width="3.85546875" customWidth="1"/>
    <col min="8157" max="8165" width="4.140625" customWidth="1"/>
    <col min="8166" max="8166" width="3.7109375" customWidth="1"/>
    <col min="8167" max="8197" width="4.42578125" customWidth="1"/>
    <col min="8409" max="8409" width="4.140625" customWidth="1"/>
    <col min="8410" max="8410" width="4" customWidth="1"/>
    <col min="8411" max="8411" width="4.140625" customWidth="1"/>
    <col min="8412" max="8412" width="3.85546875" customWidth="1"/>
    <col min="8413" max="8421" width="4.140625" customWidth="1"/>
    <col min="8422" max="8422" width="3.7109375" customWidth="1"/>
    <col min="8423" max="8453" width="4.42578125" customWidth="1"/>
    <col min="8665" max="8665" width="4.140625" customWidth="1"/>
    <col min="8666" max="8666" width="4" customWidth="1"/>
    <col min="8667" max="8667" width="4.140625" customWidth="1"/>
    <col min="8668" max="8668" width="3.85546875" customWidth="1"/>
    <col min="8669" max="8677" width="4.140625" customWidth="1"/>
    <col min="8678" max="8678" width="3.7109375" customWidth="1"/>
    <col min="8679" max="8709" width="4.42578125" customWidth="1"/>
    <col min="8921" max="8921" width="4.140625" customWidth="1"/>
    <col min="8922" max="8922" width="4" customWidth="1"/>
    <col min="8923" max="8923" width="4.140625" customWidth="1"/>
    <col min="8924" max="8924" width="3.85546875" customWidth="1"/>
    <col min="8925" max="8933" width="4.140625" customWidth="1"/>
    <col min="8934" max="8934" width="3.7109375" customWidth="1"/>
    <col min="8935" max="8965" width="4.42578125" customWidth="1"/>
    <col min="9177" max="9177" width="4.140625" customWidth="1"/>
    <col min="9178" max="9178" width="4" customWidth="1"/>
    <col min="9179" max="9179" width="4.140625" customWidth="1"/>
    <col min="9180" max="9180" width="3.85546875" customWidth="1"/>
    <col min="9181" max="9189" width="4.140625" customWidth="1"/>
    <col min="9190" max="9190" width="3.7109375" customWidth="1"/>
    <col min="9191" max="9221" width="4.42578125" customWidth="1"/>
    <col min="9433" max="9433" width="4.140625" customWidth="1"/>
    <col min="9434" max="9434" width="4" customWidth="1"/>
    <col min="9435" max="9435" width="4.140625" customWidth="1"/>
    <col min="9436" max="9436" width="3.85546875" customWidth="1"/>
    <col min="9437" max="9445" width="4.140625" customWidth="1"/>
    <col min="9446" max="9446" width="3.7109375" customWidth="1"/>
    <col min="9447" max="9477" width="4.42578125" customWidth="1"/>
    <col min="9689" max="9689" width="4.140625" customWidth="1"/>
    <col min="9690" max="9690" width="4" customWidth="1"/>
    <col min="9691" max="9691" width="4.140625" customWidth="1"/>
    <col min="9692" max="9692" width="3.85546875" customWidth="1"/>
    <col min="9693" max="9701" width="4.140625" customWidth="1"/>
    <col min="9702" max="9702" width="3.7109375" customWidth="1"/>
    <col min="9703" max="9733" width="4.42578125" customWidth="1"/>
    <col min="9945" max="9945" width="4.140625" customWidth="1"/>
    <col min="9946" max="9946" width="4" customWidth="1"/>
    <col min="9947" max="9947" width="4.140625" customWidth="1"/>
    <col min="9948" max="9948" width="3.85546875" customWidth="1"/>
    <col min="9949" max="9957" width="4.140625" customWidth="1"/>
    <col min="9958" max="9958" width="3.7109375" customWidth="1"/>
    <col min="9959" max="9989" width="4.42578125" customWidth="1"/>
    <col min="10201" max="10201" width="4.140625" customWidth="1"/>
    <col min="10202" max="10202" width="4" customWidth="1"/>
    <col min="10203" max="10203" width="4.140625" customWidth="1"/>
    <col min="10204" max="10204" width="3.85546875" customWidth="1"/>
    <col min="10205" max="10213" width="4.140625" customWidth="1"/>
    <col min="10214" max="10214" width="3.7109375" customWidth="1"/>
    <col min="10215" max="10245" width="4.42578125" customWidth="1"/>
    <col min="10457" max="10457" width="4.140625" customWidth="1"/>
    <col min="10458" max="10458" width="4" customWidth="1"/>
    <col min="10459" max="10459" width="4.140625" customWidth="1"/>
    <col min="10460" max="10460" width="3.85546875" customWidth="1"/>
    <col min="10461" max="10469" width="4.140625" customWidth="1"/>
    <col min="10470" max="10470" width="3.7109375" customWidth="1"/>
    <col min="10471" max="10501" width="4.42578125" customWidth="1"/>
    <col min="10713" max="10713" width="4.140625" customWidth="1"/>
    <col min="10714" max="10714" width="4" customWidth="1"/>
    <col min="10715" max="10715" width="4.140625" customWidth="1"/>
    <col min="10716" max="10716" width="3.85546875" customWidth="1"/>
    <col min="10717" max="10725" width="4.140625" customWidth="1"/>
    <col min="10726" max="10726" width="3.7109375" customWidth="1"/>
    <col min="10727" max="10757" width="4.42578125" customWidth="1"/>
    <col min="10969" max="10969" width="4.140625" customWidth="1"/>
    <col min="10970" max="10970" width="4" customWidth="1"/>
    <col min="10971" max="10971" width="4.140625" customWidth="1"/>
    <col min="10972" max="10972" width="3.85546875" customWidth="1"/>
    <col min="10973" max="10981" width="4.140625" customWidth="1"/>
    <col min="10982" max="10982" width="3.7109375" customWidth="1"/>
    <col min="10983" max="11013" width="4.42578125" customWidth="1"/>
    <col min="11225" max="11225" width="4.140625" customWidth="1"/>
    <col min="11226" max="11226" width="4" customWidth="1"/>
    <col min="11227" max="11227" width="4.140625" customWidth="1"/>
    <col min="11228" max="11228" width="3.85546875" customWidth="1"/>
    <col min="11229" max="11237" width="4.140625" customWidth="1"/>
    <col min="11238" max="11238" width="3.7109375" customWidth="1"/>
    <col min="11239" max="11269" width="4.42578125" customWidth="1"/>
    <col min="11481" max="11481" width="4.140625" customWidth="1"/>
    <col min="11482" max="11482" width="4" customWidth="1"/>
    <col min="11483" max="11483" width="4.140625" customWidth="1"/>
    <col min="11484" max="11484" width="3.85546875" customWidth="1"/>
    <col min="11485" max="11493" width="4.140625" customWidth="1"/>
    <col min="11494" max="11494" width="3.7109375" customWidth="1"/>
    <col min="11495" max="11525" width="4.42578125" customWidth="1"/>
    <col min="11737" max="11737" width="4.140625" customWidth="1"/>
    <col min="11738" max="11738" width="4" customWidth="1"/>
    <col min="11739" max="11739" width="4.140625" customWidth="1"/>
    <col min="11740" max="11740" width="3.85546875" customWidth="1"/>
    <col min="11741" max="11749" width="4.140625" customWidth="1"/>
    <col min="11750" max="11750" width="3.7109375" customWidth="1"/>
    <col min="11751" max="11781" width="4.42578125" customWidth="1"/>
    <col min="11993" max="11993" width="4.140625" customWidth="1"/>
    <col min="11994" max="11994" width="4" customWidth="1"/>
    <col min="11995" max="11995" width="4.140625" customWidth="1"/>
    <col min="11996" max="11996" width="3.85546875" customWidth="1"/>
    <col min="11997" max="12005" width="4.140625" customWidth="1"/>
    <col min="12006" max="12006" width="3.7109375" customWidth="1"/>
    <col min="12007" max="12037" width="4.42578125" customWidth="1"/>
    <col min="12249" max="12249" width="4.140625" customWidth="1"/>
    <col min="12250" max="12250" width="4" customWidth="1"/>
    <col min="12251" max="12251" width="4.140625" customWidth="1"/>
    <col min="12252" max="12252" width="3.85546875" customWidth="1"/>
    <col min="12253" max="12261" width="4.140625" customWidth="1"/>
    <col min="12262" max="12262" width="3.7109375" customWidth="1"/>
    <col min="12263" max="12293" width="4.42578125" customWidth="1"/>
    <col min="12505" max="12505" width="4.140625" customWidth="1"/>
    <col min="12506" max="12506" width="4" customWidth="1"/>
    <col min="12507" max="12507" width="4.140625" customWidth="1"/>
    <col min="12508" max="12508" width="3.85546875" customWidth="1"/>
    <col min="12509" max="12517" width="4.140625" customWidth="1"/>
    <col min="12518" max="12518" width="3.7109375" customWidth="1"/>
    <col min="12519" max="12549" width="4.42578125" customWidth="1"/>
    <col min="12761" max="12761" width="4.140625" customWidth="1"/>
    <col min="12762" max="12762" width="4" customWidth="1"/>
    <col min="12763" max="12763" width="4.140625" customWidth="1"/>
    <col min="12764" max="12764" width="3.85546875" customWidth="1"/>
    <col min="12765" max="12773" width="4.140625" customWidth="1"/>
    <col min="12774" max="12774" width="3.7109375" customWidth="1"/>
    <col min="12775" max="12805" width="4.42578125" customWidth="1"/>
    <col min="13017" max="13017" width="4.140625" customWidth="1"/>
    <col min="13018" max="13018" width="4" customWidth="1"/>
    <col min="13019" max="13019" width="4.140625" customWidth="1"/>
    <col min="13020" max="13020" width="3.85546875" customWidth="1"/>
    <col min="13021" max="13029" width="4.140625" customWidth="1"/>
    <col min="13030" max="13030" width="3.7109375" customWidth="1"/>
    <col min="13031" max="13061" width="4.42578125" customWidth="1"/>
    <col min="13273" max="13273" width="4.140625" customWidth="1"/>
    <col min="13274" max="13274" width="4" customWidth="1"/>
    <col min="13275" max="13275" width="4.140625" customWidth="1"/>
    <col min="13276" max="13276" width="3.85546875" customWidth="1"/>
    <col min="13277" max="13285" width="4.140625" customWidth="1"/>
    <col min="13286" max="13286" width="3.7109375" customWidth="1"/>
    <col min="13287" max="13317" width="4.42578125" customWidth="1"/>
    <col min="13529" max="13529" width="4.140625" customWidth="1"/>
    <col min="13530" max="13530" width="4" customWidth="1"/>
    <col min="13531" max="13531" width="4.140625" customWidth="1"/>
    <col min="13532" max="13532" width="3.85546875" customWidth="1"/>
    <col min="13533" max="13541" width="4.140625" customWidth="1"/>
    <col min="13542" max="13542" width="3.7109375" customWidth="1"/>
    <col min="13543" max="13573" width="4.42578125" customWidth="1"/>
    <col min="13785" max="13785" width="4.140625" customWidth="1"/>
    <col min="13786" max="13786" width="4" customWidth="1"/>
    <col min="13787" max="13787" width="4.140625" customWidth="1"/>
    <col min="13788" max="13788" width="3.85546875" customWidth="1"/>
    <col min="13789" max="13797" width="4.140625" customWidth="1"/>
    <col min="13798" max="13798" width="3.7109375" customWidth="1"/>
    <col min="13799" max="13829" width="4.42578125" customWidth="1"/>
    <col min="14041" max="14041" width="4.140625" customWidth="1"/>
    <col min="14042" max="14042" width="4" customWidth="1"/>
    <col min="14043" max="14043" width="4.140625" customWidth="1"/>
    <col min="14044" max="14044" width="3.85546875" customWidth="1"/>
    <col min="14045" max="14053" width="4.140625" customWidth="1"/>
    <col min="14054" max="14054" width="3.7109375" customWidth="1"/>
    <col min="14055" max="14085" width="4.42578125" customWidth="1"/>
    <col min="14297" max="14297" width="4.140625" customWidth="1"/>
    <col min="14298" max="14298" width="4" customWidth="1"/>
    <col min="14299" max="14299" width="4.140625" customWidth="1"/>
    <col min="14300" max="14300" width="3.85546875" customWidth="1"/>
    <col min="14301" max="14309" width="4.140625" customWidth="1"/>
    <col min="14310" max="14310" width="3.7109375" customWidth="1"/>
    <col min="14311" max="14341" width="4.42578125" customWidth="1"/>
    <col min="14553" max="14553" width="4.140625" customWidth="1"/>
    <col min="14554" max="14554" width="4" customWidth="1"/>
    <col min="14555" max="14555" width="4.140625" customWidth="1"/>
    <col min="14556" max="14556" width="3.85546875" customWidth="1"/>
    <col min="14557" max="14565" width="4.140625" customWidth="1"/>
    <col min="14566" max="14566" width="3.7109375" customWidth="1"/>
    <col min="14567" max="14597" width="4.42578125" customWidth="1"/>
    <col min="14809" max="14809" width="4.140625" customWidth="1"/>
    <col min="14810" max="14810" width="4" customWidth="1"/>
    <col min="14811" max="14811" width="4.140625" customWidth="1"/>
    <col min="14812" max="14812" width="3.85546875" customWidth="1"/>
    <col min="14813" max="14821" width="4.140625" customWidth="1"/>
    <col min="14822" max="14822" width="3.7109375" customWidth="1"/>
    <col min="14823" max="14853" width="4.42578125" customWidth="1"/>
    <col min="15065" max="15065" width="4.140625" customWidth="1"/>
    <col min="15066" max="15066" width="4" customWidth="1"/>
    <col min="15067" max="15067" width="4.140625" customWidth="1"/>
    <col min="15068" max="15068" width="3.85546875" customWidth="1"/>
    <col min="15069" max="15077" width="4.140625" customWidth="1"/>
    <col min="15078" max="15078" width="3.7109375" customWidth="1"/>
    <col min="15079" max="15109" width="4.42578125" customWidth="1"/>
    <col min="15321" max="15321" width="4.140625" customWidth="1"/>
    <col min="15322" max="15322" width="4" customWidth="1"/>
    <col min="15323" max="15323" width="4.140625" customWidth="1"/>
    <col min="15324" max="15324" width="3.85546875" customWidth="1"/>
    <col min="15325" max="15333" width="4.140625" customWidth="1"/>
    <col min="15334" max="15334" width="3.7109375" customWidth="1"/>
    <col min="15335" max="15365" width="4.42578125" customWidth="1"/>
    <col min="15577" max="15577" width="4.140625" customWidth="1"/>
    <col min="15578" max="15578" width="4" customWidth="1"/>
    <col min="15579" max="15579" width="4.140625" customWidth="1"/>
    <col min="15580" max="15580" width="3.85546875" customWidth="1"/>
    <col min="15581" max="15589" width="4.140625" customWidth="1"/>
    <col min="15590" max="15590" width="3.7109375" customWidth="1"/>
    <col min="15591" max="15621" width="4.42578125" customWidth="1"/>
    <col min="15833" max="15833" width="4.140625" customWidth="1"/>
    <col min="15834" max="15834" width="4" customWidth="1"/>
    <col min="15835" max="15835" width="4.140625" customWidth="1"/>
    <col min="15836" max="15836" width="3.85546875" customWidth="1"/>
    <col min="15837" max="15845" width="4.140625" customWidth="1"/>
    <col min="15846" max="15846" width="3.7109375" customWidth="1"/>
    <col min="15847" max="15877" width="4.42578125" customWidth="1"/>
    <col min="16089" max="16089" width="4.140625" customWidth="1"/>
    <col min="16090" max="16090" width="4" customWidth="1"/>
    <col min="16091" max="16091" width="4.140625" customWidth="1"/>
    <col min="16092" max="16092" width="3.85546875" customWidth="1"/>
    <col min="16093" max="16101" width="4.140625" customWidth="1"/>
    <col min="16102" max="16102" width="3.7109375" customWidth="1"/>
    <col min="16103" max="16133" width="4.42578125" customWidth="1"/>
  </cols>
  <sheetData>
    <row r="1" spans="1:21" ht="15" customHeight="1" x14ac:dyDescent="0.25">
      <c r="A1" s="418" t="s">
        <v>222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</row>
    <row r="2" spans="1:21" ht="15" customHeight="1" x14ac:dyDescent="0.25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</row>
    <row r="3" spans="1:21" ht="15" customHeight="1" x14ac:dyDescent="0.25">
      <c r="A3" s="418"/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</row>
    <row r="4" spans="1:21" ht="15" customHeight="1" x14ac:dyDescent="0.25">
      <c r="A4" s="418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</row>
    <row r="5" spans="1:21" ht="28.5" customHeight="1" x14ac:dyDescent="0.25">
      <c r="A5" s="418"/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</row>
    <row r="6" spans="1:21" s="1" customFormat="1" ht="15" customHeight="1" x14ac:dyDescent="0.25">
      <c r="A6" s="8"/>
      <c r="B6" s="145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1" s="1" customFormat="1" ht="15" customHeight="1" x14ac:dyDescent="0.25">
      <c r="A7" s="8"/>
      <c r="B7" s="145"/>
      <c r="C7" s="8"/>
      <c r="D7" s="5"/>
      <c r="E7" s="5"/>
      <c r="F7" s="5"/>
      <c r="G7" s="5"/>
      <c r="H7" s="5"/>
      <c r="N7" s="5"/>
      <c r="O7" s="5"/>
      <c r="P7" s="5"/>
      <c r="Q7" s="5"/>
    </row>
    <row r="8" spans="1:21" ht="21.75" customHeight="1" x14ac:dyDescent="0.35">
      <c r="A8" s="103"/>
      <c r="B8" s="103"/>
      <c r="C8" s="543"/>
      <c r="D8" s="543"/>
      <c r="E8" s="543"/>
      <c r="F8" s="543"/>
      <c r="G8" s="543"/>
      <c r="H8" s="157"/>
      <c r="N8" s="543"/>
      <c r="O8" s="543"/>
      <c r="P8" s="543"/>
      <c r="Q8" s="543"/>
    </row>
    <row r="9" spans="1:21" ht="15.6" customHeight="1" x14ac:dyDescent="0.35">
      <c r="A9" s="2"/>
      <c r="B9" s="103"/>
      <c r="C9" s="104"/>
      <c r="D9" s="5"/>
      <c r="E9" s="5"/>
      <c r="F9" s="5"/>
      <c r="G9" s="5"/>
      <c r="H9" s="5"/>
      <c r="N9" s="104"/>
      <c r="O9" s="5"/>
      <c r="P9" s="5"/>
      <c r="Q9" s="5"/>
    </row>
    <row r="10" spans="1:21" ht="9" customHeight="1" x14ac:dyDescent="0.4">
      <c r="A10" s="158"/>
      <c r="B10" s="532"/>
      <c r="C10" s="87"/>
      <c r="D10" s="2"/>
      <c r="E10" s="2"/>
      <c r="F10" s="97"/>
      <c r="G10" s="2"/>
      <c r="H10" s="2"/>
      <c r="N10" s="87"/>
      <c r="O10" s="2"/>
      <c r="P10" s="2"/>
      <c r="Q10" s="97"/>
    </row>
    <row r="11" spans="1:21" ht="9" customHeight="1" x14ac:dyDescent="0.4">
      <c r="A11" s="158"/>
      <c r="B11" s="532"/>
      <c r="C11" s="87"/>
      <c r="D11" s="2"/>
      <c r="E11" s="2"/>
      <c r="F11" s="97"/>
      <c r="G11" s="2"/>
      <c r="H11" s="2"/>
      <c r="N11" s="87"/>
      <c r="O11" s="2"/>
      <c r="P11" s="2"/>
      <c r="Q11" s="97"/>
    </row>
    <row r="12" spans="1:21" ht="9" customHeight="1" x14ac:dyDescent="0.4">
      <c r="A12" s="158"/>
      <c r="B12" s="532"/>
      <c r="C12" s="87"/>
      <c r="D12" s="2"/>
      <c r="E12" s="2"/>
      <c r="F12" s="97"/>
      <c r="G12" s="2"/>
      <c r="H12" s="2"/>
      <c r="N12" s="87"/>
      <c r="O12" s="2"/>
      <c r="P12" s="2"/>
      <c r="Q12" s="97"/>
    </row>
    <row r="13" spans="1:21" ht="9" customHeight="1" x14ac:dyDescent="0.4">
      <c r="A13" s="158"/>
      <c r="B13" s="532"/>
      <c r="C13" s="87"/>
      <c r="D13" s="2"/>
      <c r="E13" s="2"/>
      <c r="F13" s="97"/>
      <c r="G13" s="2"/>
      <c r="H13" s="2"/>
      <c r="N13" s="87"/>
      <c r="O13" s="2"/>
      <c r="P13" s="2"/>
      <c r="Q13" s="97"/>
    </row>
    <row r="14" spans="1:21" ht="9" customHeight="1" x14ac:dyDescent="0.4">
      <c r="A14" s="128"/>
      <c r="B14" s="532"/>
      <c r="C14" s="87"/>
      <c r="D14" s="2"/>
      <c r="E14" s="2"/>
      <c r="F14" s="97"/>
      <c r="G14" s="2"/>
      <c r="H14" s="2"/>
      <c r="N14" s="87"/>
      <c r="O14" s="2"/>
      <c r="P14" s="2"/>
      <c r="Q14" s="97"/>
    </row>
    <row r="15" spans="1:21" ht="9" customHeight="1" x14ac:dyDescent="0.4">
      <c r="A15" s="128"/>
      <c r="B15" s="532"/>
      <c r="C15" s="87"/>
      <c r="D15" s="97"/>
      <c r="E15" s="97"/>
      <c r="F15" s="97"/>
      <c r="G15" s="2"/>
      <c r="H15" s="2"/>
      <c r="N15" s="87"/>
      <c r="O15" s="97"/>
      <c r="P15" s="97"/>
      <c r="Q15" s="97"/>
    </row>
    <row r="16" spans="1:21" ht="9" customHeight="1" x14ac:dyDescent="0.4">
      <c r="A16" s="128"/>
      <c r="B16" s="532"/>
      <c r="C16" s="87"/>
      <c r="D16" s="2"/>
      <c r="E16" s="2"/>
      <c r="F16" s="2"/>
      <c r="G16" s="2"/>
      <c r="H16" s="2"/>
      <c r="N16" s="87"/>
      <c r="O16" s="2"/>
      <c r="P16" s="2"/>
      <c r="Q16" s="2"/>
    </row>
    <row r="17" spans="1:17" ht="9" customHeight="1" x14ac:dyDescent="0.4">
      <c r="A17" s="128"/>
      <c r="B17" s="532"/>
      <c r="C17" s="87"/>
      <c r="D17" s="2"/>
      <c r="E17" s="2"/>
      <c r="F17" s="2"/>
      <c r="G17" s="2"/>
      <c r="H17" s="2"/>
      <c r="N17" s="87"/>
      <c r="O17" s="2"/>
      <c r="P17" s="2"/>
      <c r="Q17" s="2"/>
    </row>
    <row r="18" spans="1:17" ht="9" customHeight="1" x14ac:dyDescent="0.4">
      <c r="A18" s="128"/>
      <c r="B18" s="532"/>
      <c r="C18" s="87"/>
      <c r="D18" s="2"/>
      <c r="E18" s="2"/>
      <c r="F18" s="2"/>
      <c r="G18" s="2"/>
      <c r="H18" s="2"/>
      <c r="N18" s="87"/>
      <c r="O18" s="2"/>
      <c r="P18" s="2"/>
      <c r="Q18" s="2"/>
    </row>
    <row r="19" spans="1:17" ht="9" customHeight="1" x14ac:dyDescent="0.4">
      <c r="A19" s="128"/>
      <c r="B19" s="532"/>
      <c r="C19" s="87"/>
      <c r="D19" s="2"/>
      <c r="E19" s="2"/>
      <c r="F19" s="2"/>
      <c r="G19" s="2"/>
      <c r="H19" s="2"/>
      <c r="N19" s="87"/>
      <c r="O19" s="2"/>
      <c r="P19" s="2"/>
      <c r="Q19" s="2"/>
    </row>
    <row r="20" spans="1:17" ht="9" customHeight="1" x14ac:dyDescent="0.4">
      <c r="A20" s="128"/>
      <c r="B20" s="532"/>
      <c r="C20" s="87"/>
      <c r="D20" s="2"/>
      <c r="E20" s="2"/>
      <c r="F20" s="2"/>
      <c r="G20" s="2"/>
      <c r="H20" s="2"/>
      <c r="N20" s="87"/>
      <c r="O20" s="2"/>
      <c r="P20" s="2"/>
      <c r="Q20" s="2"/>
    </row>
    <row r="21" spans="1:17" ht="9" customHeight="1" x14ac:dyDescent="0.4">
      <c r="A21" s="128"/>
      <c r="B21" s="532"/>
      <c r="C21" s="87"/>
      <c r="D21" s="2"/>
      <c r="E21" s="2"/>
      <c r="F21" s="2"/>
      <c r="G21" s="2"/>
      <c r="H21" s="2"/>
      <c r="N21" s="87"/>
      <c r="O21" s="2"/>
      <c r="P21" s="2"/>
      <c r="Q21" s="2"/>
    </row>
    <row r="22" spans="1:17" ht="9" customHeight="1" x14ac:dyDescent="0.4">
      <c r="A22" s="128"/>
      <c r="B22" s="532"/>
      <c r="C22" s="87"/>
      <c r="D22" s="2"/>
      <c r="E22" s="2"/>
      <c r="F22" s="2"/>
      <c r="G22" s="2"/>
      <c r="H22" s="2"/>
      <c r="N22" s="87"/>
      <c r="O22" s="2"/>
      <c r="P22" s="2"/>
      <c r="Q22" s="2"/>
    </row>
    <row r="23" spans="1:17" ht="9" customHeight="1" x14ac:dyDescent="0.4">
      <c r="A23" s="158"/>
      <c r="B23" s="532"/>
      <c r="C23" s="87"/>
      <c r="D23" s="2"/>
      <c r="E23" s="2"/>
      <c r="F23" s="2"/>
      <c r="G23" s="2"/>
      <c r="H23" s="2"/>
      <c r="N23" s="87"/>
      <c r="O23" s="2"/>
      <c r="P23" s="2"/>
      <c r="Q23" s="2"/>
    </row>
    <row r="24" spans="1:17" ht="9" customHeight="1" x14ac:dyDescent="0.4">
      <c r="A24" s="158"/>
      <c r="B24" s="532"/>
      <c r="C24" s="87"/>
      <c r="D24" s="2"/>
      <c r="E24" s="2"/>
      <c r="F24" s="2"/>
      <c r="G24" s="2"/>
      <c r="H24" s="2"/>
      <c r="N24" s="87"/>
      <c r="O24" s="2"/>
      <c r="P24" s="2"/>
      <c r="Q24" s="2"/>
    </row>
    <row r="25" spans="1:17" ht="9" customHeight="1" x14ac:dyDescent="0.4">
      <c r="A25" s="158"/>
      <c r="B25" s="532"/>
      <c r="C25" s="87"/>
      <c r="D25" s="2"/>
      <c r="E25" s="2"/>
      <c r="F25" s="2"/>
      <c r="G25" s="2"/>
      <c r="H25" s="2"/>
      <c r="N25" s="87"/>
      <c r="O25" s="2"/>
      <c r="P25" s="2"/>
      <c r="Q25" s="2"/>
    </row>
    <row r="26" spans="1:17" ht="9" customHeight="1" x14ac:dyDescent="0.4">
      <c r="A26" s="158"/>
      <c r="B26" s="532"/>
      <c r="C26" s="87"/>
      <c r="D26" s="2"/>
      <c r="E26" s="2"/>
      <c r="F26" s="2"/>
      <c r="G26" s="2"/>
      <c r="H26" s="2"/>
      <c r="N26" s="87"/>
      <c r="O26" s="2"/>
      <c r="P26" s="2"/>
      <c r="Q26" s="2"/>
    </row>
    <row r="27" spans="1:17" ht="9" customHeight="1" x14ac:dyDescent="0.4">
      <c r="A27" s="158"/>
      <c r="B27" s="532"/>
      <c r="C27" s="87"/>
      <c r="D27" s="2"/>
      <c r="E27" s="2"/>
      <c r="F27" s="2"/>
      <c r="G27" s="2"/>
      <c r="H27" s="2"/>
      <c r="N27" s="87"/>
      <c r="O27" s="2"/>
      <c r="P27" s="2"/>
      <c r="Q27" s="2"/>
    </row>
    <row r="28" spans="1:17" ht="9" customHeight="1" x14ac:dyDescent="0.4">
      <c r="A28" s="158"/>
      <c r="B28" s="532"/>
      <c r="C28" s="87"/>
      <c r="D28" s="2"/>
      <c r="E28" s="2"/>
      <c r="F28" s="2"/>
      <c r="G28" s="2"/>
      <c r="H28" s="2"/>
      <c r="N28" s="87"/>
      <c r="O28" s="2"/>
      <c r="P28" s="2"/>
      <c r="Q28" s="2"/>
    </row>
    <row r="29" spans="1:17" ht="9" customHeight="1" x14ac:dyDescent="0.4">
      <c r="A29" s="158"/>
      <c r="B29" s="532"/>
      <c r="C29" s="87"/>
      <c r="D29" s="2"/>
      <c r="E29" s="2"/>
      <c r="F29" s="2"/>
      <c r="G29" s="2"/>
      <c r="H29" s="2"/>
      <c r="N29" s="87"/>
      <c r="O29" s="2"/>
      <c r="P29" s="2"/>
      <c r="Q29" s="2"/>
    </row>
    <row r="30" spans="1:17" ht="9" customHeight="1" x14ac:dyDescent="0.4">
      <c r="A30" s="159"/>
      <c r="B30" s="532"/>
      <c r="C30" s="87"/>
      <c r="D30" s="2"/>
      <c r="E30" s="2"/>
      <c r="F30" s="2"/>
      <c r="G30" s="2"/>
      <c r="H30" s="2"/>
      <c r="N30" s="87"/>
      <c r="O30" s="2"/>
      <c r="P30" s="2"/>
      <c r="Q30" s="2"/>
    </row>
    <row r="31" spans="1:17" ht="9" customHeight="1" x14ac:dyDescent="0.4">
      <c r="A31" s="159"/>
      <c r="B31" s="532"/>
      <c r="C31" s="87"/>
      <c r="D31" s="2"/>
      <c r="E31" s="2"/>
      <c r="F31" s="2"/>
      <c r="G31" s="2"/>
      <c r="H31" s="2"/>
      <c r="N31" s="87"/>
      <c r="O31" s="2"/>
      <c r="P31" s="2"/>
      <c r="Q31" s="2"/>
    </row>
    <row r="32" spans="1:17" ht="9" customHeight="1" x14ac:dyDescent="0.4">
      <c r="A32" s="158"/>
      <c r="B32" s="532"/>
      <c r="C32" s="87"/>
      <c r="D32" s="2"/>
      <c r="E32" s="2"/>
      <c r="F32" s="2"/>
      <c r="G32" s="2"/>
      <c r="H32" s="2"/>
      <c r="N32" s="87"/>
      <c r="O32" s="2"/>
      <c r="P32" s="2"/>
      <c r="Q32" s="2"/>
    </row>
    <row r="33" spans="1:17" ht="9" customHeight="1" x14ac:dyDescent="0.4">
      <c r="A33" s="158"/>
      <c r="B33" s="532"/>
      <c r="C33" s="87"/>
      <c r="D33" s="2"/>
      <c r="E33" s="2"/>
      <c r="F33" s="2"/>
      <c r="G33" s="2"/>
      <c r="H33" s="2"/>
      <c r="N33" s="87"/>
      <c r="O33" s="2"/>
      <c r="P33" s="2"/>
      <c r="Q33" s="2"/>
    </row>
    <row r="34" spans="1:17" ht="9" customHeight="1" x14ac:dyDescent="0.4">
      <c r="A34" s="158"/>
      <c r="B34" s="532"/>
      <c r="C34" s="87"/>
      <c r="D34" s="2"/>
      <c r="E34" s="2"/>
      <c r="F34" s="2"/>
      <c r="G34" s="2"/>
      <c r="H34" s="2"/>
      <c r="N34" s="87"/>
      <c r="O34" s="2"/>
      <c r="P34" s="2"/>
      <c r="Q34" s="2"/>
    </row>
    <row r="35" spans="1:17" ht="9" customHeight="1" x14ac:dyDescent="0.4">
      <c r="A35" s="158"/>
      <c r="B35" s="532"/>
      <c r="C35" s="87"/>
      <c r="D35" s="2"/>
      <c r="E35" s="2"/>
      <c r="F35" s="2"/>
      <c r="G35" s="2"/>
      <c r="H35" s="2"/>
      <c r="N35" s="87"/>
      <c r="O35" s="2"/>
      <c r="P35" s="2"/>
      <c r="Q35" s="2"/>
    </row>
    <row r="36" spans="1:17" ht="9" customHeight="1" x14ac:dyDescent="0.4">
      <c r="A36" s="158"/>
      <c r="B36" s="532"/>
      <c r="C36" s="87"/>
      <c r="D36" s="2"/>
      <c r="E36" s="2"/>
      <c r="F36" s="2"/>
      <c r="G36" s="2"/>
      <c r="H36" s="2"/>
      <c r="N36" s="87"/>
      <c r="O36" s="2"/>
      <c r="P36" s="2"/>
      <c r="Q36" s="2"/>
    </row>
    <row r="37" spans="1:17" ht="9" customHeight="1" x14ac:dyDescent="0.4">
      <c r="A37" s="158"/>
      <c r="B37" s="532"/>
      <c r="C37" s="87"/>
      <c r="D37" s="2"/>
      <c r="E37" s="2"/>
      <c r="F37" s="2"/>
      <c r="G37" s="2"/>
      <c r="H37" s="2"/>
      <c r="N37" s="87"/>
      <c r="O37" s="2"/>
      <c r="P37" s="2"/>
      <c r="Q37" s="2"/>
    </row>
    <row r="38" spans="1:17" ht="9" customHeight="1" x14ac:dyDescent="0.4">
      <c r="A38" s="158"/>
      <c r="B38" s="532"/>
      <c r="C38" s="87"/>
      <c r="D38" s="2"/>
      <c r="E38" s="2"/>
      <c r="F38" s="2"/>
      <c r="G38" s="2"/>
      <c r="H38" s="2"/>
      <c r="N38" s="87"/>
      <c r="O38" s="2"/>
      <c r="P38" s="2"/>
      <c r="Q38" s="2"/>
    </row>
    <row r="39" spans="1:17" ht="9" customHeight="1" x14ac:dyDescent="0.4">
      <c r="A39" s="158"/>
      <c r="B39" s="532"/>
      <c r="C39" s="87"/>
      <c r="D39" s="2"/>
      <c r="E39" s="2"/>
      <c r="F39" s="2"/>
      <c r="G39" s="2"/>
      <c r="H39" s="2"/>
      <c r="N39" s="87"/>
      <c r="O39" s="2"/>
      <c r="P39" s="2"/>
      <c r="Q39" s="2"/>
    </row>
    <row r="40" spans="1:17" ht="9" customHeight="1" x14ac:dyDescent="0.4">
      <c r="A40" s="158"/>
      <c r="B40" s="532"/>
      <c r="C40" s="87"/>
      <c r="D40" s="2"/>
      <c r="E40" s="2"/>
      <c r="F40" s="2"/>
      <c r="G40" s="2"/>
      <c r="H40" s="2"/>
      <c r="N40" s="87"/>
      <c r="O40" s="2"/>
      <c r="P40" s="2"/>
      <c r="Q40" s="2"/>
    </row>
    <row r="41" spans="1:17" ht="9" customHeight="1" x14ac:dyDescent="0.4">
      <c r="A41" s="158"/>
      <c r="B41" s="532"/>
      <c r="C41" s="87"/>
      <c r="D41" s="2"/>
      <c r="E41" s="2"/>
      <c r="F41" s="2"/>
      <c r="G41" s="2"/>
      <c r="H41" s="2"/>
      <c r="N41" s="87"/>
      <c r="O41" s="2"/>
      <c r="P41" s="2"/>
      <c r="Q41" s="2"/>
    </row>
    <row r="42" spans="1:17" ht="9" customHeight="1" x14ac:dyDescent="0.4">
      <c r="A42" s="158"/>
      <c r="B42" s="532"/>
      <c r="C42" s="87"/>
      <c r="D42" s="2"/>
      <c r="E42" s="2"/>
      <c r="F42" s="2"/>
      <c r="G42" s="2"/>
      <c r="H42" s="2"/>
      <c r="N42" s="87"/>
      <c r="O42" s="2"/>
      <c r="P42" s="2"/>
      <c r="Q42" s="2"/>
    </row>
    <row r="43" spans="1:17" ht="9" customHeight="1" x14ac:dyDescent="0.4">
      <c r="A43" s="158"/>
      <c r="B43" s="532"/>
      <c r="C43" s="87"/>
      <c r="D43" s="2"/>
      <c r="E43" s="2"/>
      <c r="F43" s="2"/>
      <c r="G43" s="2"/>
      <c r="H43" s="2"/>
      <c r="N43" s="87"/>
      <c r="O43" s="2"/>
      <c r="P43" s="2"/>
      <c r="Q43" s="2"/>
    </row>
    <row r="44" spans="1:17" ht="9" customHeight="1" x14ac:dyDescent="0.4">
      <c r="A44" s="158"/>
      <c r="B44" s="532"/>
      <c r="C44" s="87"/>
      <c r="D44" s="2"/>
      <c r="E44" s="2"/>
      <c r="F44" s="2"/>
      <c r="G44" s="2"/>
      <c r="H44" s="2"/>
      <c r="N44" s="87"/>
      <c r="O44" s="2"/>
      <c r="P44" s="2"/>
      <c r="Q44" s="2"/>
    </row>
    <row r="45" spans="1:17" ht="9" customHeight="1" x14ac:dyDescent="0.4">
      <c r="A45" s="158"/>
      <c r="B45" s="532"/>
      <c r="C45" s="87"/>
      <c r="D45" s="2"/>
      <c r="E45" s="2"/>
      <c r="F45" s="2"/>
      <c r="G45" s="2"/>
      <c r="H45" s="2"/>
      <c r="N45" s="87"/>
      <c r="O45" s="2"/>
      <c r="P45" s="2"/>
      <c r="Q45" s="2"/>
    </row>
    <row r="46" spans="1:17" s="10" customFormat="1" ht="20.25" customHeight="1" x14ac:dyDescent="0.4">
      <c r="A46" s="87"/>
      <c r="B46" s="103"/>
      <c r="C46" s="161"/>
      <c r="D46" s="161"/>
      <c r="E46" s="161"/>
      <c r="F46" s="161"/>
      <c r="G46" s="161"/>
      <c r="H46" s="156"/>
      <c r="N46" s="161"/>
      <c r="O46" s="161"/>
      <c r="P46" s="161"/>
      <c r="Q46" s="161"/>
    </row>
    <row r="47" spans="1:17" ht="16.5" customHeight="1" x14ac:dyDescent="0.35">
      <c r="A47" s="2"/>
      <c r="B47" s="103"/>
      <c r="C47" s="23"/>
      <c r="D47" s="23"/>
      <c r="E47" s="23"/>
      <c r="F47" s="23"/>
      <c r="G47" s="23"/>
      <c r="H47" s="156"/>
      <c r="N47" s="23"/>
      <c r="O47" s="23"/>
      <c r="P47" s="23"/>
      <c r="Q47" s="23"/>
    </row>
    <row r="48" spans="1:17" s="94" customFormat="1" ht="16.5" customHeight="1" x14ac:dyDescent="0.2">
      <c r="A48" s="95"/>
      <c r="B48" s="534"/>
      <c r="C48" s="533"/>
      <c r="D48" s="533"/>
      <c r="E48" s="533"/>
      <c r="F48" s="533"/>
      <c r="G48" s="533"/>
      <c r="H48" s="139"/>
      <c r="N48" s="533"/>
      <c r="O48" s="533"/>
      <c r="P48" s="533"/>
      <c r="Q48" s="533"/>
    </row>
    <row r="49" spans="1:17" s="91" customFormat="1" ht="16.5" customHeight="1" x14ac:dyDescent="0.2">
      <c r="A49" s="92"/>
      <c r="B49" s="534"/>
      <c r="C49" s="533"/>
      <c r="D49" s="533"/>
      <c r="E49" s="533"/>
      <c r="F49" s="533"/>
      <c r="G49" s="533"/>
      <c r="H49" s="139"/>
      <c r="N49" s="533"/>
      <c r="O49" s="533"/>
      <c r="P49" s="533"/>
      <c r="Q49" s="533"/>
    </row>
    <row r="50" spans="1:17" s="2" customFormat="1" ht="16.5" customHeight="1" x14ac:dyDescent="0.25">
      <c r="A50" s="89"/>
      <c r="B50" s="536"/>
      <c r="C50" s="533"/>
      <c r="D50" s="533"/>
      <c r="E50" s="533"/>
      <c r="F50" s="533"/>
      <c r="G50" s="533"/>
      <c r="H50" s="139"/>
      <c r="I50" s="355"/>
      <c r="J50" s="355"/>
      <c r="K50" s="355"/>
      <c r="L50" s="355"/>
      <c r="M50" s="382"/>
    </row>
    <row r="51" spans="1:17" s="2" customFormat="1" ht="16.5" customHeight="1" x14ac:dyDescent="0.25">
      <c r="A51" s="89"/>
      <c r="B51" s="536"/>
      <c r="C51" s="533"/>
      <c r="D51" s="533"/>
      <c r="E51" s="533"/>
      <c r="F51" s="533"/>
      <c r="G51" s="533"/>
      <c r="H51" s="139"/>
      <c r="I51" s="355"/>
      <c r="J51" s="355"/>
      <c r="K51" s="355"/>
      <c r="L51" s="355"/>
      <c r="M51" s="382"/>
    </row>
    <row r="52" spans="1:17" s="2" customFormat="1" ht="16.5" customHeight="1" x14ac:dyDescent="0.25">
      <c r="A52" s="89"/>
      <c r="B52" s="535"/>
      <c r="C52" s="533"/>
      <c r="D52" s="533"/>
      <c r="E52" s="533"/>
      <c r="F52" s="533"/>
      <c r="G52" s="533"/>
      <c r="H52" s="156"/>
      <c r="J52" s="355"/>
      <c r="K52" s="356"/>
      <c r="L52" s="356"/>
      <c r="M52" s="356"/>
    </row>
    <row r="53" spans="1:17" s="2" customFormat="1" ht="20.100000000000001" customHeight="1" x14ac:dyDescent="0.25">
      <c r="A53" s="89"/>
      <c r="B53" s="535"/>
      <c r="C53" s="533"/>
      <c r="D53" s="533"/>
      <c r="E53" s="533"/>
      <c r="F53" s="533"/>
      <c r="G53" s="533"/>
      <c r="H53" s="139"/>
      <c r="J53" s="355"/>
      <c r="K53" s="356"/>
      <c r="L53" s="356"/>
      <c r="M53" s="356"/>
    </row>
    <row r="54" spans="1:17" s="2" customFormat="1" ht="20.100000000000001" customHeight="1" x14ac:dyDescent="0.25">
      <c r="A54" s="89"/>
      <c r="B54" s="146"/>
      <c r="C54" s="152"/>
      <c r="D54" s="152"/>
      <c r="E54" s="152"/>
      <c r="F54" s="152"/>
      <c r="G54" s="152"/>
      <c r="H54" s="139"/>
    </row>
    <row r="59" spans="1:17" x14ac:dyDescent="0.35">
      <c r="N59" s="132"/>
      <c r="O59" s="135"/>
      <c r="P59" s="135"/>
      <c r="Q59" s="135"/>
    </row>
    <row r="60" spans="1:17" x14ac:dyDescent="0.35">
      <c r="N60" s="137"/>
      <c r="O60" s="135"/>
      <c r="P60" s="135"/>
      <c r="Q60" s="135"/>
    </row>
    <row r="61" spans="1:17" ht="23.25" x14ac:dyDescent="0.35">
      <c r="N61" s="90"/>
      <c r="O61" s="96"/>
      <c r="P61" s="96"/>
      <c r="Q61" s="96"/>
    </row>
    <row r="62" spans="1:17" x14ac:dyDescent="0.35">
      <c r="I62" s="542" t="s">
        <v>232</v>
      </c>
      <c r="J62" s="542"/>
      <c r="K62" s="542"/>
      <c r="L62" s="542"/>
      <c r="M62" s="542"/>
    </row>
    <row r="63" spans="1:17" x14ac:dyDescent="0.35">
      <c r="I63" s="542"/>
      <c r="J63" s="542"/>
      <c r="K63" s="542"/>
      <c r="L63" s="542"/>
      <c r="M63" s="542"/>
    </row>
    <row r="65" spans="1:27" ht="23.25" x14ac:dyDescent="0.35">
      <c r="L65" s="540" t="s">
        <v>230</v>
      </c>
      <c r="M65" s="541"/>
    </row>
    <row r="66" spans="1:27" ht="23.25" x14ac:dyDescent="0.35">
      <c r="I66" s="357">
        <v>9</v>
      </c>
      <c r="J66" s="362">
        <v>2020</v>
      </c>
      <c r="K66" s="362">
        <v>2019</v>
      </c>
      <c r="L66" s="362" t="s">
        <v>231</v>
      </c>
      <c r="M66" s="399" t="s">
        <v>229</v>
      </c>
    </row>
    <row r="67" spans="1:27" ht="23.25" x14ac:dyDescent="0.35">
      <c r="I67" s="358" t="s">
        <v>43</v>
      </c>
      <c r="J67" s="361">
        <f ca="1">OFFSET(Recap_cde_P!$E$4,+I66,0)</f>
        <v>10571</v>
      </c>
      <c r="K67" s="361">
        <f ca="1">OFFSET(Recap_cde_P!$O$4,+I66,0)</f>
        <v>10036</v>
      </c>
      <c r="L67" s="359">
        <f ca="1">J67/K67-1</f>
        <v>5.3308090872857816E-2</v>
      </c>
      <c r="M67" s="400">
        <f>+Recap_cde_P!L59</f>
        <v>-4.3593941874744191E-2</v>
      </c>
    </row>
    <row r="68" spans="1:27" ht="23.25" x14ac:dyDescent="0.35">
      <c r="I68" s="360" t="s">
        <v>44</v>
      </c>
      <c r="J68" s="361">
        <f ca="1">VLOOKUP(I66,Recap_cde_B!$C$5:$D$57,2,FALSE)</f>
        <v>2614</v>
      </c>
      <c r="K68" s="361">
        <f>VLOOKUP($I$66,Recap_cde_B!$M$5:$N$57,2,FALSE)</f>
        <v>2001</v>
      </c>
      <c r="L68" s="359">
        <f t="shared" ref="L68:L70" ca="1" si="0">J68/K68-1</f>
        <v>0.30634682658670664</v>
      </c>
      <c r="M68" s="400">
        <f>+Recap_cde_B!K59</f>
        <v>-3.344768439108059E-2</v>
      </c>
    </row>
    <row r="69" spans="1:27" ht="23.25" x14ac:dyDescent="0.35">
      <c r="I69" s="366" t="s">
        <v>45</v>
      </c>
      <c r="J69" s="361">
        <f ca="1">VLOOKUP(I66,Recap_cde_A!$C$5:$D$57,2,FALSE)</f>
        <v>2676</v>
      </c>
      <c r="K69" s="361">
        <f>VLOOKUP(I66,Recap_cde_A!$O$5:$P$57,2,FALSE)</f>
        <v>2919</v>
      </c>
      <c r="L69" s="359">
        <f t="shared" ca="1" si="0"/>
        <v>-8.3247687564234285E-2</v>
      </c>
      <c r="M69" s="400">
        <f>+Recap_cde_A!M59</f>
        <v>-0.25166725166725168</v>
      </c>
    </row>
    <row r="70" spans="1:27" ht="23.25" x14ac:dyDescent="0.35">
      <c r="I70" s="363" t="s">
        <v>66</v>
      </c>
      <c r="J70" s="364">
        <f ca="1">SUM(J67:J69)</f>
        <v>15861</v>
      </c>
      <c r="K70" s="364">
        <f t="shared" ref="K70" ca="1" si="1">SUM(K67:K69)</f>
        <v>14956</v>
      </c>
      <c r="L70" s="365">
        <f t="shared" ca="1" si="0"/>
        <v>6.051083177320149E-2</v>
      </c>
      <c r="M70" s="365"/>
      <c r="X70" s="73"/>
      <c r="Y70" s="73"/>
      <c r="Z70" s="73"/>
    </row>
    <row r="72" spans="1:27" s="73" customFormat="1" ht="15" customHeight="1" x14ac:dyDescent="0.35">
      <c r="B72" s="147"/>
      <c r="Y72"/>
      <c r="Z72"/>
      <c r="AA72"/>
    </row>
    <row r="73" spans="1:27" ht="16.5" customHeight="1" x14ac:dyDescent="0.25">
      <c r="A73" s="48"/>
      <c r="B73" s="48"/>
      <c r="C73" s="48"/>
      <c r="D73" s="48"/>
      <c r="E73" s="48"/>
      <c r="F73" s="48"/>
      <c r="G73" s="62"/>
      <c r="H73" s="148"/>
      <c r="I73" s="48"/>
      <c r="J73" s="48"/>
      <c r="K73" s="48"/>
      <c r="L73" s="48"/>
      <c r="M73" s="230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</row>
    <row r="74" spans="1:27" ht="16.5" customHeight="1" x14ac:dyDescent="0.25">
      <c r="A74" s="418" t="s">
        <v>42</v>
      </c>
      <c r="B74" s="418"/>
      <c r="C74" s="418"/>
      <c r="D74" s="418"/>
      <c r="E74" s="418"/>
      <c r="F74" s="418"/>
      <c r="G74" s="464">
        <v>2020</v>
      </c>
      <c r="H74" s="464"/>
      <c r="I74" s="464"/>
      <c r="J74" s="464"/>
      <c r="K74" s="57"/>
      <c r="L74" s="57"/>
      <c r="M74" s="354"/>
      <c r="N74" s="57"/>
      <c r="O74" s="57"/>
      <c r="P74" s="354"/>
      <c r="Q74" s="354"/>
      <c r="R74" s="354"/>
      <c r="S74" s="354"/>
      <c r="T74" s="354"/>
      <c r="U74" s="354"/>
      <c r="V74" s="354"/>
      <c r="W74" s="354"/>
      <c r="X74" s="354"/>
    </row>
    <row r="75" spans="1:27" ht="16.5" customHeight="1" x14ac:dyDescent="0.25">
      <c r="A75" s="418"/>
      <c r="B75" s="418"/>
      <c r="C75" s="418"/>
      <c r="D75" s="418"/>
      <c r="E75" s="418"/>
      <c r="F75" s="418"/>
      <c r="G75" s="464"/>
      <c r="H75" s="464"/>
      <c r="I75" s="464"/>
      <c r="J75" s="464"/>
      <c r="K75" s="57"/>
      <c r="L75" s="57"/>
      <c r="M75" s="354"/>
      <c r="N75" s="57"/>
      <c r="O75" s="57"/>
      <c r="P75" s="354"/>
      <c r="Q75" s="354"/>
      <c r="R75" s="354"/>
      <c r="S75" s="354"/>
      <c r="T75" s="354"/>
      <c r="U75" s="354"/>
      <c r="V75" s="354"/>
      <c r="W75" s="354"/>
      <c r="X75" s="354"/>
    </row>
    <row r="76" spans="1:27" ht="16.5" customHeight="1" x14ac:dyDescent="0.25">
      <c r="A76" s="418"/>
      <c r="B76" s="418"/>
      <c r="C76" s="418"/>
      <c r="D76" s="418"/>
      <c r="E76" s="418"/>
      <c r="F76" s="418"/>
      <c r="G76" s="464"/>
      <c r="H76" s="464"/>
      <c r="I76" s="464"/>
      <c r="J76" s="464"/>
      <c r="K76" s="57"/>
      <c r="L76" s="57"/>
      <c r="M76" s="354"/>
      <c r="N76" s="57"/>
      <c r="O76" s="57"/>
      <c r="P76" s="354"/>
      <c r="Q76" s="354"/>
      <c r="R76" s="354"/>
      <c r="S76" s="354"/>
      <c r="T76" s="354"/>
      <c r="U76" s="354"/>
      <c r="V76" s="354"/>
      <c r="W76" s="354"/>
      <c r="X76" s="354"/>
    </row>
    <row r="77" spans="1:27" ht="16.5" customHeight="1" x14ac:dyDescent="0.25">
      <c r="A77" s="50"/>
      <c r="B77" s="50"/>
      <c r="C77" s="50"/>
      <c r="D77" s="50"/>
      <c r="E77" s="50"/>
      <c r="F77" s="50"/>
      <c r="G77" s="61"/>
      <c r="H77" s="149"/>
      <c r="I77" s="50"/>
      <c r="J77" s="50"/>
      <c r="K77" s="50"/>
      <c r="L77" s="50"/>
      <c r="M77" s="231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</row>
    <row r="106" spans="1:1" x14ac:dyDescent="0.35">
      <c r="A106" s="10"/>
    </row>
  </sheetData>
  <mergeCells count="47">
    <mergeCell ref="L65:M65"/>
    <mergeCell ref="I62:M63"/>
    <mergeCell ref="C8:G8"/>
    <mergeCell ref="N8:Q8"/>
    <mergeCell ref="B10:B11"/>
    <mergeCell ref="B20:B21"/>
    <mergeCell ref="B32:B33"/>
    <mergeCell ref="B34:B35"/>
    <mergeCell ref="B28:B29"/>
    <mergeCell ref="B30:B31"/>
    <mergeCell ref="B24:B25"/>
    <mergeCell ref="B26:B27"/>
    <mergeCell ref="F48:F49"/>
    <mergeCell ref="B40:B41"/>
    <mergeCell ref="B42:B43"/>
    <mergeCell ref="B36:B37"/>
    <mergeCell ref="A1:U5"/>
    <mergeCell ref="B22:B23"/>
    <mergeCell ref="B16:B17"/>
    <mergeCell ref="B18:B19"/>
    <mergeCell ref="B12:B13"/>
    <mergeCell ref="B14:B15"/>
    <mergeCell ref="G48:G49"/>
    <mergeCell ref="N48:N49"/>
    <mergeCell ref="O48:O49"/>
    <mergeCell ref="P48:P49"/>
    <mergeCell ref="B38:B39"/>
    <mergeCell ref="B44:B45"/>
    <mergeCell ref="B48:B49"/>
    <mergeCell ref="C48:C49"/>
    <mergeCell ref="D48:D49"/>
    <mergeCell ref="Q48:Q49"/>
    <mergeCell ref="G50:G51"/>
    <mergeCell ref="A74:F76"/>
    <mergeCell ref="B52:B53"/>
    <mergeCell ref="C52:C53"/>
    <mergeCell ref="D52:D53"/>
    <mergeCell ref="E52:E53"/>
    <mergeCell ref="F52:F53"/>
    <mergeCell ref="G52:G53"/>
    <mergeCell ref="G74:J76"/>
    <mergeCell ref="B50:B51"/>
    <mergeCell ref="C50:C51"/>
    <mergeCell ref="D50:D51"/>
    <mergeCell ref="E50:E51"/>
    <mergeCell ref="F50:F51"/>
    <mergeCell ref="E48:E49"/>
  </mergeCells>
  <printOptions horizontalCentered="1" verticalCentered="1"/>
  <pageMargins left="0.19685039370078741" right="0.19685039370078741" top="0" bottom="0" header="0" footer="0"/>
  <pageSetup paperSize="8" scale="7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9</vt:i4>
      </vt:variant>
    </vt:vector>
  </HeadingPairs>
  <TitlesOfParts>
    <vt:vector size="22" baseType="lpstr">
      <vt:lpstr>Indicateur Activité _en test</vt:lpstr>
      <vt:lpstr>Indicateur Cde P</vt:lpstr>
      <vt:lpstr>Indicateur Cde CCE P</vt:lpstr>
      <vt:lpstr>Indicateur Cde B</vt:lpstr>
      <vt:lpstr>Indicateur Cde CCE B</vt:lpstr>
      <vt:lpstr>Indicateur Cde A</vt:lpstr>
      <vt:lpstr>Indicateur Cde CCE A</vt:lpstr>
      <vt:lpstr>Indicateur devis CCE</vt:lpstr>
      <vt:lpstr>Récap devis</vt:lpstr>
      <vt:lpstr>Recap_cde_A</vt:lpstr>
      <vt:lpstr>Recap_cde_B</vt:lpstr>
      <vt:lpstr>Recap_cde_P</vt:lpstr>
      <vt:lpstr>Indicateur graph cde_glob</vt:lpstr>
      <vt:lpstr>'Indicateur Activité _en test'!Zone_d_impression</vt:lpstr>
      <vt:lpstr>'Indicateur Cde A'!Zone_d_impression</vt:lpstr>
      <vt:lpstr>'Indicateur Cde B'!Zone_d_impression</vt:lpstr>
      <vt:lpstr>'Indicateur Cde CCE A'!Zone_d_impression</vt:lpstr>
      <vt:lpstr>'Indicateur Cde CCE B'!Zone_d_impression</vt:lpstr>
      <vt:lpstr>'Indicateur Cde CCE P'!Zone_d_impression</vt:lpstr>
      <vt:lpstr>'Indicateur Cde P'!Zone_d_impression</vt:lpstr>
      <vt:lpstr>'Indicateur devis CCE'!Zone_d_impression</vt:lpstr>
      <vt:lpstr>'Indicateur graph cde_glob'!Zone_d_impression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lemarchand</dc:creator>
  <cp:lastModifiedBy>Daniel Girard</cp:lastModifiedBy>
  <cp:lastPrinted>2020-02-24T10:54:14Z</cp:lastPrinted>
  <dcterms:created xsi:type="dcterms:W3CDTF">2018-10-19T06:20:31Z</dcterms:created>
  <dcterms:modified xsi:type="dcterms:W3CDTF">2020-03-02T09:00:27Z</dcterms:modified>
</cp:coreProperties>
</file>