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med1\Downloads\"/>
    </mc:Choice>
  </mc:AlternateContent>
  <xr:revisionPtr revIDLastSave="0" documentId="13_ncr:1_{C07DE058-0803-41E6-A8AA-5063E53D7E1D}" xr6:coauthVersionLast="44" xr6:coauthVersionMax="44" xr10:uidLastSave="{00000000-0000-0000-0000-000000000000}"/>
  <bookViews>
    <workbookView xWindow="28680" yWindow="-120" windowWidth="29040" windowHeight="16440" xr2:uid="{00000000-000D-0000-FFFF-FFFF00000000}"/>
  </bookViews>
  <sheets>
    <sheet name="Settings" sheetId="2" r:id="rId1"/>
    <sheet name="Calcul des heures" sheetId="1" r:id="rId2"/>
    <sheet name="Feuil1" sheetId="5" r:id="rId3"/>
  </sheets>
  <definedNames>
    <definedName name="commercial">Settings!$B$18:$B$20</definedName>
    <definedName name="comptable">Settings!$C$18:$C$20</definedName>
    <definedName name="ETP">Settings!$H$8</definedName>
    <definedName name="Service">Settings!$B$17:$E$17</definedName>
    <definedName name="TABCCN">Settings!$Q$2:$AB$9</definedName>
    <definedName name="technique">Settings!$B$18:$B$20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9" i="2" l="1"/>
  <c r="C30" i="2" s="1"/>
  <c r="C26" i="2"/>
  <c r="C28" i="2"/>
  <c r="C27" i="2"/>
  <c r="D4" i="5"/>
  <c r="C5" i="5"/>
  <c r="C4" i="5"/>
  <c r="B14" i="1" l="1"/>
  <c r="C6" i="2" l="1"/>
  <c r="E6" i="2"/>
  <c r="E7" i="2" s="1"/>
  <c r="E8" i="2" s="1"/>
  <c r="C7" i="2"/>
  <c r="C8" i="2" s="1"/>
  <c r="K7" i="2"/>
  <c r="I7" i="1" l="1"/>
  <c r="C10" i="1"/>
  <c r="H7" i="2" l="1"/>
  <c r="H3" i="2"/>
  <c r="H4" i="2"/>
  <c r="H5" i="2"/>
  <c r="I23" i="1"/>
  <c r="I14" i="1"/>
  <c r="C4" i="1"/>
  <c r="C20" i="1" l="1"/>
  <c r="C22" i="1" s="1"/>
  <c r="D4" i="1"/>
  <c r="I8" i="1" s="1"/>
  <c r="C12" i="1" l="1"/>
  <c r="H4" i="1"/>
  <c r="H19" i="1" s="1"/>
  <c r="H8" i="2"/>
  <c r="C21" i="1" s="1"/>
  <c r="C8" i="1"/>
  <c r="C9" i="1" s="1"/>
  <c r="I16" i="1"/>
  <c r="J17" i="1" s="1"/>
  <c r="J15" i="1" l="1"/>
  <c r="J16" i="1" s="1"/>
  <c r="I13" i="1"/>
  <c r="B10" i="1"/>
  <c r="J7" i="1" l="1"/>
  <c r="C11" i="1"/>
</calcChain>
</file>

<file path=xl/sharedStrings.xml><?xml version="1.0" encoding="utf-8"?>
<sst xmlns="http://schemas.openxmlformats.org/spreadsheetml/2006/main" count="166" uniqueCount="112">
  <si>
    <t>Lun</t>
  </si>
  <si>
    <t>Mar</t>
  </si>
  <si>
    <t>Mer</t>
  </si>
  <si>
    <t>Jeudi</t>
  </si>
  <si>
    <t>Ven</t>
  </si>
  <si>
    <t>Sam</t>
  </si>
  <si>
    <t>Dim</t>
  </si>
  <si>
    <t>Hebdo</t>
  </si>
  <si>
    <t>Mensualisation</t>
  </si>
  <si>
    <t>Nbre de jours travaillés</t>
  </si>
  <si>
    <t>Nombre de jours non travaillés</t>
  </si>
  <si>
    <t>Moyenne heure/jour</t>
  </si>
  <si>
    <t>Observ 1</t>
  </si>
  <si>
    <t>Temps complet</t>
  </si>
  <si>
    <t>Total des heures &lt;7h</t>
  </si>
  <si>
    <t xml:space="preserve">Total des heures équivalentes à </t>
  </si>
  <si>
    <t>Total des heures &gt;=7h</t>
  </si>
  <si>
    <t>total des jours équivalentes à (hres)</t>
  </si>
  <si>
    <t>Hiérarchie des normes</t>
  </si>
  <si>
    <t>HS25%</t>
  </si>
  <si>
    <t>HS50%</t>
  </si>
  <si>
    <t>cf.tableau</t>
  </si>
  <si>
    <t>Jours par semaine</t>
  </si>
  <si>
    <t>nbre de mois</t>
  </si>
  <si>
    <t>nbre de sem</t>
  </si>
  <si>
    <t>Hres hebdo droit</t>
  </si>
  <si>
    <t>ETP</t>
  </si>
  <si>
    <t xml:space="preserve">Nature contrat </t>
  </si>
  <si>
    <t>CDD</t>
  </si>
  <si>
    <t>CDI</t>
  </si>
  <si>
    <t>CCN</t>
  </si>
  <si>
    <t>DROIT COMMUN</t>
  </si>
  <si>
    <t>DROIT CCN</t>
  </si>
  <si>
    <t>Contingent</t>
  </si>
  <si>
    <t>Tx minimal</t>
  </si>
  <si>
    <t>CCN Expertise</t>
  </si>
  <si>
    <t xml:space="preserve">CCN Métalurgie </t>
  </si>
  <si>
    <t xml:space="preserve">CCN Restauration </t>
  </si>
  <si>
    <t>CCN Expert-comptable</t>
  </si>
  <si>
    <t>Boléen</t>
  </si>
  <si>
    <t>oui</t>
  </si>
  <si>
    <t>non</t>
  </si>
  <si>
    <t>Heures hebdo CCN</t>
  </si>
  <si>
    <t xml:space="preserve">Type contrat </t>
  </si>
  <si>
    <t>TP</t>
  </si>
  <si>
    <t>TC</t>
  </si>
  <si>
    <t>SMIC COMMUN</t>
  </si>
  <si>
    <t>SMIC CCN</t>
  </si>
  <si>
    <t>Jours/sem</t>
  </si>
  <si>
    <t>Nbre/sem</t>
  </si>
  <si>
    <t>Nbre mois</t>
  </si>
  <si>
    <t>Max/jour</t>
  </si>
  <si>
    <t>Max/sem</t>
  </si>
  <si>
    <t>Droit commun</t>
  </si>
  <si>
    <t>Quotas heures</t>
  </si>
  <si>
    <t>maxi possible</t>
  </si>
  <si>
    <t>peut-être</t>
  </si>
  <si>
    <t>Commercial</t>
  </si>
  <si>
    <t>Comptable</t>
  </si>
  <si>
    <t>Technique</t>
  </si>
  <si>
    <t>Qualité</t>
  </si>
  <si>
    <t>Service</t>
  </si>
  <si>
    <t>Salariés</t>
  </si>
  <si>
    <t>Paul</t>
  </si>
  <si>
    <t>Téo</t>
  </si>
  <si>
    <t>Vanessa</t>
  </si>
  <si>
    <t>Patrice</t>
  </si>
  <si>
    <t>Margaux</t>
  </si>
  <si>
    <t>Remy</t>
  </si>
  <si>
    <t>Léa</t>
  </si>
  <si>
    <t>Julie</t>
  </si>
  <si>
    <t>Stépganie</t>
  </si>
  <si>
    <t>Salarié</t>
  </si>
  <si>
    <t>Mois</t>
  </si>
  <si>
    <t>Année</t>
  </si>
  <si>
    <t>Taux Smic</t>
  </si>
  <si>
    <t>Taux CCN</t>
  </si>
  <si>
    <t>HEURES HEBDO CCN</t>
  </si>
  <si>
    <t>Type contrat</t>
  </si>
  <si>
    <t>Nature contrat</t>
  </si>
  <si>
    <t>Jours fériés du mois</t>
  </si>
  <si>
    <t>Jour ouvrés du mois</t>
  </si>
  <si>
    <t>La période de paie est mai 2020 pour le salarié paul en CDI TC</t>
  </si>
  <si>
    <t>Mai</t>
  </si>
  <si>
    <t>Smic légal valorisation  1</t>
  </si>
  <si>
    <t>Smic légal valorisation  2</t>
  </si>
  <si>
    <t>Smic de référence Droti commun</t>
  </si>
  <si>
    <t>Jour</t>
  </si>
  <si>
    <t>Date d'entée</t>
  </si>
  <si>
    <t xml:space="preserve"> -</t>
  </si>
  <si>
    <t xml:space="preserve"> Contrat hebdo</t>
  </si>
  <si>
    <t>Contrat Mois</t>
  </si>
  <si>
    <t>ETP CCN</t>
  </si>
  <si>
    <t>Type de contrat</t>
  </si>
  <si>
    <t>-</t>
  </si>
  <si>
    <t>Mois de paie</t>
  </si>
  <si>
    <t>1er jour mois</t>
  </si>
  <si>
    <t>dernier jour mois</t>
  </si>
  <si>
    <t>taux horraire</t>
  </si>
  <si>
    <t>heures sup. M-1</t>
  </si>
  <si>
    <t>CP restants jours</t>
  </si>
  <si>
    <t>CP restant €</t>
  </si>
  <si>
    <t>CP acquis jour</t>
  </si>
  <si>
    <t>CP acquis €</t>
  </si>
  <si>
    <t>décembre</t>
  </si>
  <si>
    <t>Lundi</t>
  </si>
  <si>
    <t>Mardi</t>
  </si>
  <si>
    <t>Mercredi</t>
  </si>
  <si>
    <t>Vendredi</t>
  </si>
  <si>
    <t>Samedi</t>
  </si>
  <si>
    <t>Dimanche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</si>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</sst>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164" formatCode="0.00&quot; hres&quot;"/>
    <numFmt numFmtId="165" formatCode="0.00&quot; hre(s)&quot;"/>
    <numFmt numFmtId="166" formatCode="0&quot; jours&quot;"/>
    <numFmt numFmtId="167" formatCode="0&quot; jour(s)&quot;"/>
    <numFmt numFmtId="168" formatCode="0.00&quot; hres/jour&quot;"/>
    <numFmt numFmtId="169" formatCode="0.00&quot; hres/sem&quot;"/>
  </numFmts>
  <fonts count="7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4" fillId="4" borderId="0" applyNumberFormat="0" applyBorder="0" applyAlignment="0" applyProtection="0"/>
  </cellStyleXfs>
  <cellXfs count="80">
    <xf numFmtId="0" fontId="0" fillId="0" borderId="0" xfId="0"/>
    <xf numFmtId="0" fontId="0" fillId="0" borderId="1" xfId="0" applyBorder="1"/>
    <xf numFmtId="164" fontId="1" fillId="2" borderId="0" xfId="1" applyNumberFormat="1"/>
    <xf numFmtId="0" fontId="0" fillId="0" borderId="1" xfId="0" applyFill="1" applyBorder="1"/>
    <xf numFmtId="164" fontId="0" fillId="0" borderId="1" xfId="0" applyNumberFormat="1" applyBorder="1"/>
    <xf numFmtId="165" fontId="0" fillId="0" borderId="1" xfId="0" applyNumberFormat="1" applyBorder="1"/>
    <xf numFmtId="164" fontId="2" fillId="3" borderId="0" xfId="2" applyNumberFormat="1"/>
    <xf numFmtId="2" fontId="1" fillId="2" borderId="1" xfId="1" applyNumberFormat="1" applyBorder="1"/>
    <xf numFmtId="167" fontId="4" fillId="4" borderId="0" xfId="3" applyNumberFormat="1"/>
    <xf numFmtId="0" fontId="0" fillId="5" borderId="1" xfId="0" applyFill="1" applyBorder="1"/>
    <xf numFmtId="0" fontId="5" fillId="0" borderId="1" xfId="0" applyFont="1" applyBorder="1"/>
    <xf numFmtId="0" fontId="5" fillId="0" borderId="0" xfId="0" applyFont="1"/>
    <xf numFmtId="168" fontId="0" fillId="0" borderId="0" xfId="0" applyNumberFormat="1"/>
    <xf numFmtId="169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0" fontId="0" fillId="5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0" borderId="7" xfId="0" applyBorder="1"/>
    <xf numFmtId="0" fontId="0" fillId="0" borderId="8" xfId="0" applyBorder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0" borderId="18" xfId="0" applyBorder="1"/>
    <xf numFmtId="8" fontId="0" fillId="0" borderId="19" xfId="0" applyNumberFormat="1" applyBorder="1"/>
    <xf numFmtId="0" fontId="0" fillId="0" borderId="19" xfId="0" applyBorder="1"/>
    <xf numFmtId="8" fontId="0" fillId="0" borderId="20" xfId="0" applyNumberFormat="1" applyBorder="1"/>
    <xf numFmtId="10" fontId="0" fillId="0" borderId="21" xfId="0" applyNumberFormat="1" applyBorder="1"/>
    <xf numFmtId="8" fontId="0" fillId="0" borderId="0" xfId="0" applyNumberFormat="1" applyBorder="1"/>
    <xf numFmtId="9" fontId="0" fillId="0" borderId="0" xfId="0" applyNumberFormat="1" applyBorder="1"/>
    <xf numFmtId="8" fontId="0" fillId="0" borderId="22" xfId="0" applyNumberFormat="1" applyBorder="1"/>
    <xf numFmtId="9" fontId="0" fillId="0" borderId="23" xfId="0" applyNumberFormat="1" applyBorder="1"/>
    <xf numFmtId="8" fontId="0" fillId="0" borderId="24" xfId="0" applyNumberFormat="1" applyBorder="1"/>
    <xf numFmtId="9" fontId="0" fillId="0" borderId="24" xfId="0" applyNumberFormat="1" applyBorder="1"/>
    <xf numFmtId="0" fontId="0" fillId="7" borderId="1" xfId="0" applyFill="1" applyBorder="1"/>
    <xf numFmtId="165" fontId="0" fillId="7" borderId="1" xfId="0" applyNumberFormat="1" applyFill="1" applyBorder="1"/>
    <xf numFmtId="0" fontId="0" fillId="9" borderId="1" xfId="0" applyFill="1" applyBorder="1"/>
    <xf numFmtId="0" fontId="0" fillId="10" borderId="1" xfId="0" applyFill="1" applyBorder="1"/>
    <xf numFmtId="166" fontId="3" fillId="0" borderId="26" xfId="0" applyNumberFormat="1" applyFont="1" applyBorder="1"/>
    <xf numFmtId="164" fontId="0" fillId="0" borderId="15" xfId="0" applyNumberFormat="1" applyBorder="1"/>
    <xf numFmtId="0" fontId="0" fillId="0" borderId="15" xfId="0" applyBorder="1"/>
    <xf numFmtId="164" fontId="3" fillId="0" borderId="16" xfId="0" applyNumberFormat="1" applyFont="1" applyBorder="1"/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0" xfId="0" applyBorder="1" applyAlignment="1">
      <alignment horizontal="center"/>
    </xf>
    <xf numFmtId="8" fontId="0" fillId="0" borderId="25" xfId="0" applyNumberFormat="1" applyBorder="1"/>
    <xf numFmtId="0" fontId="0" fillId="11" borderId="1" xfId="0" applyFill="1" applyBorder="1"/>
    <xf numFmtId="0" fontId="0" fillId="9" borderId="8" xfId="0" applyFill="1" applyBorder="1"/>
    <xf numFmtId="0" fontId="0" fillId="10" borderId="15" xfId="0" applyFill="1" applyBorder="1"/>
    <xf numFmtId="0" fontId="0" fillId="0" borderId="0" xfId="0" applyAlignment="1">
      <alignment horizontal="left" vertical="top" wrapText="1"/>
    </xf>
    <xf numFmtId="0" fontId="0" fillId="7" borderId="36" xfId="0" applyFill="1" applyBorder="1" applyAlignment="1">
      <alignment horizontal="center"/>
    </xf>
    <xf numFmtId="0" fontId="0" fillId="7" borderId="37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9" borderId="31" xfId="0" applyFill="1" applyBorder="1" applyAlignment="1">
      <alignment horizontal="center"/>
    </xf>
    <xf numFmtId="0" fontId="0" fillId="9" borderId="32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" xfId="0" applyFill="1" applyBorder="1" applyAlignment="1">
      <alignment horizontal="left" vertical="center"/>
    </xf>
    <xf numFmtId="0" fontId="0" fillId="9" borderId="0" xfId="0" applyFill="1" applyBorder="1"/>
    <xf numFmtId="0" fontId="0" fillId="5" borderId="0" xfId="0" applyFill="1"/>
    <xf numFmtId="0" fontId="5" fillId="0" borderId="0" xfId="0" applyFont="1" applyAlignment="1">
      <alignment horizontal="center" vertical="center"/>
    </xf>
  </cellXfs>
  <cellStyles count="4">
    <cellStyle name="Insatisfaisant" xfId="1" builtinId="27"/>
    <cellStyle name="Neutre" xfId="2" builtinId="28"/>
    <cellStyle name="Normal" xfId="0" builtinId="0"/>
    <cellStyle name="Satisfaisant" xfId="3" builtinId="26"/>
  </cellStyles>
  <dxfs count="5">
    <dxf>
      <font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Settings!$M$1" fmlaRange="Settings!$M$3:$M$4" noThreeD="1" sel="2" val="0"/>
</file>

<file path=xl/ctrlProps/ctrlProp2.xml><?xml version="1.0" encoding="utf-8"?>
<formControlPr xmlns="http://schemas.microsoft.com/office/spreadsheetml/2009/9/main" objectType="Drop" dropStyle="combo" dx="16" fmlaLink="Settings!$R$1" fmlaRange="Settings!$R$2:$R$6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4</xdr:col>
          <xdr:colOff>742950</xdr:colOff>
          <xdr:row>2</xdr:row>
          <xdr:rowOff>177800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0</xdr:row>
          <xdr:rowOff>31750</xdr:rowOff>
        </xdr:from>
        <xdr:to>
          <xdr:col>8</xdr:col>
          <xdr:colOff>95250</xdr:colOff>
          <xdr:row>2</xdr:row>
          <xdr:rowOff>234950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 tint="-0.249977111117893"/>
  </sheetPr>
  <dimension ref="A1:AB101"/>
  <sheetViews>
    <sheetView tabSelected="1" topLeftCell="A70" zoomScale="104" workbookViewId="0">
      <selection activeCell="B49" sqref="B49"/>
    </sheetView>
  </sheetViews>
  <sheetFormatPr baseColWidth="10" defaultRowHeight="14.5" x14ac:dyDescent="0.35"/>
  <cols>
    <col min="1" max="1" width="27.1796875" customWidth="1"/>
    <col min="2" max="2" width="27.6328125" customWidth="1"/>
    <col min="3" max="3" width="12.453125" bestFit="1" customWidth="1"/>
    <col min="4" max="4" width="14.54296875" bestFit="1" customWidth="1"/>
    <col min="7" max="7" width="22.6328125" customWidth="1"/>
    <col min="9" max="9" width="17" bestFit="1" customWidth="1"/>
    <col min="11" max="11" width="59" bestFit="1" customWidth="1"/>
    <col min="12" max="12" width="21" bestFit="1" customWidth="1"/>
    <col min="13" max="13" width="16.1796875" bestFit="1" customWidth="1"/>
    <col min="18" max="18" width="21.26953125" bestFit="1" customWidth="1"/>
    <col min="19" max="19" width="17.7265625" bestFit="1" customWidth="1"/>
  </cols>
  <sheetData>
    <row r="1" spans="1:28" ht="15" thickBot="1" x14ac:dyDescent="0.4">
      <c r="B1" s="55" t="s">
        <v>43</v>
      </c>
      <c r="L1" s="1" t="s">
        <v>18</v>
      </c>
      <c r="M1" s="1">
        <v>2</v>
      </c>
      <c r="N1" s="1" t="s">
        <v>19</v>
      </c>
      <c r="O1" s="1" t="s">
        <v>20</v>
      </c>
      <c r="Q1" s="19" t="s">
        <v>30</v>
      </c>
      <c r="R1" s="21">
        <v>2</v>
      </c>
      <c r="S1" s="22" t="s">
        <v>42</v>
      </c>
      <c r="T1" s="20" t="s">
        <v>33</v>
      </c>
      <c r="U1" s="20" t="s">
        <v>34</v>
      </c>
      <c r="V1" s="20" t="s">
        <v>19</v>
      </c>
      <c r="W1" s="20" t="s">
        <v>20</v>
      </c>
      <c r="X1" s="20" t="s">
        <v>48</v>
      </c>
      <c r="Y1" s="20" t="s">
        <v>49</v>
      </c>
      <c r="Z1" s="20" t="s">
        <v>50</v>
      </c>
      <c r="AA1" s="20" t="s">
        <v>51</v>
      </c>
      <c r="AB1" s="21" t="s">
        <v>52</v>
      </c>
    </row>
    <row r="2" spans="1:28" x14ac:dyDescent="0.35">
      <c r="B2" s="1" t="s">
        <v>44</v>
      </c>
      <c r="L2" s="1"/>
      <c r="M2" s="1"/>
      <c r="N2" s="1"/>
      <c r="O2" s="1"/>
      <c r="Q2" s="25">
        <v>1</v>
      </c>
      <c r="R2" s="26" t="s">
        <v>53</v>
      </c>
      <c r="S2" s="23">
        <v>35</v>
      </c>
      <c r="T2" s="17">
        <v>220</v>
      </c>
      <c r="U2" s="18">
        <v>10.15</v>
      </c>
      <c r="V2" s="17">
        <v>8</v>
      </c>
      <c r="W2" s="17">
        <v>43</v>
      </c>
      <c r="X2" s="17">
        <v>7</v>
      </c>
      <c r="Y2" s="17">
        <v>52</v>
      </c>
      <c r="Z2" s="17">
        <v>12</v>
      </c>
      <c r="AA2" s="17">
        <v>10</v>
      </c>
      <c r="AB2" s="17">
        <v>40</v>
      </c>
    </row>
    <row r="3" spans="1:28" x14ac:dyDescent="0.35">
      <c r="B3" s="1" t="s">
        <v>45</v>
      </c>
      <c r="G3" s="44" t="s">
        <v>22</v>
      </c>
      <c r="H3" s="9">
        <f>VLOOKUP(R1,TABCCN,8,FALSE)</f>
        <v>7</v>
      </c>
      <c r="L3" s="1">
        <v>1</v>
      </c>
      <c r="M3" s="10" t="s">
        <v>31</v>
      </c>
      <c r="N3" s="1">
        <v>8</v>
      </c>
      <c r="O3" s="1">
        <v>43</v>
      </c>
      <c r="Q3" s="27">
        <v>2</v>
      </c>
      <c r="R3" s="28" t="s">
        <v>35</v>
      </c>
      <c r="S3" s="24">
        <v>36</v>
      </c>
      <c r="T3" s="1">
        <v>220</v>
      </c>
      <c r="U3" s="1">
        <v>11</v>
      </c>
      <c r="V3" s="1">
        <v>8</v>
      </c>
      <c r="W3" s="1">
        <v>44</v>
      </c>
      <c r="X3" s="1">
        <v>7</v>
      </c>
      <c r="Y3" s="1">
        <v>52</v>
      </c>
      <c r="Z3" s="1">
        <v>12</v>
      </c>
      <c r="AA3" s="1">
        <v>12</v>
      </c>
      <c r="AB3" s="1">
        <v>48</v>
      </c>
    </row>
    <row r="4" spans="1:28" ht="15" thickBot="1" x14ac:dyDescent="0.4">
      <c r="G4" s="44" t="s">
        <v>23</v>
      </c>
      <c r="H4" s="9">
        <f>VLOOKUP(R1,TABCCN,10,FALSE)</f>
        <v>12</v>
      </c>
      <c r="L4" s="1">
        <v>2</v>
      </c>
      <c r="M4" s="10" t="s">
        <v>32</v>
      </c>
      <c r="N4" s="1" t="s">
        <v>21</v>
      </c>
      <c r="O4" s="1" t="s">
        <v>21</v>
      </c>
      <c r="Q4" s="27">
        <v>3</v>
      </c>
      <c r="R4" s="28" t="s">
        <v>36</v>
      </c>
      <c r="S4" s="24">
        <v>37</v>
      </c>
      <c r="T4" s="1">
        <v>230</v>
      </c>
      <c r="U4" s="1">
        <v>11.25</v>
      </c>
      <c r="V4" s="1">
        <v>9</v>
      </c>
      <c r="W4" s="1">
        <v>46</v>
      </c>
      <c r="X4" s="1">
        <v>7</v>
      </c>
      <c r="Y4" s="1">
        <v>52</v>
      </c>
      <c r="Z4" s="1">
        <v>12</v>
      </c>
      <c r="AA4" s="1">
        <v>12</v>
      </c>
      <c r="AB4" s="1">
        <v>48</v>
      </c>
    </row>
    <row r="5" spans="1:28" ht="15" thickBot="1" x14ac:dyDescent="0.4">
      <c r="A5" s="16" t="s">
        <v>86</v>
      </c>
      <c r="B5" s="50" t="s">
        <v>46</v>
      </c>
      <c r="C5" s="51"/>
      <c r="D5" s="52" t="s">
        <v>47</v>
      </c>
      <c r="E5" s="53"/>
      <c r="G5" s="44" t="s">
        <v>24</v>
      </c>
      <c r="H5" s="9">
        <f>VLOOKUP(R1,TABCCN,9,FALSE)</f>
        <v>52</v>
      </c>
      <c r="Q5" s="27">
        <v>4</v>
      </c>
      <c r="R5" s="28" t="s">
        <v>37</v>
      </c>
      <c r="S5" s="24">
        <v>38</v>
      </c>
      <c r="T5" s="1">
        <v>240</v>
      </c>
      <c r="U5" s="1">
        <v>12</v>
      </c>
      <c r="V5" s="1">
        <v>5</v>
      </c>
      <c r="W5" s="1">
        <v>43</v>
      </c>
      <c r="X5" s="1">
        <v>10</v>
      </c>
      <c r="Y5" s="1">
        <v>52</v>
      </c>
      <c r="Z5" s="1">
        <v>12</v>
      </c>
      <c r="AA5" s="1">
        <v>12</v>
      </c>
      <c r="AB5" s="1">
        <v>48</v>
      </c>
    </row>
    <row r="6" spans="1:28" ht="15" thickBot="1" x14ac:dyDescent="0.4">
      <c r="A6" s="16" t="s">
        <v>84</v>
      </c>
      <c r="B6" s="31"/>
      <c r="C6" s="32">
        <f>U2</f>
        <v>10.15</v>
      </c>
      <c r="D6" s="33"/>
      <c r="E6" s="34">
        <f>VLOOKUP(R1,Q2:AB6,5)</f>
        <v>11</v>
      </c>
      <c r="G6" s="44"/>
      <c r="H6" s="9"/>
      <c r="Q6" s="29">
        <v>5</v>
      </c>
      <c r="R6" s="30" t="s">
        <v>38</v>
      </c>
      <c r="S6" s="24">
        <v>39</v>
      </c>
      <c r="T6" s="1">
        <v>190</v>
      </c>
      <c r="U6" s="1">
        <v>13</v>
      </c>
      <c r="V6" s="1">
        <v>5</v>
      </c>
      <c r="W6" s="1">
        <v>44</v>
      </c>
      <c r="X6" s="1">
        <v>11</v>
      </c>
      <c r="Y6" s="1">
        <v>52</v>
      </c>
      <c r="Z6" s="1">
        <v>12</v>
      </c>
      <c r="AA6" s="1">
        <v>12</v>
      </c>
      <c r="AB6" s="1">
        <v>48</v>
      </c>
    </row>
    <row r="7" spans="1:28" x14ac:dyDescent="0.35">
      <c r="A7" s="16" t="s">
        <v>85</v>
      </c>
      <c r="B7" s="35">
        <v>1.4999999999999999E-2</v>
      </c>
      <c r="C7" s="36">
        <f>C6*B7+C$6</f>
        <v>10.302250000000001</v>
      </c>
      <c r="D7" s="37">
        <v>0.02</v>
      </c>
      <c r="E7" s="38">
        <f>(E6*(1+B7)*(1+D7))</f>
        <v>11.388299999999999</v>
      </c>
      <c r="G7" s="44" t="s">
        <v>25</v>
      </c>
      <c r="H7" s="3">
        <f>VLOOKUP(R1,TABCCN,3,FALSE)</f>
        <v>36</v>
      </c>
      <c r="K7" t="str">
        <f>"Dans le Cadre du droit "&amp;VLOOKUP(R1,Q1:R6,2,FALSE)</f>
        <v>Dans le Cadre du droit CCN Expertise</v>
      </c>
    </row>
    <row r="8" spans="1:28" ht="15" thickBot="1" x14ac:dyDescent="0.4">
      <c r="B8" s="39">
        <v>0.02</v>
      </c>
      <c r="C8" s="40">
        <f>C7*B8+C7</f>
        <v>10.508295</v>
      </c>
      <c r="D8" s="41">
        <v>0.03</v>
      </c>
      <c r="E8" s="54">
        <f>(E7*(1+B8)*(1+D8))</f>
        <v>11.964547980000001</v>
      </c>
      <c r="G8" s="44" t="s">
        <v>26</v>
      </c>
      <c r="H8" s="3">
        <f>H7*(52/12)</f>
        <v>156</v>
      </c>
    </row>
    <row r="11" spans="1:28" x14ac:dyDescent="0.35">
      <c r="B11" s="55" t="s">
        <v>39</v>
      </c>
      <c r="C11" s="55" t="s">
        <v>27</v>
      </c>
      <c r="R11" s="58"/>
      <c r="S11" s="58"/>
      <c r="T11" s="58"/>
    </row>
    <row r="12" spans="1:28" x14ac:dyDescent="0.35">
      <c r="B12" s="1" t="s">
        <v>40</v>
      </c>
      <c r="C12" s="3" t="s">
        <v>28</v>
      </c>
      <c r="R12" s="58"/>
      <c r="S12" s="58"/>
      <c r="T12" s="58"/>
    </row>
    <row r="13" spans="1:28" x14ac:dyDescent="0.35">
      <c r="B13" s="1" t="s">
        <v>41</v>
      </c>
      <c r="C13" s="3" t="s">
        <v>29</v>
      </c>
      <c r="I13">
        <v>0</v>
      </c>
      <c r="R13" s="58"/>
      <c r="S13" s="58"/>
      <c r="T13" s="58"/>
    </row>
    <row r="14" spans="1:28" ht="44.5" customHeight="1" x14ac:dyDescent="0.35">
      <c r="B14" t="s">
        <v>56</v>
      </c>
      <c r="I14">
        <v>12</v>
      </c>
      <c r="R14" s="58"/>
      <c r="S14" s="58"/>
      <c r="T14" s="58"/>
    </row>
    <row r="17" spans="1:5" x14ac:dyDescent="0.35">
      <c r="A17" s="55" t="s">
        <v>61</v>
      </c>
      <c r="B17" s="55" t="s">
        <v>57</v>
      </c>
      <c r="C17" s="55" t="s">
        <v>58</v>
      </c>
      <c r="D17" s="55" t="s">
        <v>59</v>
      </c>
      <c r="E17" s="55" t="s">
        <v>60</v>
      </c>
    </row>
    <row r="18" spans="1:5" ht="15" thickBot="1" x14ac:dyDescent="0.4">
      <c r="A18" s="57" t="s">
        <v>62</v>
      </c>
      <c r="B18" s="44" t="s">
        <v>63</v>
      </c>
      <c r="C18" s="44" t="s">
        <v>64</v>
      </c>
      <c r="D18" s="44" t="s">
        <v>71</v>
      </c>
      <c r="E18" s="1"/>
    </row>
    <row r="19" spans="1:5" x14ac:dyDescent="0.35">
      <c r="A19" s="59"/>
      <c r="B19" s="56" t="s">
        <v>65</v>
      </c>
      <c r="C19" s="44" t="s">
        <v>66</v>
      </c>
      <c r="D19" s="44" t="s">
        <v>67</v>
      </c>
      <c r="E19" s="1"/>
    </row>
    <row r="20" spans="1:5" ht="15" thickBot="1" x14ac:dyDescent="0.4">
      <c r="A20" s="60"/>
      <c r="B20" s="56" t="s">
        <v>68</v>
      </c>
      <c r="C20" s="44" t="s">
        <v>69</v>
      </c>
      <c r="D20" s="44" t="s">
        <v>70</v>
      </c>
      <c r="E20" s="1"/>
    </row>
    <row r="23" spans="1:5" x14ac:dyDescent="0.35">
      <c r="B23" s="77" t="s">
        <v>88</v>
      </c>
      <c r="C23" t="s">
        <v>94</v>
      </c>
    </row>
    <row r="24" spans="1:5" x14ac:dyDescent="0.35">
      <c r="B24" s="77" t="s">
        <v>79</v>
      </c>
    </row>
    <row r="25" spans="1:5" x14ac:dyDescent="0.35">
      <c r="B25" s="77" t="s">
        <v>89</v>
      </c>
    </row>
    <row r="26" spans="1:5" x14ac:dyDescent="0.35">
      <c r="B26" s="77" t="s">
        <v>90</v>
      </c>
      <c r="C26">
        <f>'Calcul des heures'!I7</f>
        <v>35</v>
      </c>
    </row>
    <row r="27" spans="1:5" x14ac:dyDescent="0.35">
      <c r="B27" s="77" t="s">
        <v>91</v>
      </c>
      <c r="C27" s="15">
        <f>'Calcul des heures'!J7</f>
        <v>151.66666666666666</v>
      </c>
    </row>
    <row r="28" spans="1:5" x14ac:dyDescent="0.35">
      <c r="B28" s="77" t="s">
        <v>92</v>
      </c>
      <c r="C28" s="15">
        <f>'Calcul des heures'!J7</f>
        <v>151.66666666666666</v>
      </c>
    </row>
    <row r="29" spans="1:5" x14ac:dyDescent="0.35">
      <c r="B29" s="77" t="s">
        <v>42</v>
      </c>
      <c r="C29" s="15">
        <f>'Calcul des heures'!J7</f>
        <v>151.66666666666666</v>
      </c>
    </row>
    <row r="30" spans="1:5" x14ac:dyDescent="0.35">
      <c r="B30" s="77" t="s">
        <v>93</v>
      </c>
      <c r="C30" t="str">
        <f>IF(C29&gt;=35,"TC","tp")</f>
        <v>TC</v>
      </c>
    </row>
    <row r="33" spans="1:3" x14ac:dyDescent="0.35">
      <c r="B33" s="77" t="s">
        <v>95</v>
      </c>
      <c r="C33" t="s">
        <v>104</v>
      </c>
    </row>
    <row r="34" spans="1:3" x14ac:dyDescent="0.35">
      <c r="B34" s="77" t="s">
        <v>74</v>
      </c>
    </row>
    <row r="35" spans="1:3" x14ac:dyDescent="0.35">
      <c r="B35" s="77" t="s">
        <v>96</v>
      </c>
    </row>
    <row r="36" spans="1:3" x14ac:dyDescent="0.35">
      <c r="B36" s="77" t="s">
        <v>97</v>
      </c>
    </row>
    <row r="37" spans="1:3" x14ac:dyDescent="0.35">
      <c r="B37" s="77" t="s">
        <v>98</v>
      </c>
    </row>
    <row r="38" spans="1:3" x14ac:dyDescent="0.35">
      <c r="B38" s="77" t="s">
        <v>99</v>
      </c>
    </row>
    <row r="39" spans="1:3" x14ac:dyDescent="0.35">
      <c r="B39" s="77" t="s">
        <v>100</v>
      </c>
    </row>
    <row r="40" spans="1:3" x14ac:dyDescent="0.35">
      <c r="B40" s="77" t="s">
        <v>101</v>
      </c>
    </row>
    <row r="41" spans="1:3" x14ac:dyDescent="0.35">
      <c r="B41" s="77" t="s">
        <v>102</v>
      </c>
    </row>
    <row r="42" spans="1:3" x14ac:dyDescent="0.35">
      <c r="B42" s="77" t="s">
        <v>103</v>
      </c>
    </row>
    <row r="46" spans="1:3" ht="24.5" customHeight="1" x14ac:dyDescent="0.35">
      <c r="A46" s="79" t="s">
        <v>87</v>
      </c>
      <c r="B46" t="s">
        <v>111</v>
      </c>
    </row>
    <row r="47" spans="1:3" x14ac:dyDescent="0.35">
      <c r="A47" t="s">
        <v>105</v>
      </c>
    </row>
    <row r="48" spans="1:3" x14ac:dyDescent="0.35">
      <c r="A48" t="s">
        <v>106</v>
      </c>
    </row>
    <row r="49" spans="1:1" x14ac:dyDescent="0.35">
      <c r="A49" t="s">
        <v>107</v>
      </c>
    </row>
    <row r="50" spans="1:1" x14ac:dyDescent="0.35">
      <c r="A50" t="s">
        <v>3</v>
      </c>
    </row>
    <row r="51" spans="1:1" x14ac:dyDescent="0.35">
      <c r="A51" t="s">
        <v>108</v>
      </c>
    </row>
    <row r="52" spans="1:1" x14ac:dyDescent="0.35">
      <c r="A52" t="s">
        <v>109</v>
      </c>
    </row>
    <row r="53" spans="1:1" x14ac:dyDescent="0.35">
      <c r="A53" t="s">
        <v>110</v>
      </c>
    </row>
    <row r="54" spans="1:1" s="78" customFormat="1" x14ac:dyDescent="0.35"/>
    <row r="55" spans="1:1" x14ac:dyDescent="0.35">
      <c r="A55" t="s">
        <v>105</v>
      </c>
    </row>
    <row r="56" spans="1:1" x14ac:dyDescent="0.35">
      <c r="A56" t="s">
        <v>106</v>
      </c>
    </row>
    <row r="57" spans="1:1" x14ac:dyDescent="0.35">
      <c r="A57" t="s">
        <v>107</v>
      </c>
    </row>
    <row r="58" spans="1:1" x14ac:dyDescent="0.35">
      <c r="A58" t="s">
        <v>3</v>
      </c>
    </row>
    <row r="59" spans="1:1" x14ac:dyDescent="0.35">
      <c r="A59" t="s">
        <v>108</v>
      </c>
    </row>
    <row r="60" spans="1:1" x14ac:dyDescent="0.35">
      <c r="A60" t="s">
        <v>109</v>
      </c>
    </row>
    <row r="61" spans="1:1" x14ac:dyDescent="0.35">
      <c r="A61" t="s">
        <v>110</v>
      </c>
    </row>
    <row r="62" spans="1:1" x14ac:dyDescent="0.35">
      <c r="A62" s="78"/>
    </row>
    <row r="63" spans="1:1" x14ac:dyDescent="0.35">
      <c r="A63" t="s">
        <v>105</v>
      </c>
    </row>
    <row r="64" spans="1:1" x14ac:dyDescent="0.35">
      <c r="A64" t="s">
        <v>106</v>
      </c>
    </row>
    <row r="65" spans="1:1" x14ac:dyDescent="0.35">
      <c r="A65" t="s">
        <v>107</v>
      </c>
    </row>
    <row r="66" spans="1:1" x14ac:dyDescent="0.35">
      <c r="A66" t="s">
        <v>3</v>
      </c>
    </row>
    <row r="67" spans="1:1" x14ac:dyDescent="0.35">
      <c r="A67" t="s">
        <v>108</v>
      </c>
    </row>
    <row r="68" spans="1:1" x14ac:dyDescent="0.35">
      <c r="A68" t="s">
        <v>109</v>
      </c>
    </row>
    <row r="69" spans="1:1" x14ac:dyDescent="0.35">
      <c r="A69" t="s">
        <v>110</v>
      </c>
    </row>
    <row r="70" spans="1:1" x14ac:dyDescent="0.35">
      <c r="A70" s="78"/>
    </row>
    <row r="71" spans="1:1" x14ac:dyDescent="0.35">
      <c r="A71" t="s">
        <v>105</v>
      </c>
    </row>
    <row r="72" spans="1:1" x14ac:dyDescent="0.35">
      <c r="A72" t="s">
        <v>106</v>
      </c>
    </row>
    <row r="73" spans="1:1" x14ac:dyDescent="0.35">
      <c r="A73" t="s">
        <v>107</v>
      </c>
    </row>
    <row r="74" spans="1:1" x14ac:dyDescent="0.35">
      <c r="A74" t="s">
        <v>3</v>
      </c>
    </row>
    <row r="75" spans="1:1" x14ac:dyDescent="0.35">
      <c r="A75" t="s">
        <v>108</v>
      </c>
    </row>
    <row r="76" spans="1:1" x14ac:dyDescent="0.35">
      <c r="A76" t="s">
        <v>109</v>
      </c>
    </row>
    <row r="77" spans="1:1" x14ac:dyDescent="0.35">
      <c r="A77" t="s">
        <v>110</v>
      </c>
    </row>
    <row r="78" spans="1:1" x14ac:dyDescent="0.35">
      <c r="A78" s="78"/>
    </row>
    <row r="79" spans="1:1" x14ac:dyDescent="0.35">
      <c r="A79" t="s">
        <v>105</v>
      </c>
    </row>
    <row r="80" spans="1:1" x14ac:dyDescent="0.35">
      <c r="A80" t="s">
        <v>106</v>
      </c>
    </row>
    <row r="81" spans="1:1" x14ac:dyDescent="0.35">
      <c r="A81" t="s">
        <v>107</v>
      </c>
    </row>
    <row r="82" spans="1:1" x14ac:dyDescent="0.35">
      <c r="A82" t="s">
        <v>3</v>
      </c>
    </row>
    <row r="83" spans="1:1" x14ac:dyDescent="0.35">
      <c r="A83" t="s">
        <v>108</v>
      </c>
    </row>
    <row r="84" spans="1:1" x14ac:dyDescent="0.35">
      <c r="A84" t="s">
        <v>109</v>
      </c>
    </row>
    <row r="85" spans="1:1" x14ac:dyDescent="0.35">
      <c r="A85" t="s">
        <v>110</v>
      </c>
    </row>
    <row r="86" spans="1:1" x14ac:dyDescent="0.35">
      <c r="A86" s="78"/>
    </row>
    <row r="87" spans="1:1" x14ac:dyDescent="0.35">
      <c r="A87" t="s">
        <v>105</v>
      </c>
    </row>
    <row r="88" spans="1:1" x14ac:dyDescent="0.35">
      <c r="A88" t="s">
        <v>106</v>
      </c>
    </row>
    <row r="89" spans="1:1" x14ac:dyDescent="0.35">
      <c r="A89" t="s">
        <v>107</v>
      </c>
    </row>
    <row r="90" spans="1:1" x14ac:dyDescent="0.35">
      <c r="A90" t="s">
        <v>3</v>
      </c>
    </row>
    <row r="91" spans="1:1" x14ac:dyDescent="0.35">
      <c r="A91" t="s">
        <v>108</v>
      </c>
    </row>
    <row r="92" spans="1:1" x14ac:dyDescent="0.35">
      <c r="A92" t="s">
        <v>109</v>
      </c>
    </row>
    <row r="93" spans="1:1" x14ac:dyDescent="0.35">
      <c r="A93" t="s">
        <v>110</v>
      </c>
    </row>
    <row r="94" spans="1:1" x14ac:dyDescent="0.35">
      <c r="A94" s="78"/>
    </row>
    <row r="95" spans="1:1" x14ac:dyDescent="0.35">
      <c r="A95" t="s">
        <v>105</v>
      </c>
    </row>
    <row r="96" spans="1:1" x14ac:dyDescent="0.35">
      <c r="A96" t="s">
        <v>106</v>
      </c>
    </row>
    <row r="97" spans="1:1" x14ac:dyDescent="0.35">
      <c r="A97" t="s">
        <v>107</v>
      </c>
    </row>
    <row r="98" spans="1:1" x14ac:dyDescent="0.35">
      <c r="A98" t="s">
        <v>3</v>
      </c>
    </row>
    <row r="99" spans="1:1" x14ac:dyDescent="0.35">
      <c r="A99" t="s">
        <v>108</v>
      </c>
    </row>
    <row r="100" spans="1:1" x14ac:dyDescent="0.35">
      <c r="A100" t="s">
        <v>109</v>
      </c>
    </row>
    <row r="101" spans="1:1" x14ac:dyDescent="0.35">
      <c r="A101" t="s">
        <v>110</v>
      </c>
    </row>
  </sheetData>
  <mergeCells count="2">
    <mergeCell ref="R11:T14"/>
    <mergeCell ref="A19:A20"/>
  </mergeCells>
  <phoneticPr fontId="6" type="noConversion"/>
  <dataValidations count="1">
    <dataValidation type="list" allowBlank="1" showInputMessage="1" showErrorMessage="1" sqref="C33" xr:uid="{554093F8-ED4D-4FDE-A11B-C4F911F5FB64}">
      <formula1>"janvier,fevrier,mars,mai,juin,juillet,aout,septembre,octobre,novembre,décembre"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50"/>
  </sheetPr>
  <dimension ref="A1:J25"/>
  <sheetViews>
    <sheetView workbookViewId="0">
      <selection activeCell="C16" sqref="C16"/>
    </sheetView>
  </sheetViews>
  <sheetFormatPr baseColWidth="10" defaultRowHeight="14.5" x14ac:dyDescent="0.35"/>
  <cols>
    <col min="1" max="1" width="18.1796875" customWidth="1"/>
    <col min="2" max="2" width="28.7265625" bestFit="1" customWidth="1"/>
    <col min="3" max="3" width="14.26953125" bestFit="1" customWidth="1"/>
    <col min="4" max="4" width="14.453125" bestFit="1" customWidth="1"/>
    <col min="7" max="7" width="16.36328125" customWidth="1"/>
    <col min="8" max="8" width="13.81640625" customWidth="1"/>
    <col min="10" max="10" width="14.54296875" bestFit="1" customWidth="1"/>
  </cols>
  <sheetData>
    <row r="1" spans="1:10" x14ac:dyDescent="0.35">
      <c r="B1" t="s">
        <v>13</v>
      </c>
      <c r="C1">
        <v>35</v>
      </c>
    </row>
    <row r="2" spans="1:10" x14ac:dyDescent="0.35">
      <c r="A2" t="s">
        <v>61</v>
      </c>
      <c r="B2" t="s">
        <v>57</v>
      </c>
      <c r="H2">
        <v>0</v>
      </c>
    </row>
    <row r="3" spans="1:10" ht="26" customHeight="1" x14ac:dyDescent="0.35">
      <c r="A3" t="s">
        <v>72</v>
      </c>
      <c r="B3" t="s">
        <v>63</v>
      </c>
      <c r="G3" s="11"/>
    </row>
    <row r="4" spans="1:10" x14ac:dyDescent="0.35">
      <c r="B4" t="s">
        <v>54</v>
      </c>
      <c r="C4" s="12">
        <f>VLOOKUP(Settings!R1,Settings!Q1:AB6,11,FALSE)</f>
        <v>12</v>
      </c>
      <c r="D4" s="13">
        <f>VLOOKUP(Settings!R1,Settings!Q1:AB6,12,FALSE)</f>
        <v>48</v>
      </c>
      <c r="G4" t="s">
        <v>55</v>
      </c>
      <c r="H4" s="15">
        <f>D4-I7</f>
        <v>13</v>
      </c>
    </row>
    <row r="6" spans="1:10" x14ac:dyDescent="0.35">
      <c r="B6" s="45" t="s">
        <v>0</v>
      </c>
      <c r="C6" s="45" t="s">
        <v>1</v>
      </c>
      <c r="D6" s="45" t="s">
        <v>2</v>
      </c>
      <c r="E6" s="45" t="s">
        <v>3</v>
      </c>
      <c r="F6" s="45" t="s">
        <v>4</v>
      </c>
      <c r="G6" s="45" t="s">
        <v>5</v>
      </c>
      <c r="H6" s="45" t="s">
        <v>6</v>
      </c>
      <c r="I6" s="45" t="s">
        <v>7</v>
      </c>
      <c r="J6" s="45" t="s">
        <v>8</v>
      </c>
    </row>
    <row r="7" spans="1:10" x14ac:dyDescent="0.35">
      <c r="B7" s="4">
        <v>7</v>
      </c>
      <c r="C7" s="4">
        <v>7</v>
      </c>
      <c r="D7" s="47">
        <v>7</v>
      </c>
      <c r="E7" s="47">
        <v>7</v>
      </c>
      <c r="F7" s="47">
        <v>7</v>
      </c>
      <c r="G7" s="47"/>
      <c r="H7" s="47"/>
      <c r="I7" s="5">
        <f>SUM(B7:H7)</f>
        <v>35</v>
      </c>
      <c r="J7" s="7">
        <f>I7*52/12</f>
        <v>151.66666666666666</v>
      </c>
    </row>
    <row r="8" spans="1:10" x14ac:dyDescent="0.35">
      <c r="B8" s="44" t="s">
        <v>9</v>
      </c>
      <c r="C8" s="46">
        <f>COUNTIF(B7:H7,"&gt;0")</f>
        <v>5</v>
      </c>
      <c r="D8" s="67"/>
      <c r="E8" s="68"/>
      <c r="F8" s="68"/>
      <c r="G8" s="68"/>
      <c r="H8" s="68"/>
      <c r="I8" s="48">
        <f>IF(I7&lt;=D4,SUM(B7:H7),"erreur")</f>
        <v>35</v>
      </c>
      <c r="J8" s="48"/>
    </row>
    <row r="9" spans="1:10" x14ac:dyDescent="0.35">
      <c r="B9" s="44" t="s">
        <v>10</v>
      </c>
      <c r="C9" s="46">
        <f>IF(C8&lt;7,"7"-C8)</f>
        <v>2</v>
      </c>
      <c r="D9" s="69"/>
      <c r="E9" s="70"/>
      <c r="F9" s="70"/>
      <c r="G9" s="70"/>
      <c r="H9" s="70"/>
      <c r="I9" s="68"/>
      <c r="J9" s="71"/>
    </row>
    <row r="10" spans="1:10" x14ac:dyDescent="0.35">
      <c r="B10" s="44" t="str">
        <f>IF(C9=0,"Repos hebdo non respecté","Repos hebdo respecté")</f>
        <v>Repos hebdo respecté</v>
      </c>
      <c r="C10" s="46">
        <f>COUNTIF(B7:H7,"=0")</f>
        <v>0</v>
      </c>
      <c r="D10" s="69"/>
      <c r="E10" s="70"/>
      <c r="F10" s="70"/>
      <c r="G10" s="70"/>
      <c r="H10" s="70"/>
      <c r="I10" s="70"/>
      <c r="J10" s="72"/>
    </row>
    <row r="11" spans="1:10" x14ac:dyDescent="0.35">
      <c r="B11" s="44" t="s">
        <v>11</v>
      </c>
      <c r="C11" s="49">
        <f>I7/C8</f>
        <v>7</v>
      </c>
      <c r="D11" s="69"/>
      <c r="E11" s="70"/>
      <c r="F11" s="70"/>
      <c r="G11" s="70"/>
      <c r="H11" s="70"/>
      <c r="I11" s="70"/>
      <c r="J11" s="72"/>
    </row>
    <row r="12" spans="1:10" x14ac:dyDescent="0.35">
      <c r="B12" s="44" t="s">
        <v>12</v>
      </c>
      <c r="C12" s="62" t="str">
        <f>IF(D4&gt;=C1,"temps plein atteint","temps plein non atteint")</f>
        <v>temps plein atteint</v>
      </c>
      <c r="D12" s="63"/>
      <c r="E12" s="64"/>
      <c r="F12" s="65"/>
      <c r="G12" s="65"/>
      <c r="H12" s="65"/>
      <c r="I12" s="65"/>
      <c r="J12" s="66"/>
    </row>
    <row r="13" spans="1:10" x14ac:dyDescent="0.35">
      <c r="G13" s="61" t="s">
        <v>16</v>
      </c>
      <c r="H13" s="61"/>
      <c r="I13" s="6">
        <f>SUMIF(B7:H7,"&gt;=7",B7:H7)</f>
        <v>35</v>
      </c>
    </row>
    <row r="14" spans="1:10" x14ac:dyDescent="0.35">
      <c r="B14" s="73" t="str">
        <f>"la période de paie selectionée est "&amp;C16&amp;" "&amp;C17&amp;" pour le salarié "&amp;B3&amp;" en "&amp;C23</f>
        <v>la période de paie selectionée est Mai 2020 pour le salarié Paul en CDI</v>
      </c>
      <c r="C14" s="74"/>
      <c r="D14" s="74"/>
      <c r="E14" s="75"/>
      <c r="G14" s="61" t="s">
        <v>14</v>
      </c>
      <c r="H14" s="61"/>
      <c r="I14" s="6">
        <f>SUMIF(B7:H7,"&lt;7",B7:H7)</f>
        <v>0</v>
      </c>
    </row>
    <row r="15" spans="1:10" x14ac:dyDescent="0.35">
      <c r="B15" s="76" t="s">
        <v>82</v>
      </c>
      <c r="C15" s="76"/>
      <c r="D15" s="76"/>
      <c r="E15" s="76"/>
      <c r="G15" s="61" t="s">
        <v>15</v>
      </c>
      <c r="H15" s="61"/>
      <c r="I15" s="2">
        <v>7</v>
      </c>
      <c r="J15" s="6">
        <f>SUMIF(B7:H7,I15,B7:H7)</f>
        <v>35</v>
      </c>
    </row>
    <row r="16" spans="1:10" x14ac:dyDescent="0.35">
      <c r="B16" s="44" t="s">
        <v>73</v>
      </c>
      <c r="C16" s="44" t="s">
        <v>83</v>
      </c>
      <c r="D16" s="42"/>
      <c r="E16" s="42"/>
      <c r="G16" s="61" t="s">
        <v>17</v>
      </c>
      <c r="H16" s="61"/>
      <c r="I16" s="2">
        <f>I15</f>
        <v>7</v>
      </c>
      <c r="J16" s="8">
        <f>J15/I16</f>
        <v>5</v>
      </c>
    </row>
    <row r="17" spans="2:10" x14ac:dyDescent="0.35">
      <c r="B17" s="44" t="s">
        <v>74</v>
      </c>
      <c r="C17" s="42">
        <v>2020</v>
      </c>
      <c r="D17" s="42"/>
      <c r="E17" s="42"/>
      <c r="J17" s="8">
        <f>COUNTIF(B7:H7,"="&amp;I16)</f>
        <v>5</v>
      </c>
    </row>
    <row r="18" spans="2:10" x14ac:dyDescent="0.35">
      <c r="B18" s="44" t="s">
        <v>75</v>
      </c>
      <c r="C18" s="42"/>
      <c r="D18" s="42"/>
      <c r="E18" s="42"/>
    </row>
    <row r="19" spans="2:10" x14ac:dyDescent="0.35">
      <c r="B19" s="44" t="s">
        <v>76</v>
      </c>
      <c r="C19" s="42"/>
      <c r="D19" s="42"/>
      <c r="E19" s="42"/>
      <c r="H19" s="13">
        <f>MAX(D4-H4)</f>
        <v>35</v>
      </c>
    </row>
    <row r="20" spans="2:10" x14ac:dyDescent="0.35">
      <c r="B20" s="44" t="s">
        <v>77</v>
      </c>
      <c r="C20" s="43">
        <f>Settings!H7</f>
        <v>36</v>
      </c>
      <c r="D20" s="42"/>
      <c r="E20" s="42"/>
    </row>
    <row r="21" spans="2:10" x14ac:dyDescent="0.35">
      <c r="B21" s="44" t="s">
        <v>26</v>
      </c>
      <c r="C21" s="42">
        <f>ETP</f>
        <v>156</v>
      </c>
      <c r="D21" s="42"/>
      <c r="E21" s="42"/>
    </row>
    <row r="22" spans="2:10" x14ac:dyDescent="0.35">
      <c r="B22" s="44" t="s">
        <v>78</v>
      </c>
      <c r="C22" s="42" t="str">
        <f>IF(I7&gt;=C20,"TC","TP")</f>
        <v>TP</v>
      </c>
      <c r="D22" s="42"/>
      <c r="E22" s="42"/>
    </row>
    <row r="23" spans="2:10" x14ac:dyDescent="0.35">
      <c r="B23" s="44" t="s">
        <v>79</v>
      </c>
      <c r="C23" s="42" t="s">
        <v>29</v>
      </c>
      <c r="D23" s="42"/>
      <c r="E23" s="42"/>
      <c r="I23" s="14">
        <f>MAX(SUM(B7:H7))</f>
        <v>35</v>
      </c>
    </row>
    <row r="24" spans="2:10" x14ac:dyDescent="0.35">
      <c r="B24" s="44" t="s">
        <v>80</v>
      </c>
      <c r="C24" s="42"/>
      <c r="D24" s="42"/>
      <c r="E24" s="42"/>
    </row>
    <row r="25" spans="2:10" x14ac:dyDescent="0.35">
      <c r="B25" s="44" t="s">
        <v>81</v>
      </c>
      <c r="C25" s="42"/>
      <c r="D25" s="42"/>
      <c r="E25" s="42"/>
    </row>
  </sheetData>
  <mergeCells count="10">
    <mergeCell ref="G16:H16"/>
    <mergeCell ref="C12:D12"/>
    <mergeCell ref="E12:J12"/>
    <mergeCell ref="D8:H11"/>
    <mergeCell ref="I9:J11"/>
    <mergeCell ref="B14:E14"/>
    <mergeCell ref="B15:E15"/>
    <mergeCell ref="G13:H13"/>
    <mergeCell ref="G14:H14"/>
    <mergeCell ref="G15:H15"/>
  </mergeCells>
  <conditionalFormatting sqref="J15">
    <cfRule type="cellIs" dxfId="4" priority="5" operator="equal">
      <formula>7</formula>
    </cfRule>
  </conditionalFormatting>
  <conditionalFormatting sqref="B7:J7">
    <cfRule type="cellIs" dxfId="3" priority="4" operator="equal">
      <formula>7</formula>
    </cfRule>
  </conditionalFormatting>
  <conditionalFormatting sqref="B7:H7">
    <cfRule type="cellIs" dxfId="2" priority="1" operator="equal">
      <formula>$C$4</formula>
    </cfRule>
    <cfRule type="cellIs" dxfId="1" priority="2" operator="equal">
      <formula>$C$4</formula>
    </cfRule>
    <cfRule type="cellIs" dxfId="0" priority="3" operator="greaterThan">
      <formula>7</formula>
    </cfRule>
  </conditionalFormatting>
  <dataValidations count="16">
    <dataValidation type="decimal" errorStyle="warning" allowBlank="1" showInputMessage="1" showErrorMessage="1" error="VALEUR NON AUTORISE" sqref="K5" xr:uid="{00000000-0002-0000-0100-000000000000}">
      <formula1>0</formula1>
      <formula2>24</formula2>
    </dataValidation>
    <dataValidation type="decimal" errorStyle="warning" allowBlank="1" showInputMessage="1" showErrorMessage="1" error="C'est pas possible garçon " sqref="I7" xr:uid="{00000000-0002-0000-0100-000001000000}">
      <formula1>0</formula1>
      <formula2>D4-H4</formula2>
    </dataValidation>
    <dataValidation type="decimal" allowBlank="1" showInputMessage="1" showErrorMessage="1" sqref="B7" xr:uid="{00000000-0002-0000-0100-000002000000}">
      <formula1>0</formula1>
      <formula2>MIN($B$7+($D$4-$I$7),$C$4)</formula2>
    </dataValidation>
    <dataValidation type="decimal" allowBlank="1" showInputMessage="1" showErrorMessage="1" sqref="H4" xr:uid="{00000000-0002-0000-0100-000003000000}">
      <formula1>0</formula1>
      <formula2>D4-I7</formula2>
    </dataValidation>
    <dataValidation type="decimal" allowBlank="1" showInputMessage="1" showErrorMessage="1" sqref="C7" xr:uid="{00000000-0002-0000-0100-000004000000}">
      <formula1>0</formula1>
      <formula2>MIN(B7+($D$4-$I$7),$C$4)</formula2>
    </dataValidation>
    <dataValidation type="decimal" allowBlank="1" showInputMessage="1" showErrorMessage="1" sqref="D7" xr:uid="{00000000-0002-0000-0100-000005000000}">
      <formula1>0</formula1>
      <formula2>MIN(B7+($D$4-$I$7),$C$4)</formula2>
    </dataValidation>
    <dataValidation type="decimal" allowBlank="1" showInputMessage="1" showErrorMessage="1" sqref="E7" xr:uid="{00000000-0002-0000-0100-000006000000}">
      <formula1>0</formula1>
      <formula2>MIN(B7+($D$4-$I$7),$C$4)</formula2>
    </dataValidation>
    <dataValidation type="decimal" allowBlank="1" showInputMessage="1" showErrorMessage="1" sqref="F7" xr:uid="{00000000-0002-0000-0100-000007000000}">
      <formula1>0</formula1>
      <formula2>MIN(B7+($D$4-$I$7),$C$4)</formula2>
    </dataValidation>
    <dataValidation type="decimal" allowBlank="1" showInputMessage="1" showErrorMessage="1" sqref="G7" xr:uid="{00000000-0002-0000-0100-000008000000}">
      <formula1>0</formula1>
      <formula2>MIN(B7+($D$4-$I$7),$C$4)</formula2>
    </dataValidation>
    <dataValidation type="decimal" allowBlank="1" showInputMessage="1" showErrorMessage="1" sqref="H7" xr:uid="{00000000-0002-0000-0100-000009000000}">
      <formula1>0</formula1>
      <formula2>MIN(B7+($D$4-$I$7),$C$4)</formula2>
    </dataValidation>
    <dataValidation type="list" allowBlank="1" showInputMessage="1" showErrorMessage="1" sqref="B2" xr:uid="{1D7833A4-B100-46BB-853E-B88BC9988909}">
      <formula1>Service</formula1>
    </dataValidation>
    <dataValidation type="list" allowBlank="1" showInputMessage="1" showErrorMessage="1" sqref="B3" xr:uid="{41A2BBCE-BE98-4009-91D9-9465806D27DB}">
      <formula1>INDIRECT($B$2)</formula1>
    </dataValidation>
    <dataValidation type="list" allowBlank="1" showInputMessage="1" showErrorMessage="1" sqref="A3" xr:uid="{27BB159C-460E-40C6-B517-E5AE8D91DDE2}">
      <formula1>INDIRECT(#REF!)</formula1>
    </dataValidation>
    <dataValidation type="list" allowBlank="1" showInputMessage="1" showErrorMessage="1" sqref="C16" xr:uid="{02ADAEE9-C726-491E-A0BD-4C4ED43F6337}">
      <formula1>"Janvier,Février,Mars,Avril,Mai,Juin,Juillet,Aout,Septembre,Octobre,Novembre,Décembre"</formula1>
    </dataValidation>
    <dataValidation type="list" allowBlank="1" showInputMessage="1" showErrorMessage="1" sqref="C23" xr:uid="{E1CB592B-F6F8-409E-BFA3-966CF6A2843F}">
      <formula1>"CDD,CDI"</formula1>
    </dataValidation>
    <dataValidation type="list" allowBlank="1" showInputMessage="1" showErrorMessage="1" sqref="C17" xr:uid="{BED2CFFF-7EB1-42BF-87A0-28C41DE044A5}">
      <formula1>"2020,2021"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4</xdr:col>
                    <xdr:colOff>742950</xdr:colOff>
                    <xdr:row>2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6</xdr:col>
                    <xdr:colOff>12700</xdr:colOff>
                    <xdr:row>0</xdr:row>
                    <xdr:rowOff>31750</xdr:rowOff>
                  </from>
                  <to>
                    <xdr:col>8</xdr:col>
                    <xdr:colOff>95250</xdr:colOff>
                    <xdr:row>2</xdr:row>
                    <xdr:rowOff>241300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A000000}">
          <x14:formula1>
            <xm:f>Settings!$B$12:$B$14</xm:f>
          </x14:formula1>
          <xm:sqref>J4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13FAE-E0A9-477F-898E-723D5F626B6A}">
  <dimension ref="C4:D5"/>
  <sheetViews>
    <sheetView workbookViewId="0">
      <selection activeCell="D5" sqref="D5"/>
    </sheetView>
  </sheetViews>
  <sheetFormatPr baseColWidth="10" defaultRowHeight="14.5" x14ac:dyDescent="0.35"/>
  <sheetData>
    <row r="4" spans="3:4" x14ac:dyDescent="0.35">
      <c r="C4">
        <f>20*5*4.3</f>
        <v>430</v>
      </c>
      <c r="D4">
        <f>C4*12</f>
        <v>5160</v>
      </c>
    </row>
    <row r="5" spans="3:4" x14ac:dyDescent="0.35">
      <c r="C5">
        <f>6.8/C4</f>
        <v>1.5813953488372091E-2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Settings</vt:lpstr>
      <vt:lpstr>Calcul des heures</vt:lpstr>
      <vt:lpstr>Feuil1</vt:lpstr>
      <vt:lpstr>commercial</vt:lpstr>
      <vt:lpstr>comptable</vt:lpstr>
      <vt:lpstr>ETP</vt:lpstr>
      <vt:lpstr>Service</vt:lpstr>
      <vt:lpstr>TABCCN</vt:lpstr>
      <vt:lpstr>technique</vt:lpstr>
    </vt:vector>
  </TitlesOfParts>
  <Company>UEVE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profil</dc:creator>
  <cp:lastModifiedBy>Imed</cp:lastModifiedBy>
  <dcterms:created xsi:type="dcterms:W3CDTF">2020-01-20T12:30:02Z</dcterms:created>
  <dcterms:modified xsi:type="dcterms:W3CDTF">2020-03-28T22:03:38Z</dcterms:modified>
</cp:coreProperties>
</file>