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elQ\Desktop\"/>
    </mc:Choice>
  </mc:AlternateContent>
  <bookViews>
    <workbookView xWindow="-120" yWindow="-120" windowWidth="20730" windowHeight="11160"/>
  </bookViews>
  <sheets>
    <sheet name="Feuil1" sheetId="1" r:id="rId1"/>
    <sheet name="Feuil2" sheetId="2" r:id="rId2"/>
  </sheets>
  <calcPr calcId="162913" iterate="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16" i="1" l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15" i="1"/>
  <c r="J14" i="2"/>
  <c r="AA15" i="1"/>
  <c r="AD15" i="1"/>
  <c r="AC15" i="1"/>
  <c r="AB15" i="1"/>
  <c r="J16" i="2"/>
  <c r="J15" i="2" l="1"/>
  <c r="AE15" i="1"/>
  <c r="AF15" i="1"/>
  <c r="F7" i="1" l="1"/>
  <c r="P4" i="1"/>
  <c r="P5" i="1" s="1"/>
  <c r="P7" i="1" s="1"/>
  <c r="L9" i="1" s="1"/>
  <c r="L10" i="1" s="1"/>
  <c r="R15" i="1" l="1"/>
  <c r="W15" i="1"/>
  <c r="X15" i="1"/>
  <c r="Q15" i="1" s="1"/>
  <c r="P6" i="1"/>
  <c r="P8" i="1" s="1"/>
  <c r="L11" i="1" s="1"/>
  <c r="L12" i="1" s="1"/>
  <c r="L16" i="1"/>
  <c r="L17" i="1"/>
  <c r="L18" i="1"/>
  <c r="L19" i="1"/>
  <c r="L15" i="1"/>
  <c r="F9" i="1"/>
  <c r="S15" i="1" l="1"/>
  <c r="T15" i="1" s="1"/>
  <c r="V15" i="1" s="1"/>
  <c r="U15" i="1" l="1"/>
  <c r="X16" i="1"/>
  <c r="Q16" i="1" s="1"/>
  <c r="R16" i="1"/>
  <c r="W16" i="1"/>
  <c r="Y15" i="1" l="1"/>
  <c r="Z15" i="1" s="1"/>
  <c r="S16" i="1"/>
  <c r="T16" i="1" s="1"/>
  <c r="W17" i="1"/>
  <c r="X17" i="1"/>
  <c r="Q17" i="1" s="1"/>
  <c r="R17" i="1"/>
  <c r="X18" i="1"/>
  <c r="Q18" i="1" s="1"/>
  <c r="S17" i="1" l="1"/>
  <c r="T17" i="1" s="1"/>
  <c r="V17" i="1" s="1"/>
  <c r="R18" i="1"/>
  <c r="W18" i="1"/>
  <c r="R19" i="1"/>
  <c r="V16" i="1"/>
  <c r="U16" i="1"/>
  <c r="Y16" i="1" s="1"/>
  <c r="Z16" i="1" s="1"/>
  <c r="W19" i="1" l="1"/>
  <c r="AE16" i="1"/>
  <c r="S18" i="1"/>
  <c r="T18" i="1" s="1"/>
  <c r="U18" i="1" s="1"/>
  <c r="AB16" i="1"/>
  <c r="AF16" i="1"/>
  <c r="X20" i="1"/>
  <c r="Q20" i="1" s="1"/>
  <c r="U17" i="1"/>
  <c r="X19" i="1"/>
  <c r="Q19" i="1" s="1"/>
  <c r="AA16" i="1"/>
  <c r="R20" i="1"/>
  <c r="AE17" i="1" l="1"/>
  <c r="Y17" i="1"/>
  <c r="Z17" i="1" s="1"/>
  <c r="V18" i="1"/>
  <c r="AE18" i="1" s="1"/>
  <c r="W20" i="1"/>
  <c r="R21" i="1"/>
  <c r="S20" i="1"/>
  <c r="T20" i="1" s="1"/>
  <c r="S19" i="1"/>
  <c r="T19" i="1" s="1"/>
  <c r="V19" i="1" s="1"/>
  <c r="AB17" i="1"/>
  <c r="AF17" i="1"/>
  <c r="AA17" i="1"/>
  <c r="AD16" i="1"/>
  <c r="AC16" i="1"/>
  <c r="X21" i="1"/>
  <c r="Q21" i="1" s="1"/>
  <c r="Y18" i="1" l="1"/>
  <c r="Z18" i="1" s="1"/>
  <c r="AB18" i="1"/>
  <c r="AA18" i="1"/>
  <c r="AF18" i="1"/>
  <c r="W21" i="1"/>
  <c r="X22" i="1"/>
  <c r="Q22" i="1" s="1"/>
  <c r="U19" i="1"/>
  <c r="S21" i="1"/>
  <c r="T21" i="1" s="1"/>
  <c r="AD17" i="1"/>
  <c r="AC17" i="1"/>
  <c r="V20" i="1"/>
  <c r="U20" i="1"/>
  <c r="AC18" i="1" l="1"/>
  <c r="Y20" i="1"/>
  <c r="Z20" i="1" s="1"/>
  <c r="AE19" i="1"/>
  <c r="Y19" i="1"/>
  <c r="Z19" i="1" s="1"/>
  <c r="R22" i="1"/>
  <c r="W22" i="1"/>
  <c r="AD18" i="1"/>
  <c r="AB19" i="1"/>
  <c r="AF19" i="1"/>
  <c r="AA19" i="1"/>
  <c r="AE20" i="1"/>
  <c r="AF20" i="1"/>
  <c r="AB20" i="1"/>
  <c r="AA20" i="1"/>
  <c r="V21" i="1"/>
  <c r="U21" i="1"/>
  <c r="R23" i="1"/>
  <c r="X23" i="1"/>
  <c r="Q23" i="1" s="1"/>
  <c r="W23" i="1"/>
  <c r="AC19" i="1" l="1"/>
  <c r="AD20" i="1"/>
  <c r="Y21" i="1"/>
  <c r="Z21" i="1" s="1"/>
  <c r="S22" i="1"/>
  <c r="T22" i="1" s="1"/>
  <c r="V22" i="1" s="1"/>
  <c r="AE21" i="1"/>
  <c r="AD19" i="1"/>
  <c r="S23" i="1"/>
  <c r="T23" i="1" s="1"/>
  <c r="V23" i="1" s="1"/>
  <c r="AF21" i="1"/>
  <c r="AB21" i="1"/>
  <c r="AC20" i="1"/>
  <c r="AD21" i="1"/>
  <c r="AA21" i="1"/>
  <c r="R24" i="1"/>
  <c r="X24" i="1"/>
  <c r="Q24" i="1" s="1"/>
  <c r="W24" i="1"/>
  <c r="U22" i="1" l="1"/>
  <c r="S24" i="1"/>
  <c r="T24" i="1" s="1"/>
  <c r="U23" i="1"/>
  <c r="AC21" i="1"/>
  <c r="R25" i="1"/>
  <c r="W25" i="1"/>
  <c r="X25" i="1"/>
  <c r="Q25" i="1" s="1"/>
  <c r="AE23" i="1" l="1"/>
  <c r="Y23" i="1"/>
  <c r="Z23" i="1" s="1"/>
  <c r="AA22" i="1"/>
  <c r="Y22" i="1"/>
  <c r="Z22" i="1" s="1"/>
  <c r="AF22" i="1"/>
  <c r="AE22" i="1"/>
  <c r="AB22" i="1"/>
  <c r="AA23" i="1"/>
  <c r="S25" i="1"/>
  <c r="T25" i="1" s="1"/>
  <c r="U25" i="1" s="1"/>
  <c r="AB23" i="1"/>
  <c r="AF23" i="1"/>
  <c r="V24" i="1"/>
  <c r="U24" i="1"/>
  <c r="R26" i="1"/>
  <c r="W26" i="1"/>
  <c r="X26" i="1"/>
  <c r="Q26" i="1" s="1"/>
  <c r="Y24" i="1" l="1"/>
  <c r="Z24" i="1" s="1"/>
  <c r="AC22" i="1"/>
  <c r="AD22" i="1"/>
  <c r="AE24" i="1"/>
  <c r="V25" i="1"/>
  <c r="AF25" i="1" s="1"/>
  <c r="AF24" i="1"/>
  <c r="AB24" i="1"/>
  <c r="S26" i="1"/>
  <c r="T26" i="1" s="1"/>
  <c r="V26" i="1" s="1"/>
  <c r="AC23" i="1"/>
  <c r="AD23" i="1"/>
  <c r="AA24" i="1"/>
  <c r="R27" i="1"/>
  <c r="X27" i="1"/>
  <c r="Q27" i="1" s="1"/>
  <c r="W27" i="1"/>
  <c r="Y25" i="1" l="1"/>
  <c r="Z25" i="1" s="1"/>
  <c r="AD24" i="1"/>
  <c r="AA25" i="1"/>
  <c r="AE25" i="1"/>
  <c r="AC24" i="1"/>
  <c r="AB25" i="1"/>
  <c r="U26" i="1"/>
  <c r="S27" i="1"/>
  <c r="T27" i="1" s="1"/>
  <c r="R28" i="1"/>
  <c r="W28" i="1"/>
  <c r="X28" i="1"/>
  <c r="Q28" i="1" s="1"/>
  <c r="AE26" i="1" l="1"/>
  <c r="Y26" i="1"/>
  <c r="Z26" i="1" s="1"/>
  <c r="AD25" i="1"/>
  <c r="AC25" i="1"/>
  <c r="AA26" i="1"/>
  <c r="S28" i="1"/>
  <c r="T28" i="1" s="1"/>
  <c r="AB26" i="1"/>
  <c r="AF26" i="1"/>
  <c r="V27" i="1"/>
  <c r="U27" i="1"/>
  <c r="Y27" i="1" s="1"/>
  <c r="Z27" i="1" s="1"/>
  <c r="R29" i="1"/>
  <c r="W29" i="1"/>
  <c r="X29" i="1"/>
  <c r="Q29" i="1" s="1"/>
  <c r="AD26" i="1" l="1"/>
  <c r="AC26" i="1"/>
  <c r="AE27" i="1"/>
  <c r="S29" i="1"/>
  <c r="T29" i="1" s="1"/>
  <c r="AF27" i="1"/>
  <c r="AB27" i="1"/>
  <c r="AA27" i="1"/>
  <c r="AD27" i="1"/>
  <c r="V28" i="1"/>
  <c r="U28" i="1"/>
  <c r="R30" i="1"/>
  <c r="X30" i="1"/>
  <c r="Q30" i="1" s="1"/>
  <c r="W30" i="1"/>
  <c r="Y28" i="1" l="1"/>
  <c r="Z28" i="1" s="1"/>
  <c r="AE28" i="1"/>
  <c r="AC27" i="1"/>
  <c r="S30" i="1"/>
  <c r="T30" i="1" s="1"/>
  <c r="AF28" i="1"/>
  <c r="AB28" i="1"/>
  <c r="AA28" i="1"/>
  <c r="V29" i="1"/>
  <c r="U29" i="1"/>
  <c r="Y29" i="1" l="1"/>
  <c r="Z29" i="1" s="1"/>
  <c r="AC28" i="1"/>
  <c r="AE29" i="1"/>
  <c r="AD28" i="1"/>
  <c r="AF29" i="1"/>
  <c r="AB29" i="1"/>
  <c r="AA29" i="1"/>
  <c r="V30" i="1"/>
  <c r="U30" i="1"/>
  <c r="Y30" i="1" l="1"/>
  <c r="Z30" i="1" s="1"/>
  <c r="AE30" i="1"/>
  <c r="AD29" i="1"/>
  <c r="AA30" i="1"/>
  <c r="AF30" i="1"/>
  <c r="AB30" i="1"/>
  <c r="AC29" i="1"/>
  <c r="AD30" i="1" l="1"/>
  <c r="AC30" i="1"/>
</calcChain>
</file>

<file path=xl/sharedStrings.xml><?xml version="1.0" encoding="utf-8"?>
<sst xmlns="http://schemas.openxmlformats.org/spreadsheetml/2006/main" count="74" uniqueCount="57">
  <si>
    <t>e =</t>
  </si>
  <si>
    <t>mm</t>
  </si>
  <si>
    <t>Rc =</t>
  </si>
  <si>
    <t>Mpa</t>
  </si>
  <si>
    <t>Degrés</t>
  </si>
  <si>
    <t>F =</t>
  </si>
  <si>
    <t>N</t>
  </si>
  <si>
    <t>Re C45</t>
  </si>
  <si>
    <t>Reg C45</t>
  </si>
  <si>
    <t>Epaisseur tôle à cisailler</t>
  </si>
  <si>
    <t>Résistance cisaillement aluminium</t>
  </si>
  <si>
    <t>Angle lame supérieur</t>
  </si>
  <si>
    <t>Effort de coupe</t>
  </si>
  <si>
    <t xml:space="preserve">Résistance élastique </t>
  </si>
  <si>
    <t>Résistance élastique aux glissements</t>
  </si>
  <si>
    <t>L =</t>
  </si>
  <si>
    <t>l =</t>
  </si>
  <si>
    <t>lar =</t>
  </si>
  <si>
    <t>Longueur horizontale lame</t>
  </si>
  <si>
    <t>ex =</t>
  </si>
  <si>
    <t>Excentrique vilbrequin</t>
  </si>
  <si>
    <t>Longueur vilbrequin + bras</t>
  </si>
  <si>
    <t>Largeur tôle</t>
  </si>
  <si>
    <t>x =</t>
  </si>
  <si>
    <t>k =</t>
  </si>
  <si>
    <t>X =</t>
  </si>
  <si>
    <t>K =</t>
  </si>
  <si>
    <t>j =</t>
  </si>
  <si>
    <t>hauteur min entre tôle et lame</t>
  </si>
  <si>
    <t>angle rotation min</t>
  </si>
  <si>
    <t>µ =</t>
  </si>
  <si>
    <t>°</t>
  </si>
  <si>
    <t>α min =</t>
  </si>
  <si>
    <t>angle rotation max</t>
  </si>
  <si>
    <t>α max =</t>
  </si>
  <si>
    <t>Position vilbrequin</t>
  </si>
  <si>
    <t>Initiale</t>
  </si>
  <si>
    <t>/</t>
  </si>
  <si>
    <t>Fin cisaillement</t>
  </si>
  <si>
    <t>Déplacement lame inf(mm)</t>
  </si>
  <si>
    <r>
      <t>sin(</t>
    </r>
    <r>
      <rPr>
        <sz val="11"/>
        <color theme="1"/>
        <rFont val="Calibri"/>
        <family val="2"/>
      </rPr>
      <t>β)</t>
    </r>
  </si>
  <si>
    <t>cos(β)</t>
  </si>
  <si>
    <t>Angle rotation α(Degrés)</t>
  </si>
  <si>
    <t>sin(α)</t>
  </si>
  <si>
    <t>cos(α)</t>
  </si>
  <si>
    <t>Dy (N)</t>
  </si>
  <si>
    <t>Cx (N)</t>
  </si>
  <si>
    <t>r =</t>
  </si>
  <si>
    <t>Rayon arbre</t>
  </si>
  <si>
    <t>Rayon gros vilbrequin excentrique</t>
  </si>
  <si>
    <t>R =</t>
  </si>
  <si>
    <t>B</t>
  </si>
  <si>
    <t>C</t>
  </si>
  <si>
    <t>A</t>
  </si>
  <si>
    <t>β (Degrés)</t>
  </si>
  <si>
    <t>Cvil (N.mm)</t>
  </si>
  <si>
    <t>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</si>
</sst>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11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theme="7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7E6E6"/>
        <bgColor rgb="FFE7E6E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rgb="FF92D05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0" fillId="3" borderId="2" xfId="0" applyFill="1" applyBorder="1"/>
    <xf numFmtId="0" fontId="0" fillId="2" borderId="3" xfId="0" applyFill="1" applyBorder="1"/>
    <xf numFmtId="0" fontId="0" fillId="4" borderId="2" xfId="0" applyFill="1" applyBorder="1"/>
    <xf numFmtId="0" fontId="1" fillId="2" borderId="1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0" fillId="6" borderId="5" xfId="0" applyFill="1" applyBorder="1"/>
    <xf numFmtId="0" fontId="0" fillId="2" borderId="6" xfId="0" applyFill="1" applyBorder="1"/>
    <xf numFmtId="1" fontId="1" fillId="5" borderId="2" xfId="0" applyNumberFormat="1" applyFont="1" applyFill="1" applyBorder="1"/>
    <xf numFmtId="0" fontId="0" fillId="7" borderId="0" xfId="0" applyFill="1"/>
    <xf numFmtId="0" fontId="0" fillId="2" borderId="0" xfId="0" applyFill="1" applyBorder="1"/>
    <xf numFmtId="0" fontId="0" fillId="0" borderId="5" xfId="0" applyBorder="1" applyAlignment="1">
      <alignment horizontal="right"/>
    </xf>
    <xf numFmtId="0" fontId="0" fillId="9" borderId="7" xfId="0" applyFill="1" applyBorder="1"/>
    <xf numFmtId="0" fontId="0" fillId="0" borderId="8" xfId="0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2" fillId="7" borderId="0" xfId="0" applyFont="1" applyFill="1" applyAlignment="1">
      <alignment horizontal="left" vertical="center"/>
    </xf>
    <xf numFmtId="0" fontId="2" fillId="7" borderId="0" xfId="0" applyFont="1" applyFill="1"/>
    <xf numFmtId="0" fontId="2" fillId="8" borderId="0" xfId="0" applyFont="1" applyFill="1"/>
    <xf numFmtId="0" fontId="3" fillId="7" borderId="0" xfId="0" applyFont="1" applyFill="1"/>
    <xf numFmtId="0" fontId="0" fillId="0" borderId="5" xfId="0" applyFill="1" applyBorder="1" applyAlignment="1">
      <alignment horizontal="right"/>
    </xf>
    <xf numFmtId="0" fontId="0" fillId="10" borderId="5" xfId="0" applyFill="1" applyBorder="1"/>
    <xf numFmtId="0" fontId="2" fillId="1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7" borderId="5" xfId="0" applyNumberFormat="1" applyFill="1" applyBorder="1" applyAlignment="1">
      <alignment horizontal="right"/>
    </xf>
    <xf numFmtId="164" fontId="0" fillId="7" borderId="7" xfId="0" applyNumberFormat="1" applyFill="1" applyBorder="1" applyAlignment="1">
      <alignment horizontal="right"/>
    </xf>
    <xf numFmtId="164" fontId="0" fillId="11" borderId="5" xfId="0" applyNumberFormat="1" applyFill="1" applyBorder="1" applyAlignment="1">
      <alignment horizontal="right"/>
    </xf>
    <xf numFmtId="164" fontId="0" fillId="11" borderId="7" xfId="0" applyNumberFormat="1" applyFill="1" applyBorder="1" applyAlignment="1">
      <alignment horizontal="right"/>
    </xf>
    <xf numFmtId="1" fontId="0" fillId="11" borderId="5" xfId="0" applyNumberFormat="1" applyFill="1" applyBorder="1"/>
    <xf numFmtId="1" fontId="0" fillId="7" borderId="0" xfId="0" applyNumberFormat="1" applyFill="1"/>
    <xf numFmtId="0" fontId="0" fillId="13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11" xfId="0" applyFont="1" applyFill="1" applyBorder="1" applyAlignment="1">
      <alignment horizontal="right"/>
    </xf>
    <xf numFmtId="0" fontId="0" fillId="14" borderId="12" xfId="0" applyFill="1" applyBorder="1"/>
    <xf numFmtId="0" fontId="0" fillId="2" borderId="13" xfId="0" applyFill="1" applyBorder="1"/>
    <xf numFmtId="1" fontId="0" fillId="7" borderId="6" xfId="0" applyNumberFormat="1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1" fontId="0" fillId="7" borderId="4" xfId="0" applyNumberFormat="1" applyFill="1" applyBorder="1" applyAlignment="1">
      <alignment horizontal="center"/>
    </xf>
    <xf numFmtId="1" fontId="0" fillId="0" borderId="4" xfId="0" applyNumberFormat="1" applyBorder="1"/>
    <xf numFmtId="0" fontId="0" fillId="0" borderId="0" xfId="0" quotePrefix="1"/>
    <xf numFmtId="1" fontId="0" fillId="0" borderId="0" xfId="0" applyNumberFormat="1"/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1" fontId="0" fillId="7" borderId="5" xfId="0" applyNumberForma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7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542925</xdr:colOff>
          <xdr:row>8</xdr:row>
          <xdr:rowOff>161925</xdr:rowOff>
        </xdr:from>
        <xdr:to>
          <xdr:col>15</xdr:col>
          <xdr:colOff>676275</xdr:colOff>
          <xdr:row>11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30"/>
  <sheetViews>
    <sheetView tabSelected="1" topLeftCell="Q1" zoomScale="80" zoomScaleNormal="80" workbookViewId="0">
      <selection activeCell="AC10" sqref="AC10"/>
    </sheetView>
  </sheetViews>
  <sheetFormatPr baseColWidth="10" defaultRowHeight="15" x14ac:dyDescent="0.25"/>
  <cols>
    <col min="3" max="3" width="8" bestFit="1" customWidth="1"/>
    <col min="4" max="4" width="3.42578125" customWidth="1"/>
    <col min="8" max="8" width="16" customWidth="1"/>
    <col min="9" max="9" width="16.42578125" customWidth="1"/>
    <col min="10" max="10" width="14.140625" customWidth="1"/>
    <col min="11" max="11" width="11.28515625" customWidth="1"/>
    <col min="12" max="12" width="12.85546875" customWidth="1"/>
    <col min="13" max="13" width="12" customWidth="1"/>
    <col min="16" max="16" width="11.28515625" customWidth="1"/>
    <col min="17" max="20" width="14.42578125" customWidth="1"/>
    <col min="26" max="26" width="10.5703125" customWidth="1"/>
    <col min="33" max="33" width="16.28515625" bestFit="1" customWidth="1"/>
  </cols>
  <sheetData>
    <row r="1" spans="1:33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33" x14ac:dyDescent="0.25">
      <c r="A2" s="10"/>
      <c r="B2" s="10"/>
      <c r="C2" s="10"/>
      <c r="D2" s="10"/>
      <c r="E2" s="10"/>
      <c r="F2" s="10"/>
      <c r="G2" s="10"/>
      <c r="H2" s="10"/>
      <c r="I2" s="19" t="s">
        <v>48</v>
      </c>
      <c r="J2" s="10"/>
      <c r="K2" s="34" t="s">
        <v>50</v>
      </c>
      <c r="L2" s="35">
        <v>150</v>
      </c>
      <c r="M2" s="36" t="s">
        <v>1</v>
      </c>
      <c r="O2" s="10"/>
      <c r="P2" s="10"/>
      <c r="Q2" s="10"/>
      <c r="R2" s="10"/>
      <c r="S2" s="10"/>
      <c r="T2" s="10"/>
      <c r="U2" s="10"/>
      <c r="V2" s="10"/>
    </row>
    <row r="3" spans="1:33" x14ac:dyDescent="0.25">
      <c r="A3" s="10"/>
      <c r="B3" s="10"/>
      <c r="C3" s="10"/>
      <c r="D3" s="10"/>
      <c r="E3" s="10"/>
      <c r="F3" s="10"/>
      <c r="G3" s="10"/>
      <c r="H3" s="10"/>
      <c r="I3" s="18" t="s">
        <v>49</v>
      </c>
      <c r="J3" s="10"/>
      <c r="K3" s="6" t="s">
        <v>47</v>
      </c>
      <c r="L3" s="7">
        <v>270</v>
      </c>
      <c r="M3" s="8" t="s">
        <v>1</v>
      </c>
      <c r="O3" s="10"/>
      <c r="P3" s="10"/>
      <c r="Q3" s="10"/>
      <c r="R3" s="10"/>
      <c r="S3" s="10"/>
      <c r="T3" s="10"/>
      <c r="U3" s="10"/>
      <c r="V3" s="10"/>
    </row>
    <row r="4" spans="1:33" x14ac:dyDescent="0.25">
      <c r="A4" s="19" t="s">
        <v>9</v>
      </c>
      <c r="B4" s="19"/>
      <c r="C4" s="19"/>
      <c r="D4" s="10"/>
      <c r="E4" s="1" t="s">
        <v>0</v>
      </c>
      <c r="F4" s="2">
        <v>70</v>
      </c>
      <c r="G4" s="3" t="s">
        <v>1</v>
      </c>
      <c r="H4" s="11"/>
      <c r="I4" s="17" t="s">
        <v>18</v>
      </c>
      <c r="J4" s="18"/>
      <c r="K4" s="12" t="s">
        <v>15</v>
      </c>
      <c r="L4" s="22">
        <v>3597</v>
      </c>
      <c r="M4" s="15" t="s">
        <v>1</v>
      </c>
      <c r="N4" s="10"/>
      <c r="O4" s="12" t="s">
        <v>27</v>
      </c>
      <c r="P4" s="25">
        <f>(L4-L7)/2</f>
        <v>548.5</v>
      </c>
      <c r="Q4" s="10"/>
      <c r="R4" s="10"/>
      <c r="S4" s="10"/>
      <c r="T4" s="10"/>
      <c r="U4" s="10"/>
      <c r="V4" s="10"/>
    </row>
    <row r="5" spans="1:33" x14ac:dyDescent="0.25">
      <c r="A5" s="19" t="s">
        <v>10</v>
      </c>
      <c r="B5" s="19"/>
      <c r="C5" s="19"/>
      <c r="D5" s="10"/>
      <c r="E5" s="1" t="s">
        <v>2</v>
      </c>
      <c r="F5" s="4">
        <v>100</v>
      </c>
      <c r="G5" s="3" t="s">
        <v>3</v>
      </c>
      <c r="H5" s="11"/>
      <c r="I5" s="18" t="s">
        <v>20</v>
      </c>
      <c r="J5" s="18"/>
      <c r="K5" s="12" t="s">
        <v>19</v>
      </c>
      <c r="L5" s="22">
        <v>120</v>
      </c>
      <c r="M5" s="15" t="s">
        <v>1</v>
      </c>
      <c r="N5" s="10"/>
      <c r="O5" s="12" t="s">
        <v>23</v>
      </c>
      <c r="P5" s="25">
        <f>(P4*230)/L4</f>
        <v>35.072282457603556</v>
      </c>
      <c r="Q5" s="10"/>
      <c r="R5" s="10"/>
      <c r="S5" s="10"/>
      <c r="T5" s="10"/>
      <c r="U5" s="10"/>
      <c r="V5" s="10"/>
    </row>
    <row r="6" spans="1:33" x14ac:dyDescent="0.25">
      <c r="A6" s="19" t="s">
        <v>11</v>
      </c>
      <c r="B6" s="19"/>
      <c r="C6" s="19"/>
      <c r="D6" s="10"/>
      <c r="E6" s="1" t="s">
        <v>30</v>
      </c>
      <c r="F6" s="4">
        <v>2.2999999999999998</v>
      </c>
      <c r="G6" s="3" t="s">
        <v>4</v>
      </c>
      <c r="H6" s="11"/>
      <c r="I6" s="18" t="s">
        <v>21</v>
      </c>
      <c r="J6" s="18"/>
      <c r="K6" s="12" t="s">
        <v>16</v>
      </c>
      <c r="L6" s="22">
        <v>330</v>
      </c>
      <c r="M6" s="15" t="s">
        <v>1</v>
      </c>
      <c r="N6" s="10"/>
      <c r="O6" s="12" t="s">
        <v>24</v>
      </c>
      <c r="P6" s="25">
        <f>(230*(L4-P4))/L4</f>
        <v>194.92771754239644</v>
      </c>
      <c r="Q6" s="10"/>
      <c r="R6" s="10"/>
      <c r="S6" s="10"/>
      <c r="T6" s="10"/>
      <c r="U6" s="10"/>
      <c r="V6" s="10"/>
    </row>
    <row r="7" spans="1:33" x14ac:dyDescent="0.25">
      <c r="A7" s="19" t="s">
        <v>12</v>
      </c>
      <c r="B7" s="19"/>
      <c r="C7" s="19"/>
      <c r="D7" s="10"/>
      <c r="E7" s="5" t="s">
        <v>5</v>
      </c>
      <c r="F7" s="9">
        <f>(((F4^2)*F5)/(2*TAN(RADIANS(F6))))</f>
        <v>6099967.416218101</v>
      </c>
      <c r="G7" s="3" t="s">
        <v>6</v>
      </c>
      <c r="H7" s="11"/>
      <c r="I7" s="18" t="s">
        <v>22</v>
      </c>
      <c r="J7" s="18"/>
      <c r="K7" s="12" t="s">
        <v>17</v>
      </c>
      <c r="L7" s="13">
        <v>2500</v>
      </c>
      <c r="M7" s="14" t="s">
        <v>1</v>
      </c>
      <c r="N7" s="10"/>
      <c r="O7" s="12" t="s">
        <v>25</v>
      </c>
      <c r="P7" s="25">
        <f>P5+85-F4</f>
        <v>50.072282457603563</v>
      </c>
      <c r="Q7" s="10"/>
      <c r="R7" s="10"/>
      <c r="S7" s="10"/>
      <c r="T7" s="10"/>
      <c r="U7" s="10"/>
      <c r="V7" s="10"/>
    </row>
    <row r="8" spans="1:33" x14ac:dyDescent="0.25">
      <c r="A8" s="18" t="s">
        <v>13</v>
      </c>
      <c r="B8" s="18"/>
      <c r="C8" s="18"/>
      <c r="D8" s="10"/>
      <c r="E8" s="6" t="s">
        <v>7</v>
      </c>
      <c r="F8" s="7">
        <v>320</v>
      </c>
      <c r="G8" s="8" t="s">
        <v>3</v>
      </c>
      <c r="H8" s="11"/>
      <c r="I8" s="18"/>
      <c r="J8" s="18"/>
      <c r="K8" s="10"/>
      <c r="L8" s="10"/>
      <c r="M8" s="10"/>
      <c r="N8" s="10"/>
      <c r="O8" s="12" t="s">
        <v>26</v>
      </c>
      <c r="P8" s="26">
        <f>P6+85-F4</f>
        <v>209.92771754239641</v>
      </c>
      <c r="Q8" s="10"/>
      <c r="R8" s="10"/>
      <c r="S8" s="10"/>
      <c r="T8" s="10"/>
      <c r="U8" s="10"/>
      <c r="V8" s="10"/>
    </row>
    <row r="9" spans="1:33" x14ac:dyDescent="0.25">
      <c r="A9" s="19" t="s">
        <v>14</v>
      </c>
      <c r="B9" s="19"/>
      <c r="C9" s="19"/>
      <c r="D9" s="10"/>
      <c r="E9" s="6" t="s">
        <v>8</v>
      </c>
      <c r="F9" s="7">
        <f>0.7*F8</f>
        <v>224</v>
      </c>
      <c r="G9" s="8" t="s">
        <v>3</v>
      </c>
      <c r="H9" s="11"/>
      <c r="I9" s="18" t="s">
        <v>28</v>
      </c>
      <c r="J9" s="18"/>
      <c r="K9" s="12" t="s">
        <v>25</v>
      </c>
      <c r="L9" s="27">
        <f>P7</f>
        <v>50.072282457603563</v>
      </c>
      <c r="M9" s="15" t="s">
        <v>1</v>
      </c>
      <c r="N9" s="10"/>
      <c r="O9" s="10"/>
      <c r="P9" s="10"/>
      <c r="Q9" s="10"/>
      <c r="R9" s="10"/>
      <c r="S9" s="10"/>
      <c r="T9" s="10"/>
      <c r="U9" s="10"/>
      <c r="V9" s="10"/>
    </row>
    <row r="10" spans="1:33" x14ac:dyDescent="0.25">
      <c r="A10" s="10"/>
      <c r="B10" s="10"/>
      <c r="C10" s="10"/>
      <c r="D10" s="10"/>
      <c r="E10" s="10"/>
      <c r="F10" s="10"/>
      <c r="G10" s="10"/>
      <c r="H10" s="10"/>
      <c r="I10" s="18" t="s">
        <v>29</v>
      </c>
      <c r="K10" s="21" t="s">
        <v>32</v>
      </c>
      <c r="L10" s="29">
        <f>DEGREES(ASIN((120-L9)/L5))</f>
        <v>35.642855332442871</v>
      </c>
      <c r="M10" s="15" t="s">
        <v>31</v>
      </c>
      <c r="N10" s="10"/>
      <c r="O10" s="10"/>
      <c r="P10" s="10"/>
      <c r="Q10" s="10"/>
      <c r="R10" s="10"/>
      <c r="S10" s="10"/>
      <c r="T10" s="10"/>
      <c r="U10" s="10"/>
      <c r="V10" s="10"/>
    </row>
    <row r="11" spans="1:33" x14ac:dyDescent="0.25">
      <c r="A11" s="10"/>
      <c r="B11" s="10"/>
      <c r="C11" s="10"/>
      <c r="D11" s="10"/>
      <c r="E11" s="10"/>
      <c r="F11" s="10"/>
      <c r="G11" s="10"/>
      <c r="H11" s="10"/>
      <c r="I11" s="18" t="s">
        <v>28</v>
      </c>
      <c r="J11" s="10"/>
      <c r="K11" s="16" t="s">
        <v>26</v>
      </c>
      <c r="L11" s="28">
        <f>P8</f>
        <v>209.92771754239641</v>
      </c>
      <c r="M11" s="14" t="s">
        <v>1</v>
      </c>
      <c r="N11" s="10"/>
      <c r="O11" s="10"/>
      <c r="P11" s="10"/>
      <c r="Q11" s="10"/>
      <c r="R11" s="10"/>
      <c r="S11" s="10"/>
      <c r="T11" s="10"/>
      <c r="U11" s="30"/>
      <c r="V11" s="10"/>
    </row>
    <row r="12" spans="1:33" x14ac:dyDescent="0.25">
      <c r="A12" s="10"/>
      <c r="B12" s="10"/>
      <c r="C12" s="10"/>
      <c r="D12" s="10"/>
      <c r="E12" s="10"/>
      <c r="F12" s="10"/>
      <c r="G12" s="10"/>
      <c r="H12" s="10"/>
      <c r="I12" s="18" t="s">
        <v>33</v>
      </c>
      <c r="K12" s="21" t="s">
        <v>34</v>
      </c>
      <c r="L12" s="29">
        <f>DEGREES(ASIN((120-L11)/L5))</f>
        <v>-48.538227054872401</v>
      </c>
      <c r="M12" s="15" t="s">
        <v>31</v>
      </c>
      <c r="N12" s="10"/>
      <c r="O12" s="10"/>
      <c r="P12" s="10"/>
      <c r="Q12" s="10"/>
      <c r="R12" s="10"/>
      <c r="S12" s="10"/>
      <c r="T12" s="10"/>
      <c r="U12" s="10"/>
      <c r="V12" s="10"/>
    </row>
    <row r="13" spans="1:33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33" x14ac:dyDescent="0.25">
      <c r="A14" s="10"/>
      <c r="B14" s="10"/>
      <c r="C14" s="10"/>
      <c r="D14" s="10"/>
      <c r="E14" s="20"/>
      <c r="F14" s="10"/>
      <c r="G14" s="10"/>
      <c r="H14" s="10"/>
      <c r="I14" s="23" t="s">
        <v>35</v>
      </c>
      <c r="J14" s="46" t="s">
        <v>42</v>
      </c>
      <c r="K14" s="46"/>
      <c r="L14" s="46" t="s">
        <v>39</v>
      </c>
      <c r="M14" s="46"/>
      <c r="N14" s="10"/>
      <c r="O14" s="49" t="s">
        <v>42</v>
      </c>
      <c r="P14" s="50"/>
      <c r="Q14" s="38" t="s">
        <v>51</v>
      </c>
      <c r="R14" s="38" t="s">
        <v>52</v>
      </c>
      <c r="S14" s="38" t="s">
        <v>53</v>
      </c>
      <c r="T14" s="39" t="s">
        <v>54</v>
      </c>
      <c r="U14" s="31" t="s">
        <v>40</v>
      </c>
      <c r="V14" s="31" t="s">
        <v>41</v>
      </c>
      <c r="W14" s="31" t="s">
        <v>43</v>
      </c>
      <c r="X14" s="31" t="s">
        <v>44</v>
      </c>
      <c r="Y14" s="31" t="s">
        <v>45</v>
      </c>
      <c r="Z14" s="31" t="s">
        <v>46</v>
      </c>
      <c r="AA14" s="31">
        <v>1</v>
      </c>
      <c r="AB14" s="31">
        <v>2</v>
      </c>
      <c r="AC14" s="31">
        <v>3</v>
      </c>
      <c r="AD14" s="31">
        <v>4</v>
      </c>
      <c r="AE14" s="31">
        <v>5</v>
      </c>
      <c r="AF14" s="31">
        <v>6</v>
      </c>
      <c r="AG14" s="31" t="s">
        <v>55</v>
      </c>
    </row>
    <row r="15" spans="1:33" x14ac:dyDescent="0.25">
      <c r="A15" s="10"/>
      <c r="B15" s="10"/>
      <c r="C15" s="10"/>
      <c r="D15" s="10"/>
      <c r="E15" s="10"/>
      <c r="F15" s="10"/>
      <c r="H15" s="10"/>
      <c r="I15" s="24" t="s">
        <v>36</v>
      </c>
      <c r="J15" s="45">
        <v>90</v>
      </c>
      <c r="K15" s="45"/>
      <c r="L15" s="44">
        <f>120-$L$5*SIN(RADIANS(J15))</f>
        <v>0</v>
      </c>
      <c r="M15" s="44"/>
      <c r="N15" s="10"/>
      <c r="O15" s="47">
        <v>36</v>
      </c>
      <c r="P15" s="48"/>
      <c r="Q15" s="40">
        <f t="shared" ref="Q15:Q30" si="0">DEGREES(ASIN((X15*$L$5)/$L$6))</f>
        <v>17.108852570301728</v>
      </c>
      <c r="R15" s="40">
        <f t="shared" ref="R15:R30" si="1">90+O15</f>
        <v>126</v>
      </c>
      <c r="S15" s="40">
        <f>180-(Q15+R15)</f>
        <v>36.891147429698265</v>
      </c>
      <c r="T15" s="40">
        <f>S15-90</f>
        <v>-53.108852570301735</v>
      </c>
      <c r="U15" s="32">
        <f t="shared" ref="U15:U30" si="2">SIN(RADIANS(T15))</f>
        <v>-0.79977741776854372</v>
      </c>
      <c r="V15" s="33">
        <f t="shared" ref="V15:V30" si="3">COS(RADIANS(T15))</f>
        <v>0.60029666168277185</v>
      </c>
      <c r="W15" s="33">
        <f t="shared" ref="W15:W30" si="4">SIN(RADIANS(O15))</f>
        <v>0.58778525229247314</v>
      </c>
      <c r="X15" s="33">
        <f t="shared" ref="X15:X30" si="5">COS(RADIANS(O15))</f>
        <v>0.80901699437494745</v>
      </c>
      <c r="Y15" s="41">
        <f t="shared" ref="Y15:Y30" si="6">(-$F$7)/((U15*W15)-(V15*X15))</f>
        <v>6382404.3014467116</v>
      </c>
      <c r="Z15" s="41">
        <f t="shared" ref="Z15:Z30" si="7">Y15*((U15*X15)+(W15*V15))</f>
        <v>-1877626.7435789662</v>
      </c>
      <c r="AA15" s="41">
        <f>(-$L$5*X15)-$L$3*((U15*X15)+(V15*W15))</f>
        <v>-17.651279877271548</v>
      </c>
      <c r="AB15" s="41">
        <f>(-$L$5*W15)+$L$3*((V15*X15)-(U15*W15))</f>
        <v>187.51761423208382</v>
      </c>
      <c r="AC15" s="41">
        <f>-Y15*((U15*X15)+(V15*W15))</f>
        <v>1877626.7435789662</v>
      </c>
      <c r="AD15" s="41">
        <f>-Y15*((U15*W15)-(V15*X15))</f>
        <v>6099967.416218101</v>
      </c>
      <c r="AE15" s="41">
        <f t="shared" ref="AE15:AE30" si="8">(-$L$5*X15)-$L$6*((U15*X15)+(W15*V15))</f>
        <v>0</v>
      </c>
      <c r="AF15" s="41">
        <f t="shared" ref="AF15:AF30" si="9">(-$L$5*W15)+$L$6*((V15*X15)-(U15*W15))</f>
        <v>244.8624685670128</v>
      </c>
      <c r="AG15" s="41">
        <f>-AA15*AD15+AB15*AC15+AF15*Z15</f>
        <v>0</v>
      </c>
    </row>
    <row r="16" spans="1:33" x14ac:dyDescent="0.25">
      <c r="A16" s="10"/>
      <c r="B16" s="10"/>
      <c r="C16" s="10"/>
      <c r="D16" s="10"/>
      <c r="E16" s="10"/>
      <c r="F16" s="10"/>
      <c r="G16" s="10"/>
      <c r="H16" s="10"/>
      <c r="I16" s="24" t="s">
        <v>37</v>
      </c>
      <c r="J16" s="45">
        <v>45</v>
      </c>
      <c r="K16" s="45"/>
      <c r="L16" s="44">
        <f>120-$L$5*SIN(RADIANS(J16))</f>
        <v>35.147186257614308</v>
      </c>
      <c r="M16" s="44"/>
      <c r="N16" s="10"/>
      <c r="O16" s="47">
        <v>30</v>
      </c>
      <c r="P16" s="48"/>
      <c r="Q16" s="40">
        <f t="shared" si="0"/>
        <v>18.35588344098586</v>
      </c>
      <c r="R16" s="40">
        <f t="shared" si="1"/>
        <v>120</v>
      </c>
      <c r="S16" s="40">
        <f t="shared" ref="S16:S30" si="10">180-(Q16+R16)</f>
        <v>41.644116559014151</v>
      </c>
      <c r="T16" s="40">
        <f t="shared" ref="T16:T30" si="11">S16-90</f>
        <v>-48.355883440985849</v>
      </c>
      <c r="U16" s="32">
        <f t="shared" si="2"/>
        <v>-0.74728665949593398</v>
      </c>
      <c r="V16" s="33">
        <f t="shared" si="3"/>
        <v>0.6645018047676079</v>
      </c>
      <c r="W16" s="33">
        <f t="shared" si="4"/>
        <v>0.49999999999999994</v>
      </c>
      <c r="X16" s="33">
        <f t="shared" si="5"/>
        <v>0.86602540378443871</v>
      </c>
      <c r="Y16" s="41">
        <f t="shared" si="6"/>
        <v>6426980.0432708738</v>
      </c>
      <c r="Z16" s="41">
        <f t="shared" si="7"/>
        <v>-2023973.8134866126</v>
      </c>
      <c r="AA16" s="41">
        <f t="shared" ref="AA15:AA30" si="12">(-$L$5*X16)-$L$3*((U16*X16)+(W16*V16))</f>
        <v>-18.895099718933253</v>
      </c>
      <c r="AB16" s="41">
        <f t="shared" ref="AB15:AB30" si="13">(-$L$5*W16)+$L$3*((V16*X16)-(U16*W16))</f>
        <v>196.26206885507713</v>
      </c>
      <c r="AC16" s="41">
        <f t="shared" ref="AC15:AC30" si="14">-Y16*((U16*X16)+(W16*V16))</f>
        <v>2023973.8134866126</v>
      </c>
      <c r="AD16" s="41">
        <f t="shared" ref="AD15:AD30" si="15">-Y16*((U16*W16)-(X16*V16))</f>
        <v>6099967.416218101</v>
      </c>
      <c r="AE16" s="41">
        <f t="shared" si="8"/>
        <v>0</v>
      </c>
      <c r="AF16" s="41">
        <f t="shared" si="9"/>
        <v>253.20919526731649</v>
      </c>
      <c r="AG16" s="41">
        <f t="shared" ref="AG16:AG30" si="16">-AA16*AD16+AB16*AC16+AF16*Z16</f>
        <v>0</v>
      </c>
    </row>
    <row r="17" spans="1:33" x14ac:dyDescent="0.25">
      <c r="A17" s="10"/>
      <c r="B17" s="10"/>
      <c r="C17" s="10"/>
      <c r="D17" s="10"/>
      <c r="E17" s="10"/>
      <c r="F17" s="10"/>
      <c r="G17" s="10"/>
      <c r="H17" s="10"/>
      <c r="I17" s="24" t="s">
        <v>37</v>
      </c>
      <c r="J17" s="45">
        <v>0</v>
      </c>
      <c r="K17" s="45"/>
      <c r="L17" s="44">
        <f>120-$L$5*SIN(RADIANS(J17))</f>
        <v>120</v>
      </c>
      <c r="M17" s="44"/>
      <c r="N17" s="10"/>
      <c r="O17" s="47">
        <v>24</v>
      </c>
      <c r="P17" s="48"/>
      <c r="Q17" s="40">
        <f t="shared" si="0"/>
        <v>19.402260711804598</v>
      </c>
      <c r="R17" s="40">
        <f t="shared" si="1"/>
        <v>114</v>
      </c>
      <c r="S17" s="40">
        <f t="shared" si="10"/>
        <v>46.597739288195413</v>
      </c>
      <c r="T17" s="40">
        <f t="shared" si="11"/>
        <v>-43.402260711804587</v>
      </c>
      <c r="U17" s="32">
        <f t="shared" si="2"/>
        <v>-0.68711617862786134</v>
      </c>
      <c r="V17" s="33">
        <f t="shared" si="3"/>
        <v>0.72654756008663668</v>
      </c>
      <c r="W17" s="33">
        <f t="shared" si="4"/>
        <v>0.40673664307580021</v>
      </c>
      <c r="X17" s="33">
        <f t="shared" si="5"/>
        <v>0.91354545764260087</v>
      </c>
      <c r="Y17" s="41">
        <f t="shared" si="6"/>
        <v>6467245.1721980004</v>
      </c>
      <c r="Z17" s="41">
        <f t="shared" si="7"/>
        <v>-2148408.1638263706</v>
      </c>
      <c r="AA17" s="41">
        <f t="shared" si="12"/>
        <v>-19.931900894020458</v>
      </c>
      <c r="AB17" s="41">
        <f t="shared" si="13"/>
        <v>205.85818164859401</v>
      </c>
      <c r="AC17" s="41">
        <f t="shared" si="14"/>
        <v>2148408.1638263706</v>
      </c>
      <c r="AD17" s="41">
        <f t="shared" si="15"/>
        <v>6099967.416218101</v>
      </c>
      <c r="AE17" s="41">
        <f t="shared" si="8"/>
        <v>0</v>
      </c>
      <c r="AF17" s="41">
        <f t="shared" si="9"/>
        <v>262.45075471919176</v>
      </c>
      <c r="AG17" s="41">
        <f t="shared" si="16"/>
        <v>0</v>
      </c>
    </row>
    <row r="18" spans="1:33" x14ac:dyDescent="0.25">
      <c r="A18" s="10"/>
      <c r="B18" s="10"/>
      <c r="C18" s="10"/>
      <c r="D18" s="10"/>
      <c r="E18" s="10"/>
      <c r="F18" s="10"/>
      <c r="G18" s="10"/>
      <c r="H18" s="10"/>
      <c r="I18" s="24" t="s">
        <v>37</v>
      </c>
      <c r="J18" s="45">
        <v>-45</v>
      </c>
      <c r="K18" s="45"/>
      <c r="L18" s="44">
        <f>120-$L$5*SIN(RADIANS(J18))</f>
        <v>204.85281374238571</v>
      </c>
      <c r="M18" s="44"/>
      <c r="N18" s="10"/>
      <c r="O18" s="47">
        <v>18</v>
      </c>
      <c r="P18" s="48"/>
      <c r="Q18" s="40">
        <f t="shared" si="0"/>
        <v>20.233003561533145</v>
      </c>
      <c r="R18" s="40">
        <f t="shared" si="1"/>
        <v>108</v>
      </c>
      <c r="S18" s="40">
        <f t="shared" si="10"/>
        <v>51.766996438466862</v>
      </c>
      <c r="T18" s="40">
        <f t="shared" si="11"/>
        <v>-38.233003561533138</v>
      </c>
      <c r="U18" s="32">
        <f t="shared" si="2"/>
        <v>-0.61886096266558821</v>
      </c>
      <c r="V18" s="33">
        <f t="shared" si="3"/>
        <v>0.78550054671440017</v>
      </c>
      <c r="W18" s="33">
        <f t="shared" si="4"/>
        <v>0.3090169943749474</v>
      </c>
      <c r="X18" s="33">
        <f t="shared" si="5"/>
        <v>0.95105651629515353</v>
      </c>
      <c r="Y18" s="41">
        <f t="shared" si="6"/>
        <v>6501126.111262802</v>
      </c>
      <c r="Z18" s="41">
        <f t="shared" si="7"/>
        <v>-2248341.218681111</v>
      </c>
      <c r="AA18" s="41">
        <f t="shared" si="12"/>
        <v>-20.750323991894319</v>
      </c>
      <c r="AB18" s="41">
        <f t="shared" si="13"/>
        <v>216.25733206876777</v>
      </c>
      <c r="AC18" s="41">
        <f t="shared" si="14"/>
        <v>2248341.218681111</v>
      </c>
      <c r="AD18" s="41">
        <f t="shared" si="15"/>
        <v>6099967.416218101</v>
      </c>
      <c r="AE18" s="41">
        <f t="shared" si="8"/>
        <v>0</v>
      </c>
      <c r="AF18" s="41">
        <f t="shared" si="9"/>
        <v>272.55497015627037</v>
      </c>
      <c r="AG18" s="41">
        <f t="shared" si="16"/>
        <v>0</v>
      </c>
    </row>
    <row r="19" spans="1:33" x14ac:dyDescent="0.25">
      <c r="A19" s="10"/>
      <c r="B19" s="10"/>
      <c r="C19" s="10"/>
      <c r="D19" s="10"/>
      <c r="E19" s="10"/>
      <c r="F19" s="10"/>
      <c r="G19" s="10"/>
      <c r="H19" s="10"/>
      <c r="I19" s="24" t="s">
        <v>38</v>
      </c>
      <c r="J19" s="45">
        <v>-90</v>
      </c>
      <c r="K19" s="45"/>
      <c r="L19" s="44">
        <f>120-$L$5*SIN(RADIANS(J19))</f>
        <v>240</v>
      </c>
      <c r="M19" s="44"/>
      <c r="N19" s="10"/>
      <c r="O19" s="47">
        <v>12</v>
      </c>
      <c r="P19" s="48"/>
      <c r="Q19" s="40">
        <f t="shared" si="0"/>
        <v>20.835741051716401</v>
      </c>
      <c r="R19" s="40">
        <f t="shared" si="1"/>
        <v>102</v>
      </c>
      <c r="S19" s="40">
        <f t="shared" si="10"/>
        <v>57.164258948283603</v>
      </c>
      <c r="T19" s="40">
        <f t="shared" si="11"/>
        <v>-32.835741051716397</v>
      </c>
      <c r="U19" s="32">
        <f t="shared" si="2"/>
        <v>-0.54223244948496696</v>
      </c>
      <c r="V19" s="33">
        <f t="shared" si="3"/>
        <v>0.84022852291833849</v>
      </c>
      <c r="W19" s="33">
        <f t="shared" si="4"/>
        <v>0.20791169081775934</v>
      </c>
      <c r="X19" s="33">
        <f t="shared" si="5"/>
        <v>0.97814760073380569</v>
      </c>
      <c r="Y19" s="41">
        <f t="shared" si="6"/>
        <v>6526793.7568274345</v>
      </c>
      <c r="Z19" s="41">
        <f t="shared" si="7"/>
        <v>-2321515.5104455035</v>
      </c>
      <c r="AA19" s="41">
        <f t="shared" si="12"/>
        <v>-21.341402197828529</v>
      </c>
      <c r="AB19" s="41">
        <f t="shared" si="13"/>
        <v>227.39367147219525</v>
      </c>
      <c r="AC19" s="41">
        <f t="shared" si="14"/>
        <v>2321515.5104455035</v>
      </c>
      <c r="AD19" s="41">
        <f t="shared" si="15"/>
        <v>6099967.416218101</v>
      </c>
      <c r="AE19" s="41">
        <f t="shared" si="8"/>
        <v>0</v>
      </c>
      <c r="AF19" s="41">
        <f t="shared" si="9"/>
        <v>283.46991022115674</v>
      </c>
      <c r="AG19" s="41">
        <f t="shared" si="16"/>
        <v>0</v>
      </c>
    </row>
    <row r="20" spans="1:33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47">
        <v>6</v>
      </c>
      <c r="P20" s="48"/>
      <c r="Q20" s="40">
        <f t="shared" si="0"/>
        <v>21.201214075825735</v>
      </c>
      <c r="R20" s="40">
        <f t="shared" si="1"/>
        <v>96</v>
      </c>
      <c r="S20" s="40">
        <f t="shared" si="10"/>
        <v>62.798785924174268</v>
      </c>
      <c r="T20" s="40">
        <f t="shared" si="11"/>
        <v>-27.201214075825732</v>
      </c>
      <c r="U20" s="32">
        <f t="shared" si="2"/>
        <v>-0.45711677335151557</v>
      </c>
      <c r="V20" s="33">
        <f t="shared" si="3"/>
        <v>0.88940668736000583</v>
      </c>
      <c r="W20" s="33">
        <f t="shared" si="4"/>
        <v>0.10452846326765347</v>
      </c>
      <c r="X20" s="33">
        <f t="shared" si="5"/>
        <v>0.99452189536827329</v>
      </c>
      <c r="Y20" s="41">
        <f t="shared" si="6"/>
        <v>6542810.0678573726</v>
      </c>
      <c r="Z20" s="41">
        <f t="shared" si="7"/>
        <v>-2366170.1344436849</v>
      </c>
      <c r="AA20" s="41">
        <f t="shared" si="12"/>
        <v>-21.698659535307812</v>
      </c>
      <c r="AB20" s="41">
        <f t="shared" si="13"/>
        <v>239.18194175395553</v>
      </c>
      <c r="AC20" s="41">
        <f t="shared" si="14"/>
        <v>2366170.1344436849</v>
      </c>
      <c r="AD20" s="41">
        <f t="shared" si="15"/>
        <v>6099967.416218101</v>
      </c>
      <c r="AE20" s="41">
        <f t="shared" si="8"/>
        <v>0</v>
      </c>
      <c r="AF20" s="41">
        <f t="shared" si="9"/>
        <v>295.12091005308304</v>
      </c>
      <c r="AG20" s="41">
        <f t="shared" si="16"/>
        <v>0</v>
      </c>
    </row>
    <row r="21" spans="1:33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47">
        <v>0</v>
      </c>
      <c r="P21" s="48"/>
      <c r="Q21" s="40">
        <f t="shared" si="0"/>
        <v>21.323686263497926</v>
      </c>
      <c r="R21" s="40">
        <f t="shared" si="1"/>
        <v>90</v>
      </c>
      <c r="S21" s="40">
        <f t="shared" si="10"/>
        <v>68.676313736502067</v>
      </c>
      <c r="T21" s="40">
        <f t="shared" si="11"/>
        <v>-21.323686263497933</v>
      </c>
      <c r="U21" s="32">
        <f t="shared" si="2"/>
        <v>-0.3636363636363637</v>
      </c>
      <c r="V21" s="33">
        <f t="shared" si="3"/>
        <v>0.93154097872359987</v>
      </c>
      <c r="W21" s="33">
        <f t="shared" si="4"/>
        <v>0</v>
      </c>
      <c r="X21" s="33">
        <f t="shared" si="5"/>
        <v>1</v>
      </c>
      <c r="Y21" s="41">
        <f t="shared" si="6"/>
        <v>6548254.5111180125</v>
      </c>
      <c r="Z21" s="41">
        <f t="shared" si="7"/>
        <v>-2381183.4585883687</v>
      </c>
      <c r="AA21" s="41">
        <f t="shared" si="12"/>
        <v>-21.818181818181799</v>
      </c>
      <c r="AB21" s="41">
        <f t="shared" si="13"/>
        <v>251.51606425537196</v>
      </c>
      <c r="AC21" s="41">
        <f t="shared" si="14"/>
        <v>2381183.4585883687</v>
      </c>
      <c r="AD21" s="41">
        <f t="shared" si="15"/>
        <v>6099967.416218101</v>
      </c>
      <c r="AE21" s="41">
        <f t="shared" si="8"/>
        <v>0</v>
      </c>
      <c r="AF21" s="41">
        <f t="shared" si="9"/>
        <v>307.40852297878797</v>
      </c>
      <c r="AG21" s="41">
        <f t="shared" si="16"/>
        <v>0</v>
      </c>
    </row>
    <row r="22" spans="1:33" x14ac:dyDescent="0.25">
      <c r="A22" s="10"/>
      <c r="B22" s="10"/>
      <c r="C22" s="10"/>
      <c r="D22" s="10"/>
      <c r="J22" s="10"/>
      <c r="K22" s="10"/>
      <c r="L22" s="10"/>
      <c r="M22" s="10"/>
      <c r="N22" s="10"/>
      <c r="O22" s="47">
        <v>-6</v>
      </c>
      <c r="P22" s="48"/>
      <c r="Q22" s="40">
        <f t="shared" si="0"/>
        <v>21.201214075825735</v>
      </c>
      <c r="R22" s="40">
        <f t="shared" si="1"/>
        <v>84</v>
      </c>
      <c r="S22" s="40">
        <f t="shared" si="10"/>
        <v>74.798785924174268</v>
      </c>
      <c r="T22" s="40">
        <f t="shared" si="11"/>
        <v>-15.201214075825732</v>
      </c>
      <c r="U22" s="32">
        <f t="shared" si="2"/>
        <v>-0.26220962691532274</v>
      </c>
      <c r="V22" s="33">
        <f t="shared" si="3"/>
        <v>0.96501093856646369</v>
      </c>
      <c r="W22" s="33">
        <f t="shared" si="4"/>
        <v>-0.10452846326765347</v>
      </c>
      <c r="X22" s="33">
        <f t="shared" si="5"/>
        <v>0.99452189536827329</v>
      </c>
      <c r="Y22" s="41">
        <f t="shared" si="6"/>
        <v>6542810.0678573726</v>
      </c>
      <c r="Z22" s="41">
        <f t="shared" si="7"/>
        <v>-2366170.1344436849</v>
      </c>
      <c r="AA22" s="41">
        <f t="shared" si="12"/>
        <v>-21.698659535307812</v>
      </c>
      <c r="AB22" s="41">
        <f t="shared" si="13"/>
        <v>264.26877293819234</v>
      </c>
      <c r="AC22" s="41">
        <f t="shared" si="14"/>
        <v>2366170.1344436849</v>
      </c>
      <c r="AD22" s="41">
        <f t="shared" si="15"/>
        <v>6099967.416218101</v>
      </c>
      <c r="AE22" s="41">
        <f t="shared" si="8"/>
        <v>0</v>
      </c>
      <c r="AF22" s="41">
        <f t="shared" si="9"/>
        <v>320.20774123731991</v>
      </c>
      <c r="AG22" s="41">
        <f t="shared" si="16"/>
        <v>0</v>
      </c>
    </row>
    <row r="23" spans="1:33" x14ac:dyDescent="0.25">
      <c r="N23" s="10"/>
      <c r="O23" s="47">
        <v>-12</v>
      </c>
      <c r="P23" s="48"/>
      <c r="Q23" s="40">
        <f t="shared" si="0"/>
        <v>20.835741051716401</v>
      </c>
      <c r="R23" s="40">
        <f t="shared" si="1"/>
        <v>78</v>
      </c>
      <c r="S23" s="40">
        <f t="shared" si="10"/>
        <v>81.164258948283603</v>
      </c>
      <c r="T23" s="40">
        <f t="shared" si="11"/>
        <v>-8.835741051716397</v>
      </c>
      <c r="U23" s="32">
        <f t="shared" si="2"/>
        <v>-0.1536022623850696</v>
      </c>
      <c r="V23" s="33">
        <f t="shared" si="3"/>
        <v>0.98813275676408396</v>
      </c>
      <c r="W23" s="33">
        <f t="shared" si="4"/>
        <v>-0.20791169081775934</v>
      </c>
      <c r="X23" s="33">
        <f t="shared" si="5"/>
        <v>0.97814760073380569</v>
      </c>
      <c r="Y23" s="41">
        <f t="shared" si="6"/>
        <v>6526793.7568274345</v>
      </c>
      <c r="Z23" s="41">
        <f t="shared" si="7"/>
        <v>-2321515.510445504</v>
      </c>
      <c r="AA23" s="41">
        <f t="shared" si="12"/>
        <v>-21.341402197828515</v>
      </c>
      <c r="AB23" s="41">
        <f t="shared" si="13"/>
        <v>277.2924772684575</v>
      </c>
      <c r="AC23" s="41">
        <f t="shared" si="14"/>
        <v>2321515.510445504</v>
      </c>
      <c r="AD23" s="41">
        <f t="shared" si="15"/>
        <v>6099967.416218101</v>
      </c>
      <c r="AE23" s="41">
        <f t="shared" si="8"/>
        <v>0</v>
      </c>
      <c r="AF23" s="41">
        <f t="shared" si="9"/>
        <v>333.36871601741893</v>
      </c>
      <c r="AG23" s="41">
        <f t="shared" si="16"/>
        <v>0</v>
      </c>
    </row>
    <row r="24" spans="1:33" x14ac:dyDescent="0.25">
      <c r="N24" s="10"/>
      <c r="O24" s="47">
        <v>-18</v>
      </c>
      <c r="P24" s="48"/>
      <c r="Q24" s="40">
        <f t="shared" si="0"/>
        <v>20.233003561533145</v>
      </c>
      <c r="R24" s="40">
        <f t="shared" si="1"/>
        <v>72</v>
      </c>
      <c r="S24" s="40">
        <f t="shared" si="10"/>
        <v>87.766996438466862</v>
      </c>
      <c r="T24" s="40">
        <f t="shared" si="11"/>
        <v>-2.2330035615331383</v>
      </c>
      <c r="U24" s="32">
        <f t="shared" si="2"/>
        <v>-3.8963398925301485E-2</v>
      </c>
      <c r="V24" s="33">
        <f t="shared" si="3"/>
        <v>0.99924063845711752</v>
      </c>
      <c r="W24" s="33">
        <f t="shared" si="4"/>
        <v>-0.3090169943749474</v>
      </c>
      <c r="X24" s="33">
        <f t="shared" si="5"/>
        <v>0.95105651629515353</v>
      </c>
      <c r="Y24" s="41">
        <f t="shared" si="6"/>
        <v>6501126.111262802</v>
      </c>
      <c r="Z24" s="41">
        <f t="shared" si="7"/>
        <v>-2248341.2186811115</v>
      </c>
      <c r="AA24" s="41">
        <f t="shared" si="12"/>
        <v>-20.750323991894305</v>
      </c>
      <c r="AB24" s="41">
        <f t="shared" si="13"/>
        <v>290.42141071875517</v>
      </c>
      <c r="AC24" s="41">
        <f t="shared" si="14"/>
        <v>2248341.2186811115</v>
      </c>
      <c r="AD24" s="41">
        <f t="shared" si="15"/>
        <v>6099967.416218101</v>
      </c>
      <c r="AE24" s="41">
        <f t="shared" si="8"/>
        <v>0</v>
      </c>
      <c r="AF24" s="41">
        <f t="shared" si="9"/>
        <v>346.71904880625772</v>
      </c>
      <c r="AG24" s="41">
        <f t="shared" si="16"/>
        <v>0</v>
      </c>
    </row>
    <row r="25" spans="1:33" x14ac:dyDescent="0.25">
      <c r="N25" s="10"/>
      <c r="O25" s="47">
        <v>-24</v>
      </c>
      <c r="P25" s="48"/>
      <c r="Q25" s="40">
        <f t="shared" si="0"/>
        <v>19.402260711804598</v>
      </c>
      <c r="R25" s="40">
        <f t="shared" si="1"/>
        <v>66</v>
      </c>
      <c r="S25" s="40">
        <f t="shared" si="10"/>
        <v>94.597739288195399</v>
      </c>
      <c r="T25" s="40">
        <f t="shared" si="11"/>
        <v>4.5977392881953989</v>
      </c>
      <c r="U25" s="32">
        <f t="shared" si="2"/>
        <v>8.0159594497367578E-2</v>
      </c>
      <c r="V25" s="33">
        <f t="shared" si="3"/>
        <v>0.99678204207841625</v>
      </c>
      <c r="W25" s="33">
        <f t="shared" si="4"/>
        <v>-0.40673664307580021</v>
      </c>
      <c r="X25" s="33">
        <f t="shared" si="5"/>
        <v>0.91354545764260087</v>
      </c>
      <c r="Y25" s="41">
        <f t="shared" si="6"/>
        <v>6467245.1721980004</v>
      </c>
      <c r="Z25" s="41">
        <f t="shared" si="7"/>
        <v>-2148408.1638263725</v>
      </c>
      <c r="AA25" s="41">
        <f t="shared" si="12"/>
        <v>-19.931900894020373</v>
      </c>
      <c r="AB25" s="41">
        <f t="shared" si="13"/>
        <v>303.47497598678603</v>
      </c>
      <c r="AC25" s="41">
        <f t="shared" si="14"/>
        <v>2148408.1638263725</v>
      </c>
      <c r="AD25" s="41">
        <f t="shared" si="15"/>
        <v>6099967.416218101</v>
      </c>
      <c r="AE25" s="41">
        <f t="shared" si="8"/>
        <v>0</v>
      </c>
      <c r="AF25" s="41">
        <f t="shared" si="9"/>
        <v>360.06754905738387</v>
      </c>
      <c r="AG25" s="41">
        <f t="shared" si="16"/>
        <v>0</v>
      </c>
    </row>
    <row r="26" spans="1:33" x14ac:dyDescent="0.25">
      <c r="N26" s="10"/>
      <c r="O26" s="47">
        <v>-30</v>
      </c>
      <c r="P26" s="48"/>
      <c r="Q26" s="40">
        <f t="shared" si="0"/>
        <v>18.35588344098586</v>
      </c>
      <c r="R26" s="40">
        <f t="shared" si="1"/>
        <v>60</v>
      </c>
      <c r="S26" s="40">
        <f t="shared" si="10"/>
        <v>101.64411655901414</v>
      </c>
      <c r="T26" s="40">
        <f t="shared" si="11"/>
        <v>11.644116559014137</v>
      </c>
      <c r="U26" s="32">
        <f t="shared" si="2"/>
        <v>0.20183211404138857</v>
      </c>
      <c r="V26" s="33">
        <f t="shared" si="3"/>
        <v>0.97942013341649448</v>
      </c>
      <c r="W26" s="33">
        <f t="shared" si="4"/>
        <v>-0.49999999999999994</v>
      </c>
      <c r="X26" s="33">
        <f t="shared" si="5"/>
        <v>0.86602540378443871</v>
      </c>
      <c r="Y26" s="41">
        <f t="shared" si="6"/>
        <v>6426980.0432708738</v>
      </c>
      <c r="Z26" s="41">
        <f t="shared" si="7"/>
        <v>-2023973.8134866138</v>
      </c>
      <c r="AA26" s="41">
        <f t="shared" si="12"/>
        <v>-18.89509971893321</v>
      </c>
      <c r="AB26" s="41">
        <f t="shared" si="13"/>
        <v>316.26206885507713</v>
      </c>
      <c r="AC26" s="41">
        <f t="shared" si="14"/>
        <v>2023973.8134866138</v>
      </c>
      <c r="AD26" s="41">
        <f t="shared" si="15"/>
        <v>6099967.416218101</v>
      </c>
      <c r="AE26" s="41">
        <f t="shared" si="8"/>
        <v>0</v>
      </c>
      <c r="AF26" s="41">
        <f t="shared" si="9"/>
        <v>373.20919526731649</v>
      </c>
      <c r="AG26" s="41">
        <f t="shared" si="16"/>
        <v>0</v>
      </c>
    </row>
    <row r="27" spans="1:33" x14ac:dyDescent="0.25">
      <c r="N27" s="10"/>
      <c r="O27" s="47">
        <v>-36</v>
      </c>
      <c r="P27" s="48"/>
      <c r="Q27" s="40">
        <f t="shared" si="0"/>
        <v>17.108852570301728</v>
      </c>
      <c r="R27" s="40">
        <f t="shared" si="1"/>
        <v>54</v>
      </c>
      <c r="S27" s="40">
        <f t="shared" si="10"/>
        <v>108.89114742969826</v>
      </c>
      <c r="T27" s="40">
        <f t="shared" si="11"/>
        <v>18.891147429698265</v>
      </c>
      <c r="U27" s="32">
        <f t="shared" si="2"/>
        <v>0.32377123799583535</v>
      </c>
      <c r="V27" s="33">
        <f t="shared" si="3"/>
        <v>0.94613539488100973</v>
      </c>
      <c r="W27" s="33">
        <f t="shared" si="4"/>
        <v>-0.58778525229247314</v>
      </c>
      <c r="X27" s="33">
        <f t="shared" si="5"/>
        <v>0.80901699437494745</v>
      </c>
      <c r="Y27" s="41">
        <f t="shared" si="6"/>
        <v>6382404.3014467116</v>
      </c>
      <c r="Z27" s="41">
        <f t="shared" si="7"/>
        <v>-1877626.7435789662</v>
      </c>
      <c r="AA27" s="41">
        <f t="shared" si="12"/>
        <v>-17.651279877271548</v>
      </c>
      <c r="AB27" s="41">
        <f t="shared" si="13"/>
        <v>328.58607478227736</v>
      </c>
      <c r="AC27" s="41">
        <f t="shared" si="14"/>
        <v>1877626.7435789662</v>
      </c>
      <c r="AD27" s="41">
        <f t="shared" si="15"/>
        <v>6099967.416218101</v>
      </c>
      <c r="AE27" s="41">
        <f t="shared" si="8"/>
        <v>0</v>
      </c>
      <c r="AF27" s="41">
        <f t="shared" si="9"/>
        <v>385.93092911720635</v>
      </c>
      <c r="AG27" s="41">
        <f t="shared" si="16"/>
        <v>0</v>
      </c>
    </row>
    <row r="28" spans="1:33" x14ac:dyDescent="0.25">
      <c r="N28" s="10"/>
      <c r="O28" s="47">
        <v>-42</v>
      </c>
      <c r="P28" s="51"/>
      <c r="Q28" s="37">
        <f t="shared" si="0"/>
        <v>15.678220367866887</v>
      </c>
      <c r="R28" s="37">
        <f t="shared" si="1"/>
        <v>48</v>
      </c>
      <c r="S28" s="37">
        <f t="shared" si="10"/>
        <v>116.32177963213312</v>
      </c>
      <c r="T28" s="37">
        <f t="shared" si="11"/>
        <v>26.321779632133115</v>
      </c>
      <c r="U28" s="32">
        <f t="shared" si="2"/>
        <v>0.44341193686631786</v>
      </c>
      <c r="V28" s="33">
        <f t="shared" si="3"/>
        <v>0.89631794260990927</v>
      </c>
      <c r="W28" s="33">
        <f t="shared" si="4"/>
        <v>-0.66913060635885824</v>
      </c>
      <c r="X28" s="33">
        <f t="shared" si="5"/>
        <v>0.74314482547739424</v>
      </c>
      <c r="Y28" s="41">
        <f t="shared" si="6"/>
        <v>6335689.6697713593</v>
      </c>
      <c r="Z28" s="41">
        <f t="shared" si="7"/>
        <v>-1712121.8159713338</v>
      </c>
      <c r="AA28" s="41">
        <f t="shared" si="12"/>
        <v>-16.214068919506772</v>
      </c>
      <c r="AB28" s="41">
        <f t="shared" si="13"/>
        <v>340.25019835117052</v>
      </c>
      <c r="AC28" s="41">
        <f t="shared" si="14"/>
        <v>1712121.8159713338</v>
      </c>
      <c r="AD28" s="41">
        <f t="shared" si="15"/>
        <v>6099967.416218101</v>
      </c>
      <c r="AE28" s="41">
        <f t="shared" si="8"/>
        <v>0</v>
      </c>
      <c r="AF28" s="41">
        <f t="shared" si="9"/>
        <v>398.01787070408329</v>
      </c>
      <c r="AG28" s="41">
        <f t="shared" si="16"/>
        <v>0</v>
      </c>
    </row>
    <row r="29" spans="1:33" x14ac:dyDescent="0.25">
      <c r="N29" s="10"/>
      <c r="O29" s="47">
        <v>-48</v>
      </c>
      <c r="P29" s="51"/>
      <c r="Q29" s="37">
        <f t="shared" si="0"/>
        <v>14.082585689506315</v>
      </c>
      <c r="R29" s="37">
        <f t="shared" si="1"/>
        <v>42</v>
      </c>
      <c r="S29" s="37">
        <f t="shared" si="10"/>
        <v>123.91741431049368</v>
      </c>
      <c r="T29" s="37">
        <f t="shared" si="11"/>
        <v>33.917414310493683</v>
      </c>
      <c r="U29" s="32">
        <f t="shared" si="2"/>
        <v>0.55799735470380341</v>
      </c>
      <c r="V29" s="33">
        <f t="shared" si="3"/>
        <v>0.82984272735474274</v>
      </c>
      <c r="W29" s="33">
        <f t="shared" si="4"/>
        <v>-0.74314482547739424</v>
      </c>
      <c r="X29" s="33">
        <f t="shared" si="5"/>
        <v>0.66913060635885824</v>
      </c>
      <c r="Y29" s="41">
        <f t="shared" si="6"/>
        <v>6288976.2187230997</v>
      </c>
      <c r="Z29" s="41">
        <f t="shared" si="7"/>
        <v>-1530235.0802220467</v>
      </c>
      <c r="AA29" s="41">
        <f t="shared" si="12"/>
        <v>-14.599213229647788</v>
      </c>
      <c r="AB29" s="41">
        <f t="shared" si="13"/>
        <v>351.0628028684921</v>
      </c>
      <c r="AC29" s="41">
        <f t="shared" si="14"/>
        <v>1530235.0802220467</v>
      </c>
      <c r="AD29" s="41">
        <f t="shared" si="15"/>
        <v>6099967.416218101</v>
      </c>
      <c r="AE29" s="41">
        <f t="shared" si="8"/>
        <v>0</v>
      </c>
      <c r="AF29" s="41">
        <f t="shared" si="9"/>
        <v>409.25956371542657</v>
      </c>
      <c r="AG29" s="41">
        <f t="shared" si="16"/>
        <v>0</v>
      </c>
    </row>
    <row r="30" spans="1:33" x14ac:dyDescent="0.25">
      <c r="N30" s="10"/>
      <c r="O30" s="47">
        <v>-54</v>
      </c>
      <c r="P30" s="51"/>
      <c r="Q30" s="37">
        <f t="shared" si="0"/>
        <v>12.341621755614121</v>
      </c>
      <c r="R30" s="37">
        <f t="shared" si="1"/>
        <v>36</v>
      </c>
      <c r="S30" s="37">
        <f t="shared" si="10"/>
        <v>131.65837824438589</v>
      </c>
      <c r="T30" s="37">
        <f t="shared" si="11"/>
        <v>41.658378244385887</v>
      </c>
      <c r="U30" s="32">
        <f t="shared" si="2"/>
        <v>0.66468779381837639</v>
      </c>
      <c r="V30" s="33">
        <f t="shared" si="3"/>
        <v>0.74712123296614952</v>
      </c>
      <c r="W30" s="33">
        <f t="shared" si="4"/>
        <v>-0.80901699437494745</v>
      </c>
      <c r="X30" s="33">
        <f t="shared" si="5"/>
        <v>0.58778525229247314</v>
      </c>
      <c r="Y30" s="41">
        <f t="shared" si="6"/>
        <v>6244268.952664433</v>
      </c>
      <c r="Z30" s="41">
        <f t="shared" si="7"/>
        <v>-1334650.6188086981</v>
      </c>
      <c r="AA30" s="41">
        <f t="shared" si="12"/>
        <v>-12.82440550456306</v>
      </c>
      <c r="AB30" s="41">
        <f t="shared" si="13"/>
        <v>360.84249148747062</v>
      </c>
      <c r="AC30" s="41">
        <f t="shared" si="14"/>
        <v>1334650.6188086981</v>
      </c>
      <c r="AD30" s="41">
        <f t="shared" si="15"/>
        <v>6099967.416218101</v>
      </c>
      <c r="AE30" s="41">
        <f t="shared" si="8"/>
        <v>0</v>
      </c>
      <c r="AF30" s="41">
        <f t="shared" si="9"/>
        <v>419.45592530135445</v>
      </c>
      <c r="AG30" s="41">
        <f t="shared" si="16"/>
        <v>0</v>
      </c>
    </row>
  </sheetData>
  <mergeCells count="29">
    <mergeCell ref="O26:P26"/>
    <mergeCell ref="O27:P27"/>
    <mergeCell ref="O28:P28"/>
    <mergeCell ref="O29:P29"/>
    <mergeCell ref="O30:P30"/>
    <mergeCell ref="O25:P25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J14:K14"/>
    <mergeCell ref="L14:M14"/>
    <mergeCell ref="L15:M15"/>
    <mergeCell ref="L16:M16"/>
    <mergeCell ref="L17:M17"/>
    <mergeCell ref="L18:M18"/>
    <mergeCell ref="L19:M19"/>
    <mergeCell ref="J15:K15"/>
    <mergeCell ref="J16:K16"/>
    <mergeCell ref="J17:K17"/>
    <mergeCell ref="J18:K18"/>
    <mergeCell ref="J19:K1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542925</xdr:colOff>
                <xdr:row>8</xdr:row>
                <xdr:rowOff>161925</xdr:rowOff>
              </from>
              <to>
                <xdr:col>15</xdr:col>
                <xdr:colOff>676275</xdr:colOff>
                <xdr:row>11</xdr:row>
                <xdr:rowOff>28575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22"/>
  <sheetViews>
    <sheetView workbookViewId="0">
      <selection activeCell="K25" sqref="K25"/>
    </sheetView>
  </sheetViews>
  <sheetFormatPr baseColWidth="10" defaultRowHeight="15" x14ac:dyDescent="0.25"/>
  <cols>
    <col min="3" max="3" width="11.5703125" bestFit="1" customWidth="1"/>
    <col min="4" max="4" width="11.7109375" bestFit="1" customWidth="1"/>
    <col min="5" max="6" width="14.5703125" bestFit="1" customWidth="1"/>
    <col min="7" max="8" width="11.7109375" bestFit="1" customWidth="1"/>
  </cols>
  <sheetData>
    <row r="2" spans="3:10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</row>
    <row r="3" spans="3:10" x14ac:dyDescent="0.25">
      <c r="C3">
        <v>-17.651279877271499</v>
      </c>
      <c r="D3">
        <v>187.51761423208382</v>
      </c>
      <c r="E3">
        <v>1877626.7435789662</v>
      </c>
      <c r="F3">
        <v>6099967.416218101</v>
      </c>
      <c r="G3">
        <v>0</v>
      </c>
      <c r="H3">
        <v>244.8624685670128</v>
      </c>
    </row>
    <row r="4" spans="3:10" x14ac:dyDescent="0.25">
      <c r="C4">
        <v>-18.895099718933253</v>
      </c>
      <c r="D4">
        <v>196.26206885507713</v>
      </c>
      <c r="E4">
        <v>2023973.8134866126</v>
      </c>
      <c r="F4">
        <v>6099967.416218101</v>
      </c>
      <c r="G4">
        <v>0</v>
      </c>
      <c r="H4">
        <v>253.20919526731649</v>
      </c>
    </row>
    <row r="5" spans="3:10" x14ac:dyDescent="0.25">
      <c r="C5">
        <v>-19.931900894020458</v>
      </c>
      <c r="D5">
        <v>205.85818164859401</v>
      </c>
      <c r="E5">
        <v>2148408.1638263706</v>
      </c>
      <c r="F5">
        <v>6099967.416218101</v>
      </c>
      <c r="G5">
        <v>0</v>
      </c>
      <c r="H5">
        <v>262.45075471919176</v>
      </c>
    </row>
    <row r="6" spans="3:10" x14ac:dyDescent="0.25">
      <c r="C6">
        <v>-20.750323991894319</v>
      </c>
      <c r="D6">
        <v>216.25733206876777</v>
      </c>
      <c r="E6">
        <v>2248341.218681111</v>
      </c>
      <c r="F6">
        <v>6099967.416218101</v>
      </c>
      <c r="G6">
        <v>0</v>
      </c>
      <c r="H6">
        <v>272.55497015627037</v>
      </c>
    </row>
    <row r="7" spans="3:10" x14ac:dyDescent="0.25">
      <c r="C7">
        <v>-21.341402197828529</v>
      </c>
      <c r="D7">
        <v>227.39367147219525</v>
      </c>
      <c r="E7">
        <v>2321515.5104455035</v>
      </c>
      <c r="F7">
        <v>6099967.416218101</v>
      </c>
      <c r="G7">
        <v>0</v>
      </c>
      <c r="H7">
        <v>283.46991022115674</v>
      </c>
    </row>
    <row r="8" spans="3:10" x14ac:dyDescent="0.25">
      <c r="C8">
        <v>-21.698659535307812</v>
      </c>
      <c r="D8">
        <v>239.18194175395553</v>
      </c>
      <c r="E8">
        <v>2366170.1344436849</v>
      </c>
      <c r="F8">
        <v>6099967.416218101</v>
      </c>
      <c r="G8">
        <v>0</v>
      </c>
      <c r="H8">
        <v>295.12091005308304</v>
      </c>
    </row>
    <row r="9" spans="3:10" x14ac:dyDescent="0.25">
      <c r="C9">
        <v>-21.818181818181799</v>
      </c>
      <c r="D9">
        <v>251.51606425537196</v>
      </c>
      <c r="E9">
        <v>2381183.4585883687</v>
      </c>
      <c r="F9">
        <v>6099967.416218101</v>
      </c>
      <c r="G9">
        <v>0</v>
      </c>
      <c r="H9">
        <v>307.40852297878797</v>
      </c>
    </row>
    <row r="10" spans="3:10" x14ac:dyDescent="0.25">
      <c r="C10">
        <v>-21.698659535307812</v>
      </c>
      <c r="D10">
        <v>264.26877293819234</v>
      </c>
      <c r="E10">
        <v>2366170.1344436849</v>
      </c>
      <c r="F10">
        <v>6099967.416218101</v>
      </c>
      <c r="G10">
        <v>0</v>
      </c>
      <c r="H10">
        <v>320.20774123731991</v>
      </c>
    </row>
    <row r="11" spans="3:10" x14ac:dyDescent="0.25">
      <c r="C11">
        <v>-21.341402197828515</v>
      </c>
      <c r="D11">
        <v>277.2924772684575</v>
      </c>
      <c r="E11">
        <v>2321515.510445504</v>
      </c>
      <c r="F11">
        <v>6099967.416218101</v>
      </c>
      <c r="G11">
        <v>0</v>
      </c>
      <c r="H11">
        <v>333.36871601741893</v>
      </c>
    </row>
    <row r="12" spans="3:10" x14ac:dyDescent="0.25">
      <c r="C12">
        <v>-20.750323991894305</v>
      </c>
      <c r="D12">
        <v>290.42141071875517</v>
      </c>
      <c r="E12">
        <v>2248341.2186811115</v>
      </c>
      <c r="F12">
        <v>6099967.416218101</v>
      </c>
      <c r="G12">
        <v>0</v>
      </c>
      <c r="H12">
        <v>346.71904880625772</v>
      </c>
    </row>
    <row r="13" spans="3:10" x14ac:dyDescent="0.25">
      <c r="C13">
        <v>-19.931900894020373</v>
      </c>
      <c r="D13">
        <v>303.47497598678603</v>
      </c>
      <c r="E13">
        <v>2148408.1638263725</v>
      </c>
      <c r="F13">
        <v>6099967.416218101</v>
      </c>
      <c r="G13">
        <v>0</v>
      </c>
      <c r="H13">
        <v>360.06754905738387</v>
      </c>
    </row>
    <row r="14" spans="3:10" x14ac:dyDescent="0.25">
      <c r="C14">
        <v>-18.89509971893321</v>
      </c>
      <c r="D14">
        <v>316.26206885507713</v>
      </c>
      <c r="E14">
        <v>2023973.8134866138</v>
      </c>
      <c r="F14">
        <v>6099967.416218101</v>
      </c>
      <c r="G14">
        <v>0</v>
      </c>
      <c r="H14">
        <v>373.20919526731649</v>
      </c>
      <c r="J14">
        <f>(-C21*F3)+(D21*E21)+(H21*Feuil1!Z15)</f>
        <v>2774737.315079093</v>
      </c>
    </row>
    <row r="15" spans="3:10" x14ac:dyDescent="0.25">
      <c r="C15">
        <v>-17.651279877271548</v>
      </c>
      <c r="D15">
        <v>328.58607478227736</v>
      </c>
      <c r="E15">
        <v>1877626.7435789662</v>
      </c>
      <c r="F15">
        <v>6099967.416218101</v>
      </c>
      <c r="G15">
        <v>0</v>
      </c>
      <c r="H15">
        <v>385.93092911720635</v>
      </c>
      <c r="J15" s="43">
        <f>(-C22*F22)+(D22*E22)+(H22*Feuil1!Z16)</f>
        <v>0</v>
      </c>
    </row>
    <row r="16" spans="3:10" x14ac:dyDescent="0.25">
      <c r="C16">
        <v>-16.214068919506772</v>
      </c>
      <c r="D16">
        <v>340.25019835117052</v>
      </c>
      <c r="E16">
        <v>1712121.8159713338</v>
      </c>
      <c r="F16">
        <v>6099967.416218101</v>
      </c>
      <c r="G16">
        <v>0</v>
      </c>
      <c r="H16">
        <v>398.01787070408329</v>
      </c>
      <c r="J16">
        <f>-C22*F22+D22*E22+H22*Feuil1!Z16</f>
        <v>0</v>
      </c>
    </row>
    <row r="17" spans="3:8" x14ac:dyDescent="0.25">
      <c r="C17">
        <v>-14.599213229647788</v>
      </c>
      <c r="D17">
        <v>351.0628028684921</v>
      </c>
      <c r="E17">
        <v>1530235.0802220467</v>
      </c>
      <c r="F17">
        <v>6099967.416218101</v>
      </c>
      <c r="G17">
        <v>0</v>
      </c>
      <c r="H17">
        <v>409.25956371542657</v>
      </c>
    </row>
    <row r="18" spans="3:8" x14ac:dyDescent="0.25">
      <c r="C18">
        <v>-12.82440550456306</v>
      </c>
      <c r="D18">
        <v>360.84249148747062</v>
      </c>
      <c r="E18">
        <v>1334650.6188086981</v>
      </c>
      <c r="F18">
        <v>6099967.416218101</v>
      </c>
      <c r="G18">
        <v>0</v>
      </c>
      <c r="H18">
        <v>419.45592530135445</v>
      </c>
    </row>
    <row r="21" spans="3:8" x14ac:dyDescent="0.25">
      <c r="C21" s="42" t="s">
        <v>56</v>
      </c>
      <c r="D21">
        <v>188</v>
      </c>
      <c r="E21">
        <v>1877627</v>
      </c>
      <c r="F21">
        <v>6099967</v>
      </c>
      <c r="H21">
        <v>245</v>
      </c>
    </row>
    <row r="22" spans="3:8" x14ac:dyDescent="0.25">
      <c r="C22" s="43">
        <v>-18.895099718933253</v>
      </c>
      <c r="D22" s="43">
        <v>196.26206885507713</v>
      </c>
      <c r="E22" s="43">
        <v>2023973.8134866126</v>
      </c>
      <c r="F22" s="43">
        <v>6099967.416218101</v>
      </c>
      <c r="G22" s="43">
        <v>0</v>
      </c>
      <c r="H22" s="43">
        <v>253.20919526731649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BRUEL</dc:creator>
  <cp:lastModifiedBy>Bruel, Quentin</cp:lastModifiedBy>
  <dcterms:created xsi:type="dcterms:W3CDTF">2021-03-21T20:20:21Z</dcterms:created>
  <dcterms:modified xsi:type="dcterms:W3CDTF">2021-03-23T10:29:12Z</dcterms:modified>
</cp:coreProperties>
</file>