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ctrlProps/ctrlProp3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 codeName="{662AC1DA-710E-409A-AF98-282AFDE22985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G\Desktop\"/>
    </mc:Choice>
  </mc:AlternateContent>
  <xr:revisionPtr revIDLastSave="0" documentId="13_ncr:1_{7EE418AB-71ED-4440-A8D0-31DB78FFE7BE}" xr6:coauthVersionLast="45" xr6:coauthVersionMax="45" xr10:uidLastSave="{00000000-0000-0000-0000-000000000000}"/>
  <bookViews>
    <workbookView xWindow="-120" yWindow="-120" windowWidth="25440" windowHeight="15390" firstSheet="2" activeTab="2" xr2:uid="{88C4796A-22D2-44D6-9C04-7BCA795C6C63}"/>
  </bookViews>
  <sheets>
    <sheet name="Mouvement" sheetId="7" r:id="rId1"/>
    <sheet name="Feuil1" sheetId="14" state="hidden" r:id="rId2"/>
    <sheet name="Mouvloc" sheetId="16" r:id="rId3"/>
    <sheet name="Archivloc" sheetId="17" r:id="rId4"/>
    <sheet name="Stockloc" sheetId="15" r:id="rId5"/>
  </sheets>
  <definedNames>
    <definedName name="photo">INDIRECT(VLOOKUP(Mouvement!$B$4,#REF!,2,0))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I23" i="16" l="1"/>
  <c r="I24" i="16"/>
  <c r="I25" i="16"/>
  <c r="D6" i="16" l="1"/>
  <c r="G8" i="16"/>
  <c r="G3" i="15" l="1"/>
  <c r="G4" i="15"/>
  <c r="G5" i="15"/>
  <c r="G2" i="15"/>
  <c r="B18" i="16"/>
  <c r="H23" i="7" l="1"/>
  <c r="H30" i="7"/>
  <c r="H31" i="7"/>
  <c r="H32" i="7"/>
  <c r="H24" i="7" l="1"/>
  <c r="H25" i="7"/>
  <c r="H26" i="7"/>
  <c r="H50" i="7"/>
  <c r="H51" i="7"/>
  <c r="H27" i="7"/>
  <c r="H28" i="7"/>
  <c r="H29" i="7"/>
  <c r="H33" i="7"/>
  <c r="H34" i="7"/>
  <c r="H35" i="7"/>
  <c r="H36" i="7"/>
  <c r="H37" i="7"/>
  <c r="H38" i="7"/>
  <c r="H39" i="7"/>
  <c r="H40" i="7" l="1"/>
  <c r="H41" i="7"/>
  <c r="H42" i="7"/>
  <c r="H43" i="7"/>
  <c r="H44" i="7"/>
  <c r="H45" i="7"/>
  <c r="H46" i="7"/>
  <c r="H47" i="7"/>
  <c r="H48" i="7"/>
  <c r="H49" i="7"/>
  <c r="H52" i="7"/>
  <c r="H53" i="7"/>
  <c r="H54" i="7"/>
  <c r="H55" i="7"/>
  <c r="H56" i="7"/>
  <c r="H57" i="7"/>
  <c r="H60" i="7"/>
  <c r="H61" i="7"/>
  <c r="H82" i="7" l="1"/>
  <c r="H58" i="7" l="1"/>
  <c r="H59" i="7"/>
  <c r="H83" i="7"/>
  <c r="H62" i="7" l="1"/>
  <c r="H66" i="7"/>
  <c r="H67" i="7"/>
  <c r="H63" i="7"/>
  <c r="H64" i="7"/>
  <c r="H65" i="7"/>
  <c r="H68" i="7" l="1"/>
  <c r="H69" i="7"/>
  <c r="H70" i="7"/>
  <c r="H71" i="7"/>
  <c r="H72" i="7"/>
  <c r="H73" i="7"/>
  <c r="H84" i="7"/>
  <c r="H85" i="7"/>
  <c r="H86" i="7"/>
  <c r="H74" i="7"/>
  <c r="H75" i="7"/>
  <c r="H76" i="7"/>
  <c r="H77" i="7"/>
  <c r="H78" i="7"/>
  <c r="H79" i="7"/>
  <c r="H80" i="7"/>
  <c r="H81" i="7"/>
  <c r="H87" i="7"/>
  <c r="H88" i="7"/>
  <c r="H89" i="7"/>
  <c r="H90" i="7"/>
  <c r="H91" i="7"/>
  <c r="H92" i="7" l="1"/>
  <c r="H93" i="7" l="1"/>
  <c r="H94" i="7"/>
  <c r="H95" i="7" l="1"/>
  <c r="H96" i="7"/>
  <c r="H97" i="7"/>
  <c r="H98" i="7"/>
  <c r="H99" i="7"/>
  <c r="H100" i="7"/>
  <c r="H101" i="7"/>
  <c r="H102" i="7"/>
  <c r="H103" i="7"/>
  <c r="H104" i="7"/>
  <c r="H105" i="7"/>
  <c r="H106" i="7"/>
  <c r="H107" i="7"/>
  <c r="H108" i="7"/>
  <c r="H109" i="7"/>
  <c r="H110" i="7"/>
  <c r="H111" i="7"/>
  <c r="H112" i="7"/>
  <c r="H113" i="7"/>
  <c r="H114" i="7"/>
  <c r="H115" i="7"/>
  <c r="H116" i="7"/>
  <c r="H117" i="7"/>
  <c r="H118" i="7"/>
  <c r="H119" i="7"/>
  <c r="H120" i="7"/>
  <c r="H121" i="7"/>
  <c r="H122" i="7"/>
  <c r="H123" i="7"/>
  <c r="H124" i="7"/>
  <c r="H129" i="7" l="1"/>
  <c r="H130" i="7"/>
  <c r="H148" i="7"/>
  <c r="H125" i="7" l="1"/>
  <c r="H126" i="7"/>
  <c r="H127" i="7"/>
  <c r="H128" i="7"/>
  <c r="H131" i="7"/>
  <c r="H132" i="7" l="1"/>
  <c r="H133" i="7"/>
  <c r="H134" i="7"/>
  <c r="H135" i="7"/>
  <c r="H136" i="7" l="1"/>
  <c r="H137" i="7"/>
  <c r="H138" i="7"/>
  <c r="H139" i="7" l="1"/>
  <c r="H140" i="7"/>
  <c r="H141" i="7"/>
  <c r="H142" i="7"/>
  <c r="H143" i="7"/>
  <c r="H144" i="7"/>
  <c r="H149" i="7"/>
  <c r="H150" i="7"/>
  <c r="H151" i="7"/>
  <c r="H152" i="7"/>
  <c r="H153" i="7"/>
  <c r="H155" i="7"/>
  <c r="H156" i="7"/>
  <c r="H157" i="7"/>
  <c r="H158" i="7"/>
  <c r="H159" i="7"/>
  <c r="H160" i="7"/>
  <c r="H161" i="7"/>
  <c r="H145" i="7" l="1"/>
  <c r="H146" i="7"/>
  <c r="H147" i="7"/>
  <c r="H154" i="7" l="1"/>
  <c r="D4" i="7" l="1"/>
  <c r="C4" i="7"/>
  <c r="D6" i="7"/>
  <c r="B18" i="7" l="1"/>
  <c r="N22" i="7" l="1"/>
  <c r="H162" i="7" l="1"/>
  <c r="H163" i="7"/>
  <c r="H164" i="7"/>
  <c r="H165" i="7"/>
  <c r="H166" i="7"/>
  <c r="H167" i="7"/>
  <c r="H168" i="7"/>
  <c r="H169" i="7"/>
  <c r="H170" i="7"/>
  <c r="H171" i="7"/>
  <c r="H172" i="7"/>
  <c r="H173" i="7"/>
  <c r="H174" i="7"/>
  <c r="H175" i="7"/>
  <c r="H176" i="7"/>
  <c r="H177" i="7"/>
  <c r="H178" i="7"/>
  <c r="H179" i="7"/>
  <c r="H180" i="7"/>
  <c r="H181" i="7"/>
  <c r="H182" i="7"/>
  <c r="H183" i="7"/>
  <c r="H184" i="7"/>
  <c r="H185" i="7"/>
  <c r="H186" i="7"/>
  <c r="H191" i="7"/>
  <c r="H192" i="7"/>
  <c r="H193" i="7"/>
  <c r="H187" i="7" l="1"/>
  <c r="H188" i="7"/>
  <c r="H189" i="7"/>
  <c r="H190" i="7"/>
  <c r="G11" i="7" l="1"/>
  <c r="H194" i="7" l="1"/>
  <c r="H195" i="7"/>
  <c r="H196" i="7"/>
  <c r="H197" i="7" l="1"/>
  <c r="H198" i="7"/>
  <c r="H199" i="7"/>
  <c r="H200" i="7"/>
  <c r="H205" i="7" l="1"/>
  <c r="H206" i="7"/>
  <c r="H207" i="7"/>
  <c r="H208" i="7"/>
  <c r="H209" i="7"/>
  <c r="H210" i="7"/>
  <c r="H211" i="7"/>
  <c r="H212" i="7"/>
  <c r="H213" i="7"/>
  <c r="H214" i="7"/>
  <c r="H215" i="7"/>
  <c r="H216" i="7"/>
  <c r="H217" i="7"/>
  <c r="H218" i="7"/>
  <c r="H219" i="7"/>
  <c r="H220" i="7"/>
  <c r="H221" i="7"/>
  <c r="H222" i="7"/>
  <c r="H223" i="7"/>
  <c r="H224" i="7"/>
  <c r="H225" i="7"/>
  <c r="H226" i="7"/>
  <c r="H227" i="7"/>
  <c r="H228" i="7"/>
  <c r="H229" i="7"/>
  <c r="H230" i="7"/>
  <c r="H231" i="7"/>
  <c r="H232" i="7"/>
  <c r="H233" i="7"/>
  <c r="H234" i="7"/>
  <c r="H235" i="7"/>
  <c r="H236" i="7"/>
  <c r="H237" i="7"/>
  <c r="H238" i="7"/>
  <c r="H239" i="7"/>
  <c r="H240" i="7"/>
  <c r="H241" i="7"/>
  <c r="H242" i="7"/>
  <c r="H243" i="7"/>
  <c r="H244" i="7"/>
  <c r="H245" i="7"/>
  <c r="H246" i="7"/>
  <c r="H247" i="7"/>
  <c r="H248" i="7"/>
  <c r="H249" i="7"/>
  <c r="H250" i="7"/>
  <c r="H251" i="7"/>
  <c r="H252" i="7"/>
  <c r="H253" i="7"/>
  <c r="H254" i="7"/>
  <c r="H255" i="7"/>
  <c r="H256" i="7"/>
  <c r="H257" i="7"/>
  <c r="H258" i="7"/>
  <c r="H259" i="7"/>
  <c r="H260" i="7"/>
  <c r="H261" i="7"/>
  <c r="H262" i="7"/>
  <c r="H263" i="7"/>
  <c r="H264" i="7"/>
  <c r="H265" i="7"/>
  <c r="H266" i="7"/>
  <c r="H267" i="7"/>
  <c r="H268" i="7"/>
  <c r="H269" i="7"/>
  <c r="H203" i="7"/>
  <c r="H204" i="7"/>
  <c r="H202" i="7"/>
  <c r="H201" i="7"/>
  <c r="G8" i="7" l="1"/>
  <c r="AC19" i="7" s="1"/>
  <c r="Q5" i="7" l="1"/>
  <c r="AB19" i="7"/>
  <c r="AE10" i="7" l="1"/>
  <c r="K10" i="7"/>
  <c r="AD16" i="7" l="1"/>
  <c r="AE16" i="7" l="1"/>
  <c r="K13" i="7"/>
  <c r="AH9" i="7" l="1"/>
  <c r="Q14" i="7" l="1"/>
  <c r="Q12" i="7"/>
  <c r="Q13" i="7"/>
  <c r="Q11" i="7"/>
  <c r="Q10" i="7"/>
  <c r="Q9" i="7"/>
  <c r="Z3" i="7"/>
  <c r="R9" i="7"/>
  <c r="V15" i="7"/>
  <c r="T15" i="7" l="1"/>
  <c r="Q15" i="7"/>
  <c r="R15" i="7"/>
  <c r="X14" i="7" l="1"/>
  <c r="AG20" i="7"/>
  <c r="AJ19" i="7"/>
  <c r="AL19" i="7"/>
  <c r="AL20" i="7"/>
  <c r="AL21" i="7"/>
  <c r="AI20" i="7"/>
  <c r="AQ6" i="7"/>
  <c r="AQ10" i="7"/>
  <c r="AQ14" i="7"/>
  <c r="AH18" i="7"/>
  <c r="AJ21" i="7"/>
  <c r="AQ8" i="7"/>
  <c r="AQ12" i="7"/>
  <c r="AG18" i="7"/>
  <c r="AH21" i="7"/>
  <c r="AQ4" i="7"/>
  <c r="AQ9" i="7"/>
  <c r="AQ13" i="7"/>
  <c r="AG19" i="7"/>
  <c r="AH19" i="7"/>
  <c r="AI19" i="7"/>
  <c r="AQ7" i="7"/>
  <c r="AQ11" i="7"/>
  <c r="AG17" i="7"/>
  <c r="AG21" i="7"/>
  <c r="AI21" i="7"/>
  <c r="AQ5" i="7"/>
  <c r="AJ20" i="7" l="1"/>
  <c r="E6" i="7" l="1"/>
  <c r="AL12" i="7" l="1"/>
  <c r="AK11" i="7"/>
  <c r="AJ12" i="7"/>
  <c r="AI12" i="7"/>
  <c r="AK9" i="7"/>
  <c r="AJ9" i="7"/>
  <c r="AI9" i="7"/>
  <c r="AH12" i="7"/>
  <c r="AK10" i="7"/>
  <c r="AJ10" i="7"/>
  <c r="AI10" i="7"/>
  <c r="AH11" i="7"/>
  <c r="AK12" i="7"/>
  <c r="AJ11" i="7"/>
  <c r="AI11" i="7"/>
  <c r="AH10" i="7"/>
  <c r="AG7" i="7" l="1"/>
  <c r="AG4" i="7"/>
  <c r="AG8" i="7"/>
  <c r="AG5" i="7"/>
  <c r="AG6" i="7"/>
  <c r="AG9" i="7"/>
  <c r="AG12" i="7"/>
  <c r="AG10" i="7"/>
  <c r="AG11" i="7"/>
  <c r="O7" i="7"/>
  <c r="O8" i="7"/>
  <c r="AA19" i="7"/>
  <c r="N7" i="7"/>
  <c r="AE19" i="7"/>
  <c r="AD19" i="7" l="1"/>
  <c r="AB16" i="7"/>
  <c r="J4" i="7"/>
  <c r="AC16" i="7"/>
  <c r="M4" i="7"/>
  <c r="AE13" i="7"/>
  <c r="K16" i="7"/>
  <c r="AD13" i="7"/>
  <c r="AE7" i="7"/>
  <c r="S12" i="7"/>
  <c r="T9" i="7"/>
  <c r="R12" i="7"/>
  <c r="S9" i="7"/>
  <c r="R10" i="7"/>
  <c r="N4" i="7"/>
  <c r="O4" i="7"/>
  <c r="L7" i="7"/>
  <c r="K7" i="7"/>
  <c r="J7" i="7"/>
  <c r="J13" i="7"/>
  <c r="J10" i="7"/>
  <c r="O19" i="7"/>
  <c r="G10" i="7" l="1"/>
  <c r="F8" i="7" l="1"/>
  <c r="F3" i="7" l="1"/>
  <c r="F4" i="7" s="1"/>
  <c r="E3" i="7"/>
</calcChain>
</file>

<file path=xl/sharedStrings.xml><?xml version="1.0" encoding="utf-8"?>
<sst xmlns="http://schemas.openxmlformats.org/spreadsheetml/2006/main" count="848" uniqueCount="279">
  <si>
    <t>Référence</t>
  </si>
  <si>
    <t>Références</t>
  </si>
  <si>
    <t>Fournisseur</t>
  </si>
  <si>
    <t>Désignations</t>
  </si>
  <si>
    <t>Stock Initial</t>
  </si>
  <si>
    <t>Mouvements</t>
  </si>
  <si>
    <t>Stock Actuel</t>
  </si>
  <si>
    <t>Stock Mini</t>
  </si>
  <si>
    <t>Alerte</t>
  </si>
  <si>
    <t>EC-DC2AN</t>
  </si>
  <si>
    <t>ANDRIEU</t>
  </si>
  <si>
    <t>EXTINCTEUR CO² 2KG</t>
  </si>
  <si>
    <t>XVX-A6BZ-C</t>
  </si>
  <si>
    <t>XVX-P6BZ</t>
  </si>
  <si>
    <t>MM201</t>
  </si>
  <si>
    <t>IM1640PSG</t>
  </si>
  <si>
    <t>BIZ720110</t>
  </si>
  <si>
    <t>BIZ770117</t>
  </si>
  <si>
    <t>BIZ770116</t>
  </si>
  <si>
    <t>BIZ770070</t>
  </si>
  <si>
    <t>BIZ770071</t>
  </si>
  <si>
    <t>CR1C12X1,5</t>
  </si>
  <si>
    <t>CR1C1 1P9/10</t>
  </si>
  <si>
    <t>SYT3P GRIS</t>
  </si>
  <si>
    <t>SYT5P GRIS</t>
  </si>
  <si>
    <t xml:space="preserve">SYT1P ROUGE </t>
  </si>
  <si>
    <t>VG64SHB</t>
  </si>
  <si>
    <t>VIRP20245048</t>
  </si>
  <si>
    <t>VIRA20245048</t>
  </si>
  <si>
    <t>LUM16025</t>
  </si>
  <si>
    <t>LUM16125</t>
  </si>
  <si>
    <t>EPW12V26AH</t>
  </si>
  <si>
    <t>471OR1</t>
  </si>
  <si>
    <t>NUG 30081</t>
  </si>
  <si>
    <t>NUG 30349</t>
  </si>
  <si>
    <t>NUG 30450</t>
  </si>
  <si>
    <t>NUG 30451</t>
  </si>
  <si>
    <t>NUG 30246</t>
  </si>
  <si>
    <t>NUG 30255</t>
  </si>
  <si>
    <t>NUG 30316</t>
  </si>
  <si>
    <t>NUG 30360</t>
  </si>
  <si>
    <t>DOF49</t>
  </si>
  <si>
    <t>T25VK2</t>
  </si>
  <si>
    <t>AL12/2DIN</t>
  </si>
  <si>
    <t>Mouvements Matériel</t>
  </si>
  <si>
    <t>Fournisseurs</t>
  </si>
  <si>
    <t>Date</t>
  </si>
  <si>
    <t>Entrée</t>
  </si>
  <si>
    <t>Sortie</t>
  </si>
  <si>
    <t>Technicien</t>
  </si>
  <si>
    <t>Client</t>
  </si>
  <si>
    <t>Mouvement</t>
  </si>
  <si>
    <t>HENRI</t>
  </si>
  <si>
    <t xml:space="preserve">ALBAN </t>
  </si>
  <si>
    <t>A</t>
  </si>
  <si>
    <t>B</t>
  </si>
  <si>
    <t xml:space="preserve">LOUIS </t>
  </si>
  <si>
    <t xml:space="preserve">MARVIN </t>
  </si>
  <si>
    <t>PHILIPPE</t>
  </si>
  <si>
    <t>E</t>
  </si>
  <si>
    <t>MIRANO</t>
  </si>
  <si>
    <t>Magasin</t>
  </si>
  <si>
    <t>LUDO</t>
  </si>
  <si>
    <t>XVX-P9BZ</t>
  </si>
  <si>
    <t>Désignation</t>
  </si>
  <si>
    <t>Stockage</t>
  </si>
  <si>
    <t>Tube IRO</t>
  </si>
  <si>
    <t>LEG078802</t>
  </si>
  <si>
    <t>LEG078804</t>
  </si>
  <si>
    <t>LEG077040</t>
  </si>
  <si>
    <t>LEG076565</t>
  </si>
  <si>
    <t>LEG080285</t>
  </si>
  <si>
    <t>LEG080251</t>
  </si>
  <si>
    <t>LEG080252</t>
  </si>
  <si>
    <t>N</t>
  </si>
  <si>
    <t>T</t>
  </si>
  <si>
    <t>S</t>
  </si>
  <si>
    <t>ECORD6ASF05MSH</t>
  </si>
  <si>
    <t>ISM20421</t>
  </si>
  <si>
    <t>Stock €</t>
  </si>
  <si>
    <t>??</t>
  </si>
  <si>
    <t>Du matériel est au stock Mini</t>
  </si>
  <si>
    <t>PLAG6AFS</t>
  </si>
  <si>
    <t>???</t>
  </si>
  <si>
    <t>VICTOR</t>
  </si>
  <si>
    <t>NICO S</t>
  </si>
  <si>
    <t>LAURENT B</t>
  </si>
  <si>
    <t>LAURENT P</t>
  </si>
  <si>
    <t>THEO</t>
  </si>
  <si>
    <t>ABDEL</t>
  </si>
  <si>
    <t>Stock Vehic</t>
  </si>
  <si>
    <t>NUG30493</t>
  </si>
  <si>
    <t>ICTA3422</t>
  </si>
  <si>
    <t>Désf</t>
  </si>
  <si>
    <t>LEG077071</t>
  </si>
  <si>
    <t>DLRI10EC</t>
  </si>
  <si>
    <t>CGAC0100</t>
  </si>
  <si>
    <t>GCAC0020</t>
  </si>
  <si>
    <t>GCAC0040</t>
  </si>
  <si>
    <t>GCAC0015</t>
  </si>
  <si>
    <t>GCAC0060</t>
  </si>
  <si>
    <t>GCAC0080</t>
  </si>
  <si>
    <t>GCAC0300</t>
  </si>
  <si>
    <t>BIZ710248</t>
  </si>
  <si>
    <t>BIZ740002</t>
  </si>
  <si>
    <t>221-412</t>
  </si>
  <si>
    <t>221-413</t>
  </si>
  <si>
    <t>TRM4016B</t>
  </si>
  <si>
    <t>Bannettes 1 à 26</t>
  </si>
  <si>
    <t>à</t>
  </si>
  <si>
    <t>Bannettes 38 à 54</t>
  </si>
  <si>
    <t>Batterie</t>
  </si>
  <si>
    <t>EPW12V18AH</t>
  </si>
  <si>
    <t>EPW12V72AH</t>
  </si>
  <si>
    <t>Hotel ds Iris</t>
  </si>
  <si>
    <t>BIZ300007</t>
  </si>
  <si>
    <t>BIZ3000015</t>
  </si>
  <si>
    <t>BIZ300008</t>
  </si>
  <si>
    <t>Horacio</t>
  </si>
  <si>
    <t>NETTANO</t>
  </si>
  <si>
    <t>SECUPRO</t>
  </si>
  <si>
    <t>Scotch Noir</t>
  </si>
  <si>
    <t>LEG031919</t>
  </si>
  <si>
    <t>HORACIO</t>
  </si>
  <si>
    <t>ALEXANDRE</t>
  </si>
  <si>
    <t>EPW12V2,2AH</t>
  </si>
  <si>
    <t>MTR</t>
  </si>
  <si>
    <t>EPW12V7AH</t>
  </si>
  <si>
    <t>SALVADOR</t>
  </si>
  <si>
    <t>Cordon 2m</t>
  </si>
  <si>
    <t>Cordon3m</t>
  </si>
  <si>
    <t>Cordon5m</t>
  </si>
  <si>
    <t>EM Bat34</t>
  </si>
  <si>
    <t>ALFI Herblay</t>
  </si>
  <si>
    <t>Centre municipal</t>
  </si>
  <si>
    <t>Piles</t>
  </si>
  <si>
    <t>BIZ720001</t>
  </si>
  <si>
    <t>ALEX</t>
  </si>
  <si>
    <t>b</t>
  </si>
  <si>
    <t>Prix /U/HT</t>
  </si>
  <si>
    <t>LEG92015</t>
  </si>
  <si>
    <t>LEG92025</t>
  </si>
  <si>
    <t>GGM CAT6S03M</t>
  </si>
  <si>
    <t>DH-IPC-HDBW2431EP-S-S2</t>
  </si>
  <si>
    <t>DH-IPC-HFW2431TP-ZS-S2</t>
  </si>
  <si>
    <t>SIMPL VOX V3</t>
  </si>
  <si>
    <t>EPW12V7,2AH</t>
  </si>
  <si>
    <t>SI500</t>
  </si>
  <si>
    <t>PILE 9V/1BLI</t>
  </si>
  <si>
    <t>PILE LSH20/1</t>
  </si>
  <si>
    <t>PILE LS14500/1</t>
  </si>
  <si>
    <t>BIZ350013</t>
  </si>
  <si>
    <t>GCAA2100</t>
  </si>
  <si>
    <t>N° ligne dans stock</t>
  </si>
  <si>
    <t xml:space="preserve"> dans Catalogue</t>
  </si>
  <si>
    <t>MAGASIN</t>
  </si>
  <si>
    <t>Bannettes</t>
  </si>
  <si>
    <t>EPW12V12AH</t>
  </si>
  <si>
    <t>LEG092082</t>
  </si>
  <si>
    <t>IME</t>
  </si>
  <si>
    <t>EPW12V1,2AH</t>
  </si>
  <si>
    <t>ALFI</t>
  </si>
  <si>
    <t>NUG313013</t>
  </si>
  <si>
    <t>Mc DO Wag</t>
  </si>
  <si>
    <t>GCAC0100</t>
  </si>
  <si>
    <t>Theatre Gennevilliers</t>
  </si>
  <si>
    <t xml:space="preserve"> Gennevilliers</t>
  </si>
  <si>
    <t>Bt26</t>
  </si>
  <si>
    <t>Darty Orgeval</t>
  </si>
  <si>
    <t>GCAC0150</t>
  </si>
  <si>
    <t>Genn Anat France</t>
  </si>
  <si>
    <t>Gennevilliers</t>
  </si>
  <si>
    <t>ECOLE Militaire</t>
  </si>
  <si>
    <t xml:space="preserve"> - Extincteur à eau pulvérisée 6 litres avec additif (AB) PLEIN</t>
  </si>
  <si>
    <t xml:space="preserve"> - Extincteur à poudre polyvalente 6 kilos (ABC) PLEIN</t>
  </si>
  <si>
    <t xml:space="preserve"> - Extincteur à poudre polyvalente 9 kilos (ABC) PLEIN</t>
  </si>
  <si>
    <r>
      <t>CGAC00</t>
    </r>
    <r>
      <rPr>
        <sz val="10"/>
        <rFont val="Courier New"/>
        <family val="3"/>
      </rPr>
      <t>50</t>
    </r>
  </si>
  <si>
    <t>Marque</t>
  </si>
  <si>
    <t>TT4P-RF</t>
  </si>
  <si>
    <t>TT4DL-RF</t>
  </si>
  <si>
    <t>TT4DSL-RF</t>
  </si>
  <si>
    <t>FARID</t>
  </si>
  <si>
    <t>GRIGNY</t>
  </si>
  <si>
    <t>STOCK</t>
  </si>
  <si>
    <t>NICOLAS</t>
  </si>
  <si>
    <t>Genneviliers</t>
  </si>
  <si>
    <t>BIZ300003</t>
  </si>
  <si>
    <t>JORGE C</t>
  </si>
  <si>
    <t>BOUGIVAL</t>
  </si>
  <si>
    <t>Stock voiture</t>
  </si>
  <si>
    <t>SANTOS</t>
  </si>
  <si>
    <t>SODEXO</t>
  </si>
  <si>
    <t>ALFI BUSSY</t>
  </si>
  <si>
    <t>BIZ710250</t>
  </si>
  <si>
    <t>Mail Gennevilliers</t>
  </si>
  <si>
    <t>GCAC CO²</t>
  </si>
  <si>
    <t>BIZ710212</t>
  </si>
  <si>
    <t>IBO08802</t>
  </si>
  <si>
    <t>IBO08800</t>
  </si>
  <si>
    <t>BAN19</t>
  </si>
  <si>
    <t>Source</t>
  </si>
  <si>
    <t>NUG 30216</t>
  </si>
  <si>
    <t>Stock</t>
  </si>
  <si>
    <t>EPW12V3.3AH</t>
  </si>
  <si>
    <t>EPW Batterie</t>
  </si>
  <si>
    <t>EPW12V1,3S</t>
  </si>
  <si>
    <t>A9N21205</t>
  </si>
  <si>
    <t>SEXP1003</t>
  </si>
  <si>
    <t>L.PEYRE</t>
  </si>
  <si>
    <t>Maie de Gennevilliers</t>
  </si>
  <si>
    <t>Mairie de Gennevilliers</t>
  </si>
  <si>
    <t>ANI</t>
  </si>
  <si>
    <t>LEG080282</t>
  </si>
  <si>
    <t>LEG031916</t>
  </si>
  <si>
    <t>BIZ300009</t>
  </si>
  <si>
    <t>KB330</t>
  </si>
  <si>
    <t>AWG24</t>
  </si>
  <si>
    <t>TT4DS-RF</t>
  </si>
  <si>
    <t>Obs</t>
  </si>
  <si>
    <t>Câbles   Gaines</t>
  </si>
  <si>
    <t>Bay Stock</t>
  </si>
  <si>
    <t>Alfi Tolbiac</t>
  </si>
  <si>
    <t>Alfi Bailly</t>
  </si>
  <si>
    <t>T2G</t>
  </si>
  <si>
    <t>CR1C1 2X1,5</t>
  </si>
  <si>
    <t>LAURENT</t>
  </si>
  <si>
    <t xml:space="preserve">LAURENT </t>
  </si>
  <si>
    <t>Allan</t>
  </si>
  <si>
    <t>FNV</t>
  </si>
  <si>
    <t>NUG 30454</t>
  </si>
  <si>
    <t>HNT</t>
  </si>
  <si>
    <t>Fort de l'Est</t>
  </si>
  <si>
    <t>Sodexo</t>
  </si>
  <si>
    <t>032023</t>
  </si>
  <si>
    <t>AAEP0027</t>
  </si>
  <si>
    <t>FAM MORANGIS</t>
  </si>
  <si>
    <t>AREP</t>
  </si>
  <si>
    <t>ALFI Glaci</t>
  </si>
  <si>
    <t>NICO</t>
  </si>
  <si>
    <t>SEBASTIEN</t>
  </si>
  <si>
    <t>LEG92002</t>
  </si>
  <si>
    <t>LOPACKY</t>
  </si>
  <si>
    <t>PULPITO</t>
  </si>
  <si>
    <t>DESVOS</t>
  </si>
  <si>
    <t>ALFI PALAISEAU</t>
  </si>
  <si>
    <t>LOPACEKY</t>
  </si>
  <si>
    <t>M5007A-B300</t>
  </si>
  <si>
    <t>SEB</t>
  </si>
  <si>
    <t>BIZ35013</t>
  </si>
  <si>
    <t>LEG031870</t>
  </si>
  <si>
    <t>Alfi Palaiseau</t>
  </si>
  <si>
    <t>PDM2</t>
  </si>
  <si>
    <t>LEG032023</t>
  </si>
  <si>
    <t>Café Charbon</t>
  </si>
  <si>
    <t>Darty Soisson</t>
  </si>
  <si>
    <t>IRSI10080</t>
  </si>
  <si>
    <t>PROXY IMMOB</t>
  </si>
  <si>
    <t>AMS</t>
  </si>
  <si>
    <t>Gennevilliers Mail</t>
  </si>
  <si>
    <t>AMJ</t>
  </si>
  <si>
    <t>FT801</t>
  </si>
  <si>
    <t>HPI</t>
  </si>
  <si>
    <t>Alhambra</t>
  </si>
  <si>
    <t>DR6024</t>
  </si>
  <si>
    <t>XVX-A6BZ-C </t>
  </si>
  <si>
    <t>XC-DC2AN</t>
  </si>
  <si>
    <t>Cde  N° 27 "ANDRIEU livrée le 17/7</t>
  </si>
  <si>
    <t>stock OK</t>
  </si>
  <si>
    <t>Commander</t>
  </si>
  <si>
    <t>LOCATION EXTINCTEURS</t>
  </si>
  <si>
    <t>Nb Sortie</t>
  </si>
  <si>
    <t>Nb Retour</t>
  </si>
  <si>
    <t>Ref Extinct</t>
  </si>
  <si>
    <t>Date Fin Location</t>
  </si>
  <si>
    <t>Fin Location</t>
  </si>
  <si>
    <t>bbb</t>
  </si>
  <si>
    <t>N° Loc</t>
  </si>
  <si>
    <t>Date Location</t>
  </si>
  <si>
    <t>N° Location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</si>
</sst>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d/m/yy;@"/>
  </numFmts>
  <fonts count="3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24"/>
      <color theme="1"/>
      <name val="Calibri"/>
      <family val="2"/>
      <scheme val="minor"/>
    </font>
    <font>
      <sz val="11"/>
      <color theme="1"/>
      <name val="Courier New"/>
      <family val="3"/>
    </font>
    <font>
      <b/>
      <sz val="11"/>
      <color rgb="FFFF0000"/>
      <name val="Calibri"/>
      <family val="2"/>
    </font>
    <font>
      <sz val="16"/>
      <color rgb="FFFF0000"/>
      <name val="Calibri"/>
      <family val="2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4" tint="0.79998168889431442"/>
      <name val="Calibri"/>
      <family val="2"/>
      <scheme val="minor"/>
    </font>
    <font>
      <sz val="11"/>
      <color rgb="FFFF0000"/>
      <name val="Calibri"/>
      <family val="2"/>
      <scheme val="minor"/>
    </font>
    <font>
      <sz val="6"/>
      <color theme="1"/>
      <name val="Calibri"/>
      <family val="2"/>
      <scheme val="minor"/>
    </font>
    <font>
      <sz val="11"/>
      <color theme="4" tint="0.79998168889431442"/>
      <name val="Calibri"/>
      <family val="2"/>
      <scheme val="minor"/>
    </font>
    <font>
      <b/>
      <sz val="11"/>
      <color theme="4" tint="0.79998168889431442"/>
      <name val="Calibri"/>
      <family val="2"/>
      <scheme val="minor"/>
    </font>
    <font>
      <b/>
      <sz val="12"/>
      <color theme="4" tint="0.79998168889431442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rgb="FFFFFF00"/>
      <name val="Calibri"/>
      <family val="2"/>
      <scheme val="minor"/>
    </font>
    <font>
      <b/>
      <sz val="11"/>
      <name val="Calibri"/>
      <family val="2"/>
      <scheme val="minor"/>
    </font>
    <font>
      <b/>
      <sz val="8"/>
      <color theme="1"/>
      <name val="Calibri"/>
      <family val="2"/>
      <scheme val="minor"/>
    </font>
    <font>
      <i/>
      <sz val="8"/>
      <color theme="1"/>
      <name val="Calibri"/>
      <family val="2"/>
      <scheme val="minor"/>
    </font>
    <font>
      <sz val="10"/>
      <color theme="1"/>
      <name val="Courier New"/>
      <family val="3"/>
    </font>
    <font>
      <sz val="10"/>
      <name val="Courier New"/>
      <family val="3"/>
    </font>
    <font>
      <b/>
      <sz val="10"/>
      <color rgb="FFFF0000"/>
      <name val="Calibri"/>
      <family val="2"/>
      <scheme val="minor"/>
    </font>
    <font>
      <sz val="11"/>
      <color rgb="FF000000"/>
      <name val="Calibri"/>
      <family val="2"/>
    </font>
    <font>
      <sz val="10"/>
      <color rgb="FFFF0000"/>
      <name val="Calibri"/>
      <family val="2"/>
      <scheme val="minor"/>
    </font>
    <font>
      <b/>
      <sz val="24"/>
      <color rgb="FFFF0000"/>
      <name val="Calibri"/>
      <family val="2"/>
      <scheme val="minor"/>
    </font>
    <font>
      <b/>
      <sz val="22"/>
      <color rgb="FFFF0000"/>
      <name val="Calibri"/>
      <family val="2"/>
    </font>
    <font>
      <i/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</fills>
  <borders count="54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/>
      <top/>
      <bottom style="double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 style="thin">
        <color auto="1"/>
      </left>
      <right/>
      <top style="dashed">
        <color auto="1"/>
      </top>
      <bottom style="dashed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 style="thin">
        <color auto="1"/>
      </right>
      <top style="dashed">
        <color auto="1"/>
      </top>
      <bottom style="dashed">
        <color auto="1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rgb="FFFF0000"/>
      </top>
      <bottom/>
      <diagonal/>
    </border>
    <border>
      <left style="thin">
        <color auto="1"/>
      </left>
      <right/>
      <top style="double">
        <color rgb="FFFF0000"/>
      </top>
      <bottom style="dashed">
        <color auto="1"/>
      </bottom>
      <diagonal/>
    </border>
    <border>
      <left/>
      <right/>
      <top style="double">
        <color rgb="FFFF0000"/>
      </top>
      <bottom style="dashed">
        <color auto="1"/>
      </bottom>
      <diagonal/>
    </border>
    <border>
      <left style="double">
        <color auto="1"/>
      </left>
      <right/>
      <top style="double">
        <color rgb="FFFF0000"/>
      </top>
      <bottom style="double">
        <color auto="1"/>
      </bottom>
      <diagonal/>
    </border>
    <border>
      <left/>
      <right style="double">
        <color auto="1"/>
      </right>
      <top style="double">
        <color rgb="FFFF0000"/>
      </top>
      <bottom style="double">
        <color auto="1"/>
      </bottom>
      <diagonal/>
    </border>
    <border>
      <left/>
      <right style="double">
        <color rgb="FFFF0000"/>
      </right>
      <top style="double">
        <color rgb="FFFF0000"/>
      </top>
      <bottom/>
      <diagonal/>
    </border>
    <border>
      <left/>
      <right style="double">
        <color rgb="FFFF0000"/>
      </right>
      <top/>
      <bottom/>
      <diagonal/>
    </border>
    <border>
      <left/>
      <right style="double">
        <color rgb="FFFF0000"/>
      </right>
      <top style="thin">
        <color auto="1"/>
      </top>
      <bottom/>
      <diagonal/>
    </border>
    <border>
      <left/>
      <right style="double">
        <color rgb="FFFF0000"/>
      </right>
      <top/>
      <bottom style="double">
        <color rgb="FFFF0000"/>
      </bottom>
      <diagonal/>
    </border>
    <border>
      <left/>
      <right/>
      <top/>
      <bottom style="double">
        <color rgb="FFFF0000"/>
      </bottom>
      <diagonal/>
    </border>
    <border diagonalDown="1">
      <left style="thin">
        <color auto="1"/>
      </left>
      <right style="thin">
        <color auto="1"/>
      </right>
      <top style="double">
        <color rgb="FFFF0000"/>
      </top>
      <bottom style="thin">
        <color auto="1"/>
      </bottom>
      <diagonal style="thin">
        <color auto="1"/>
      </diagonal>
    </border>
    <border diagonalDown="1">
      <left style="double">
        <color rgb="FFFF0000"/>
      </left>
      <right style="thin">
        <color auto="1"/>
      </right>
      <top style="double">
        <color rgb="FFFF0000"/>
      </top>
      <bottom style="thin">
        <color auto="1"/>
      </bottom>
      <diagonal style="double">
        <color auto="1"/>
      </diagonal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double">
        <color rgb="FFFF0000"/>
      </right>
      <top/>
      <bottom style="thin">
        <color auto="1"/>
      </bottom>
      <diagonal/>
    </border>
    <border>
      <left style="thin">
        <color auto="1"/>
      </left>
      <right/>
      <top/>
      <bottom style="double">
        <color rgb="FFFF0000"/>
      </bottom>
      <diagonal/>
    </border>
    <border>
      <left style="double">
        <color auto="1"/>
      </left>
      <right/>
      <top style="thin">
        <color auto="1"/>
      </top>
      <bottom/>
      <diagonal/>
    </border>
    <border>
      <left style="double">
        <color auto="1"/>
      </left>
      <right/>
      <top/>
      <bottom style="thin">
        <color auto="1"/>
      </bottom>
      <diagonal/>
    </border>
    <border>
      <left style="double">
        <color rgb="FFFF0000"/>
      </left>
      <right/>
      <top style="thin">
        <color auto="1"/>
      </top>
      <bottom/>
      <diagonal/>
    </border>
    <border>
      <left style="double">
        <color rgb="FFFF0000"/>
      </left>
      <right/>
      <top/>
      <bottom/>
      <diagonal/>
    </border>
    <border>
      <left style="double">
        <color rgb="FFFF0000"/>
      </left>
      <right/>
      <top/>
      <bottom style="double">
        <color rgb="FFFF0000"/>
      </bottom>
      <diagonal/>
    </border>
    <border>
      <left/>
      <right style="thin">
        <color auto="1"/>
      </right>
      <top/>
      <bottom style="double">
        <color rgb="FFFF0000"/>
      </bottom>
      <diagonal/>
    </border>
    <border>
      <left style="double">
        <color rgb="FFFF0000"/>
      </left>
      <right/>
      <top/>
      <bottom style="thin">
        <color auto="1"/>
      </bottom>
      <diagonal/>
    </border>
    <border diagonalUp="1">
      <left style="thin">
        <color auto="1"/>
      </left>
      <right/>
      <top/>
      <bottom/>
      <diagonal style="double">
        <color rgb="FFFF0000"/>
      </diagonal>
    </border>
    <border>
      <left style="double">
        <color rgb="FFFF0000"/>
      </left>
      <right/>
      <top style="double">
        <color rgb="FFFF0000"/>
      </top>
      <bottom/>
      <diagonal/>
    </border>
    <border>
      <left style="double">
        <color rgb="FFFF0000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double">
        <color rgb="FFFF0000"/>
      </right>
      <top/>
      <bottom style="double">
        <color indexed="64"/>
      </bottom>
      <diagonal/>
    </border>
    <border>
      <left style="double">
        <color rgb="FFFF0000"/>
      </left>
      <right style="dashed">
        <color auto="1"/>
      </right>
      <top/>
      <bottom style="dashed">
        <color auto="1"/>
      </bottom>
      <diagonal/>
    </border>
    <border>
      <left style="dotted">
        <color auto="1"/>
      </left>
      <right style="double">
        <color rgb="FFFF0000"/>
      </right>
      <top/>
      <bottom style="dotted">
        <color auto="1"/>
      </bottom>
      <diagonal/>
    </border>
    <border>
      <left style="double">
        <color rgb="FFFF0000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dotted">
        <color auto="1"/>
      </left>
      <right style="double">
        <color rgb="FFFF0000"/>
      </right>
      <top style="dotted">
        <color auto="1"/>
      </top>
      <bottom style="dotted">
        <color auto="1"/>
      </bottom>
      <diagonal/>
    </border>
    <border>
      <left style="double">
        <color rgb="FFFF0000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double">
        <color rgb="FFFF0000"/>
      </left>
      <right style="dashed">
        <color auto="1"/>
      </right>
      <top style="dashed">
        <color auto="1"/>
      </top>
      <bottom style="double">
        <color rgb="FFFF0000"/>
      </bottom>
      <diagonal/>
    </border>
    <border>
      <left style="dashed">
        <color auto="1"/>
      </left>
      <right style="dashed">
        <color auto="1"/>
      </right>
      <top style="dashed">
        <color auto="1"/>
      </top>
      <bottom style="double">
        <color rgb="FFFF0000"/>
      </bottom>
      <diagonal/>
    </border>
  </borders>
  <cellStyleXfs count="3">
    <xf numFmtId="0" fontId="0" fillId="0" borderId="0"/>
    <xf numFmtId="43" fontId="10" fillId="0" borderId="0" applyFont="0" applyFill="0" applyBorder="0" applyAlignment="0" applyProtection="0"/>
    <xf numFmtId="0" fontId="27" fillId="0" borderId="0"/>
  </cellStyleXfs>
  <cellXfs count="174">
    <xf numFmtId="0" fontId="0" fillId="0" borderId="0" xfId="0"/>
    <xf numFmtId="0" fontId="0" fillId="0" borderId="0" xfId="0" applyAlignment="1">
      <alignment horizontal="center"/>
    </xf>
    <xf numFmtId="0" fontId="3" fillId="3" borderId="0" xfId="0" applyFont="1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1" fillId="4" borderId="0" xfId="0" applyFont="1" applyFill="1" applyAlignment="1">
      <alignment horizontal="center"/>
    </xf>
    <xf numFmtId="164" fontId="0" fillId="0" borderId="0" xfId="0" applyNumberFormat="1" applyAlignment="1">
      <alignment horizontal="center"/>
    </xf>
    <xf numFmtId="0" fontId="1" fillId="5" borderId="0" xfId="0" applyFont="1" applyFill="1" applyAlignment="1">
      <alignment horizontal="center"/>
    </xf>
    <xf numFmtId="0" fontId="0" fillId="0" borderId="0" xfId="0" applyAlignment="1">
      <alignment horizontal="left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/>
    <xf numFmtId="0" fontId="0" fillId="0" borderId="0" xfId="0" applyFill="1"/>
    <xf numFmtId="164" fontId="0" fillId="0" borderId="0" xfId="0" applyNumberFormat="1"/>
    <xf numFmtId="0" fontId="11" fillId="0" borderId="0" xfId="0" applyFont="1"/>
    <xf numFmtId="0" fontId="13" fillId="0" borderId="0" xfId="0" applyFont="1"/>
    <xf numFmtId="164" fontId="1" fillId="0" borderId="0" xfId="0" applyNumberFormat="1" applyFont="1" applyAlignment="1">
      <alignment horizontal="center"/>
    </xf>
    <xf numFmtId="0" fontId="0" fillId="0" borderId="0" xfId="0" applyNumberFormat="1"/>
    <xf numFmtId="0" fontId="8" fillId="0" borderId="8" xfId="0" applyFont="1" applyFill="1" applyBorder="1" applyAlignment="1">
      <alignment horizontal="center"/>
    </xf>
    <xf numFmtId="0" fontId="8" fillId="4" borderId="0" xfId="0" applyFont="1" applyFill="1" applyAlignment="1">
      <alignment horizontal="center"/>
    </xf>
    <xf numFmtId="0" fontId="5" fillId="0" borderId="0" xfId="0" applyNumberFormat="1" applyFont="1" applyAlignment="1">
      <alignment horizontal="center"/>
    </xf>
    <xf numFmtId="0" fontId="15" fillId="4" borderId="0" xfId="0" applyFont="1" applyFill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0" borderId="0" xfId="0" applyBorder="1"/>
    <xf numFmtId="0" fontId="18" fillId="0" borderId="16" xfId="0" applyFont="1" applyFill="1" applyBorder="1" applyAlignment="1">
      <alignment horizontal="center"/>
    </xf>
    <xf numFmtId="0" fontId="0" fillId="0" borderId="16" xfId="0" applyFill="1" applyBorder="1" applyAlignment="1"/>
    <xf numFmtId="0" fontId="20" fillId="0" borderId="16" xfId="0" applyFont="1" applyFill="1" applyBorder="1" applyAlignment="1"/>
    <xf numFmtId="0" fontId="9" fillId="0" borderId="0" xfId="0" applyFont="1" applyAlignment="1">
      <alignment horizontal="left"/>
    </xf>
    <xf numFmtId="0" fontId="9" fillId="0" borderId="0" xfId="0" applyFont="1" applyAlignment="1">
      <alignment horizontal="center"/>
    </xf>
    <xf numFmtId="0" fontId="0" fillId="0" borderId="27" xfId="0" applyBorder="1"/>
    <xf numFmtId="0" fontId="0" fillId="0" borderId="28" xfId="0" applyBorder="1"/>
    <xf numFmtId="0" fontId="8" fillId="0" borderId="1" xfId="0" applyFont="1" applyFill="1" applyBorder="1" applyAlignment="1">
      <alignment horizontal="center"/>
    </xf>
    <xf numFmtId="0" fontId="0" fillId="0" borderId="11" xfId="0" applyBorder="1" applyAlignment="1">
      <alignment horizontal="center" vertical="center" textRotation="255"/>
    </xf>
    <xf numFmtId="0" fontId="0" fillId="0" borderId="5" xfId="0" applyBorder="1" applyAlignment="1">
      <alignment horizontal="center" vertical="center" textRotation="255"/>
    </xf>
    <xf numFmtId="0" fontId="0" fillId="0" borderId="12" xfId="0" applyBorder="1" applyAlignment="1">
      <alignment horizontal="center" vertical="center" textRotation="255"/>
    </xf>
    <xf numFmtId="0" fontId="0" fillId="0" borderId="30" xfId="0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32" xfId="0" applyBorder="1" applyAlignment="1">
      <alignment horizontal="center" vertical="center" textRotation="255"/>
    </xf>
    <xf numFmtId="0" fontId="0" fillId="0" borderId="31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33" xfId="0" applyBorder="1" applyAlignment="1">
      <alignment horizontal="center" vertical="center" textRotation="255"/>
    </xf>
    <xf numFmtId="0" fontId="8" fillId="0" borderId="36" xfId="0" applyFont="1" applyFill="1" applyBorder="1" applyAlignment="1">
      <alignment horizontal="center"/>
    </xf>
    <xf numFmtId="0" fontId="8" fillId="0" borderId="31" xfId="0" applyFont="1" applyBorder="1" applyAlignment="1">
      <alignment horizontal="center" vertical="center" textRotation="255"/>
    </xf>
    <xf numFmtId="0" fontId="8" fillId="0" borderId="0" xfId="0" applyFont="1" applyBorder="1" applyAlignment="1">
      <alignment horizontal="center" vertical="center" textRotation="255"/>
    </xf>
    <xf numFmtId="0" fontId="8" fillId="0" borderId="33" xfId="0" applyFont="1" applyBorder="1" applyAlignment="1">
      <alignment horizontal="center" vertical="center" textRotation="255"/>
    </xf>
    <xf numFmtId="0" fontId="8" fillId="0" borderId="11" xfId="0" applyFont="1" applyFill="1" applyBorder="1" applyAlignment="1">
      <alignment horizontal="center"/>
    </xf>
    <xf numFmtId="0" fontId="23" fillId="4" borderId="0" xfId="0" applyFont="1" applyFill="1" applyAlignment="1">
      <alignment horizontal="center"/>
    </xf>
    <xf numFmtId="0" fontId="0" fillId="1" borderId="17" xfId="0" applyFill="1" applyBorder="1"/>
    <xf numFmtId="0" fontId="0" fillId="1" borderId="0" xfId="0" applyFill="1" applyBorder="1"/>
    <xf numFmtId="0" fontId="0" fillId="1" borderId="0" xfId="0" applyFill="1"/>
    <xf numFmtId="0" fontId="0" fillId="1" borderId="26" xfId="0" applyFill="1" applyBorder="1"/>
    <xf numFmtId="0" fontId="0" fillId="1" borderId="22" xfId="0" applyFill="1" applyBorder="1" applyAlignment="1"/>
    <xf numFmtId="0" fontId="0" fillId="1" borderId="23" xfId="0" applyFill="1" applyBorder="1" applyAlignment="1"/>
    <xf numFmtId="0" fontId="1" fillId="1" borderId="26" xfId="0" applyFont="1" applyFill="1" applyBorder="1"/>
    <xf numFmtId="0" fontId="0" fillId="1" borderId="43" xfId="0" applyFill="1" applyBorder="1"/>
    <xf numFmtId="0" fontId="8" fillId="6" borderId="1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/>
    </xf>
    <xf numFmtId="0" fontId="8" fillId="2" borderId="45" xfId="0" applyFont="1" applyFill="1" applyBorder="1" applyAlignment="1">
      <alignment horizontal="center"/>
    </xf>
    <xf numFmtId="0" fontId="0" fillId="0" borderId="0" xfId="0" applyNumberFormat="1" applyBorder="1"/>
    <xf numFmtId="0" fontId="8" fillId="8" borderId="46" xfId="0" applyFont="1" applyFill="1" applyBorder="1" applyAlignment="1">
      <alignment horizontal="center"/>
    </xf>
    <xf numFmtId="0" fontId="8" fillId="0" borderId="47" xfId="0" applyFont="1" applyFill="1" applyBorder="1" applyAlignment="1">
      <alignment horizontal="center"/>
    </xf>
    <xf numFmtId="0" fontId="8" fillId="0" borderId="48" xfId="0" applyFont="1" applyBorder="1"/>
    <xf numFmtId="0" fontId="8" fillId="0" borderId="49" xfId="0" applyFont="1" applyFill="1" applyBorder="1" applyAlignment="1">
      <alignment horizontal="center"/>
    </xf>
    <xf numFmtId="0" fontId="8" fillId="0" borderId="50" xfId="0" applyFont="1" applyBorder="1"/>
    <xf numFmtId="0" fontId="0" fillId="0" borderId="39" xfId="0" applyBorder="1"/>
    <xf numFmtId="0" fontId="8" fillId="6" borderId="51" xfId="0" applyFont="1" applyFill="1" applyBorder="1" applyAlignment="1">
      <alignment horizontal="center" vertical="center"/>
    </xf>
    <xf numFmtId="0" fontId="22" fillId="0" borderId="49" xfId="0" applyFont="1" applyFill="1" applyBorder="1" applyAlignment="1">
      <alignment horizontal="center"/>
    </xf>
    <xf numFmtId="0" fontId="8" fillId="0" borderId="23" xfId="0" applyFont="1" applyBorder="1"/>
    <xf numFmtId="0" fontId="0" fillId="0" borderId="23" xfId="0" applyBorder="1"/>
    <xf numFmtId="0" fontId="8" fillId="0" borderId="52" xfId="0" applyFont="1" applyFill="1" applyBorder="1" applyAlignment="1">
      <alignment horizontal="center"/>
    </xf>
    <xf numFmtId="0" fontId="8" fillId="0" borderId="53" xfId="0" applyFont="1" applyFill="1" applyBorder="1" applyAlignment="1">
      <alignment horizontal="center"/>
    </xf>
    <xf numFmtId="0" fontId="0" fillId="0" borderId="26" xfId="0" applyBorder="1"/>
    <xf numFmtId="0" fontId="0" fillId="0" borderId="25" xfId="0" applyBorder="1"/>
    <xf numFmtId="164" fontId="24" fillId="0" borderId="0" xfId="0" applyNumberFormat="1" applyFont="1" applyAlignment="1">
      <alignment horizontal="center"/>
    </xf>
    <xf numFmtId="0" fontId="24" fillId="0" borderId="0" xfId="0" applyFont="1" applyAlignment="1">
      <alignment horizontal="center"/>
    </xf>
    <xf numFmtId="0" fontId="0" fillId="0" borderId="0" xfId="0"/>
    <xf numFmtId="0" fontId="14" fillId="4" borderId="0" xfId="0" applyFont="1" applyFill="1" applyAlignment="1">
      <alignment horizontal="center"/>
    </xf>
    <xf numFmtId="0" fontId="14" fillId="0" borderId="0" xfId="0" applyFont="1" applyFill="1"/>
    <xf numFmtId="0" fontId="14" fillId="0" borderId="0" xfId="0" applyFont="1"/>
    <xf numFmtId="0" fontId="14" fillId="0" borderId="0" xfId="0" applyFont="1" applyFill="1" applyAlignment="1">
      <alignment horizontal="center"/>
    </xf>
    <xf numFmtId="0" fontId="14" fillId="0" borderId="17" xfId="0" applyFont="1" applyFill="1" applyBorder="1" applyAlignment="1"/>
    <xf numFmtId="0" fontId="0" fillId="4" borderId="0" xfId="0" applyFill="1" applyAlignment="1">
      <alignment horizontal="center"/>
    </xf>
    <xf numFmtId="0" fontId="0" fillId="0" borderId="0" xfId="0"/>
    <xf numFmtId="0" fontId="0" fillId="0" borderId="0" xfId="0" applyAlignment="1">
      <alignment horizontal="center"/>
    </xf>
    <xf numFmtId="0" fontId="9" fillId="0" borderId="0" xfId="0" applyFont="1"/>
    <xf numFmtId="0" fontId="0" fillId="0" borderId="29" xfId="0" applyFont="1" applyBorder="1" applyAlignment="1">
      <alignment horizontal="center"/>
    </xf>
    <xf numFmtId="0" fontId="28" fillId="0" borderId="0" xfId="0" applyFont="1"/>
    <xf numFmtId="0" fontId="0" fillId="4" borderId="0" xfId="0" applyFill="1" applyAlignment="1">
      <alignment horizontal="center"/>
    </xf>
    <xf numFmtId="0" fontId="3" fillId="3" borderId="0" xfId="0" applyFont="1" applyFill="1" applyAlignment="1">
      <alignment horizontal="center"/>
    </xf>
    <xf numFmtId="0" fontId="21" fillId="5" borderId="0" xfId="0" applyFont="1" applyFill="1" applyAlignment="1">
      <alignment horizontal="center"/>
    </xf>
    <xf numFmtId="0" fontId="11" fillId="2" borderId="0" xfId="0" applyFont="1" applyFill="1" applyAlignment="1">
      <alignment horizontal="center"/>
    </xf>
    <xf numFmtId="16" fontId="0" fillId="0" borderId="0" xfId="0" applyNumberFormat="1" applyAlignment="1">
      <alignment horizontal="center"/>
    </xf>
    <xf numFmtId="0" fontId="0" fillId="4" borderId="0" xfId="0" applyFill="1" applyAlignment="1">
      <alignment horizontal="center"/>
    </xf>
    <xf numFmtId="0" fontId="26" fillId="4" borderId="0" xfId="0" applyFont="1" applyFill="1" applyAlignment="1">
      <alignment horizontal="center" vertical="center" wrapText="1"/>
    </xf>
    <xf numFmtId="0" fontId="3" fillId="3" borderId="0" xfId="0" applyFont="1" applyFill="1" applyAlignment="1">
      <alignment horizontal="center"/>
    </xf>
    <xf numFmtId="0" fontId="1" fillId="2" borderId="17" xfId="0" applyFont="1" applyFill="1" applyBorder="1" applyAlignment="1">
      <alignment horizontal="center" vertical="center" wrapText="1"/>
    </xf>
    <xf numFmtId="0" fontId="1" fillId="2" borderId="22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 wrapText="1"/>
    </xf>
    <xf numFmtId="0" fontId="1" fillId="2" borderId="25" xfId="0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/>
    </xf>
    <xf numFmtId="0" fontId="19" fillId="0" borderId="21" xfId="0" applyFont="1" applyFill="1" applyBorder="1" applyAlignment="1">
      <alignment horizontal="center"/>
    </xf>
    <xf numFmtId="0" fontId="18" fillId="0" borderId="13" xfId="0" applyFont="1" applyFill="1" applyBorder="1" applyAlignment="1">
      <alignment horizontal="center"/>
    </xf>
    <xf numFmtId="0" fontId="18" fillId="0" borderId="14" xfId="0" applyFont="1" applyFill="1" applyBorder="1" applyAlignment="1">
      <alignment horizontal="center"/>
    </xf>
    <xf numFmtId="0" fontId="0" fillId="0" borderId="31" xfId="0" applyBorder="1" applyAlignment="1">
      <alignment horizontal="center" vertical="center" textRotation="255"/>
    </xf>
    <xf numFmtId="0" fontId="0" fillId="0" borderId="0" xfId="0" applyBorder="1" applyAlignment="1">
      <alignment horizontal="center" vertical="center" textRotation="255"/>
    </xf>
    <xf numFmtId="0" fontId="0" fillId="0" borderId="4" xfId="0" applyBorder="1" applyAlignment="1">
      <alignment horizontal="center" vertical="center" textRotation="255"/>
    </xf>
    <xf numFmtId="0" fontId="0" fillId="0" borderId="10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1" xfId="0" applyBorder="1" applyAlignment="1">
      <alignment horizontal="center" vertical="center" textRotation="255"/>
    </xf>
    <xf numFmtId="0" fontId="0" fillId="0" borderId="5" xfId="0" applyBorder="1" applyAlignment="1">
      <alignment horizontal="center" vertical="center" textRotation="255"/>
    </xf>
    <xf numFmtId="0" fontId="8" fillId="0" borderId="24" xfId="0" applyFont="1" applyFill="1" applyBorder="1" applyAlignment="1">
      <alignment horizontal="center" vertical="center" textRotation="255"/>
    </xf>
    <xf numFmtId="0" fontId="8" fillId="0" borderId="23" xfId="0" applyFont="1" applyFill="1" applyBorder="1" applyAlignment="1">
      <alignment horizontal="center" vertical="center" textRotation="255"/>
    </xf>
    <xf numFmtId="0" fontId="8" fillId="0" borderId="34" xfId="0" applyFont="1" applyFill="1" applyBorder="1" applyAlignment="1">
      <alignment horizontal="center" vertical="center" textRotation="255"/>
    </xf>
    <xf numFmtId="0" fontId="0" fillId="0" borderId="24" xfId="0" applyBorder="1" applyAlignment="1">
      <alignment horizontal="center" vertical="center" textRotation="255"/>
    </xf>
    <xf numFmtId="0" fontId="0" fillId="0" borderId="23" xfId="0" applyBorder="1" applyAlignment="1">
      <alignment horizontal="center" vertical="center" textRotation="255"/>
    </xf>
    <xf numFmtId="0" fontId="0" fillId="0" borderId="34" xfId="0" applyBorder="1" applyAlignment="1">
      <alignment horizontal="center" vertical="center" textRotation="255"/>
    </xf>
    <xf numFmtId="0" fontId="0" fillId="0" borderId="2" xfId="0" applyBorder="1" applyAlignment="1">
      <alignment horizontal="center" vertical="center" textRotation="255"/>
    </xf>
    <xf numFmtId="0" fontId="0" fillId="0" borderId="37" xfId="0" applyBorder="1" applyAlignment="1">
      <alignment horizontal="center" vertical="center" textRotation="255"/>
    </xf>
    <xf numFmtId="0" fontId="0" fillId="0" borderId="30" xfId="0" applyBorder="1" applyAlignment="1">
      <alignment horizontal="center" vertical="center" textRotation="255"/>
    </xf>
    <xf numFmtId="0" fontId="0" fillId="0" borderId="6" xfId="0" applyBorder="1" applyAlignment="1">
      <alignment horizontal="center" vertical="center" textRotation="255"/>
    </xf>
    <xf numFmtId="0" fontId="0" fillId="0" borderId="35" xfId="0" applyBorder="1" applyAlignment="1">
      <alignment horizontal="center" vertical="center" textRotation="255"/>
    </xf>
    <xf numFmtId="0" fontId="14" fillId="0" borderId="31" xfId="0" applyFont="1" applyFill="1" applyBorder="1" applyAlignment="1">
      <alignment horizontal="center" vertical="center" textRotation="255"/>
    </xf>
    <xf numFmtId="0" fontId="14" fillId="0" borderId="0" xfId="0" applyFont="1" applyFill="1" applyBorder="1" applyAlignment="1">
      <alignment horizontal="center" vertical="center" textRotation="255"/>
    </xf>
    <xf numFmtId="0" fontId="14" fillId="0" borderId="33" xfId="0" applyFont="1" applyFill="1" applyBorder="1" applyAlignment="1">
      <alignment horizontal="center" vertical="center" textRotation="255"/>
    </xf>
    <xf numFmtId="0" fontId="0" fillId="0" borderId="33" xfId="0" applyBorder="1" applyAlignment="1">
      <alignment horizontal="center" vertical="center" textRotation="255"/>
    </xf>
    <xf numFmtId="0" fontId="0" fillId="0" borderId="25" xfId="0" applyBorder="1" applyAlignment="1">
      <alignment horizontal="center" vertical="center" textRotation="255"/>
    </xf>
    <xf numFmtId="0" fontId="0" fillId="0" borderId="26" xfId="0" applyBorder="1" applyAlignment="1">
      <alignment horizontal="center" vertical="center" textRotation="255"/>
    </xf>
    <xf numFmtId="0" fontId="8" fillId="0" borderId="31" xfId="0" applyFont="1" applyBorder="1" applyAlignment="1">
      <alignment horizontal="center" vertical="center" textRotation="255"/>
    </xf>
    <xf numFmtId="0" fontId="8" fillId="0" borderId="0" xfId="0" applyFont="1" applyBorder="1" applyAlignment="1">
      <alignment horizontal="center" vertical="center" textRotation="255"/>
    </xf>
    <xf numFmtId="0" fontId="8" fillId="0" borderId="33" xfId="0" applyFont="1" applyBorder="1" applyAlignment="1">
      <alignment horizontal="center" vertical="center" textRotation="255"/>
    </xf>
    <xf numFmtId="0" fontId="8" fillId="0" borderId="11" xfId="0" applyFont="1" applyBorder="1" applyAlignment="1">
      <alignment horizontal="center" vertical="center" textRotation="255"/>
    </xf>
    <xf numFmtId="0" fontId="8" fillId="0" borderId="5" xfId="0" applyFont="1" applyBorder="1" applyAlignment="1">
      <alignment horizontal="center" vertical="center" textRotation="255"/>
    </xf>
    <xf numFmtId="0" fontId="8" fillId="0" borderId="12" xfId="0" applyFont="1" applyBorder="1" applyAlignment="1">
      <alignment horizontal="center" vertical="center" textRotation="255"/>
    </xf>
    <xf numFmtId="0" fontId="2" fillId="0" borderId="3" xfId="0" applyFont="1" applyBorder="1" applyAlignment="1">
      <alignment horizontal="center" vertical="center"/>
    </xf>
    <xf numFmtId="0" fontId="4" fillId="2" borderId="0" xfId="0" applyFont="1" applyFill="1" applyAlignment="1">
      <alignment horizontal="center"/>
    </xf>
    <xf numFmtId="0" fontId="3" fillId="3" borderId="0" xfId="0" applyFont="1" applyFill="1" applyAlignment="1">
      <alignment horizontal="center"/>
    </xf>
    <xf numFmtId="0" fontId="9" fillId="4" borderId="0" xfId="0" applyFont="1" applyFill="1" applyAlignment="1">
      <alignment horizontal="center" vertical="center"/>
    </xf>
    <xf numFmtId="0" fontId="24" fillId="4" borderId="0" xfId="0" applyFont="1" applyFill="1" applyAlignment="1">
      <alignment horizontal="center" vertical="center"/>
    </xf>
    <xf numFmtId="0" fontId="12" fillId="4" borderId="0" xfId="0" applyFont="1" applyFill="1" applyBorder="1" applyAlignment="1">
      <alignment horizontal="center" vertical="center" wrapText="1"/>
    </xf>
    <xf numFmtId="0" fontId="16" fillId="4" borderId="0" xfId="0" applyFont="1" applyFill="1" applyBorder="1" applyAlignment="1">
      <alignment horizontal="center" vertical="center" wrapText="1"/>
    </xf>
    <xf numFmtId="0" fontId="17" fillId="4" borderId="0" xfId="0" applyFont="1" applyFill="1" applyBorder="1" applyAlignment="1">
      <alignment horizontal="center" vertical="center" wrapText="1"/>
    </xf>
    <xf numFmtId="0" fontId="0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8" fillId="0" borderId="38" xfId="0" applyFont="1" applyBorder="1" applyAlignment="1">
      <alignment horizontal="center" vertical="center" textRotation="255"/>
    </xf>
    <xf numFmtId="0" fontId="8" fillId="0" borderId="39" xfId="0" applyFont="1" applyBorder="1" applyAlignment="1">
      <alignment horizontal="center" vertical="center" textRotation="255"/>
    </xf>
    <xf numFmtId="0" fontId="8" fillId="0" borderId="42" xfId="0" applyFont="1" applyBorder="1" applyAlignment="1">
      <alignment horizontal="center" vertical="center" textRotation="255"/>
    </xf>
    <xf numFmtId="0" fontId="4" fillId="9" borderId="44" xfId="0" applyFont="1" applyFill="1" applyBorder="1" applyAlignment="1">
      <alignment horizontal="center" vertical="center"/>
    </xf>
    <xf numFmtId="0" fontId="4" fillId="9" borderId="17" xfId="0" applyFont="1" applyFill="1" applyBorder="1" applyAlignment="1">
      <alignment horizontal="center" vertical="center"/>
    </xf>
    <xf numFmtId="0" fontId="4" fillId="9" borderId="40" xfId="0" applyFont="1" applyFill="1" applyBorder="1" applyAlignment="1">
      <alignment horizontal="center" vertical="center"/>
    </xf>
    <xf numFmtId="0" fontId="4" fillId="9" borderId="26" xfId="0" applyFont="1" applyFill="1" applyBorder="1" applyAlignment="1">
      <alignment horizontal="center" vertical="center"/>
    </xf>
    <xf numFmtId="0" fontId="14" fillId="0" borderId="17" xfId="0" applyFont="1" applyFill="1" applyBorder="1" applyAlignment="1">
      <alignment horizontal="center"/>
    </xf>
    <xf numFmtId="0" fontId="0" fillId="4" borderId="0" xfId="0" applyFill="1" applyAlignment="1">
      <alignment horizontal="center"/>
    </xf>
    <xf numFmtId="0" fontId="26" fillId="4" borderId="0" xfId="0" applyFont="1" applyFill="1" applyAlignment="1">
      <alignment horizontal="center" vertical="center" wrapText="1"/>
    </xf>
    <xf numFmtId="0" fontId="4" fillId="4" borderId="44" xfId="0" applyFont="1" applyFill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/>
    </xf>
    <xf numFmtId="0" fontId="4" fillId="4" borderId="22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4" fillId="4" borderId="26" xfId="0" applyFont="1" applyFill="1" applyBorder="1" applyAlignment="1">
      <alignment horizontal="center" vertical="center"/>
    </xf>
    <xf numFmtId="0" fontId="4" fillId="4" borderId="25" xfId="0" applyFont="1" applyFill="1" applyBorder="1" applyAlignment="1">
      <alignment horizontal="center" vertical="center"/>
    </xf>
    <xf numFmtId="0" fontId="8" fillId="0" borderId="26" xfId="0" applyFont="1" applyBorder="1" applyAlignment="1">
      <alignment horizontal="center" vertical="center" textRotation="255"/>
    </xf>
    <xf numFmtId="0" fontId="8" fillId="0" borderId="41" xfId="0" applyFont="1" applyBorder="1" applyAlignment="1">
      <alignment horizontal="center" vertical="center" textRotation="255"/>
    </xf>
    <xf numFmtId="0" fontId="8" fillId="7" borderId="38" xfId="0" applyFont="1" applyFill="1" applyBorder="1" applyAlignment="1">
      <alignment horizontal="center" vertical="center" textRotation="255"/>
    </xf>
    <xf numFmtId="0" fontId="8" fillId="7" borderId="39" xfId="0" applyFont="1" applyFill="1" applyBorder="1" applyAlignment="1">
      <alignment horizontal="center" vertical="center" textRotation="255"/>
    </xf>
    <xf numFmtId="0" fontId="8" fillId="7" borderId="42" xfId="0" applyFont="1" applyFill="1" applyBorder="1" applyAlignment="1">
      <alignment horizontal="center" vertical="center" textRotation="255"/>
    </xf>
    <xf numFmtId="0" fontId="8" fillId="0" borderId="40" xfId="0" applyFont="1" applyBorder="1" applyAlignment="1">
      <alignment horizontal="center" vertical="center" textRotation="255"/>
    </xf>
    <xf numFmtId="0" fontId="29" fillId="10" borderId="0" xfId="0" applyFont="1" applyFill="1" applyAlignment="1">
      <alignment horizontal="center"/>
    </xf>
    <xf numFmtId="0" fontId="21" fillId="4" borderId="0" xfId="0" applyFont="1" applyFill="1" applyAlignment="1">
      <alignment horizontal="center" vertical="center"/>
    </xf>
    <xf numFmtId="0" fontId="0" fillId="0" borderId="0" xfId="0" applyNumberFormat="1" applyAlignment="1">
      <alignment horizontal="center"/>
    </xf>
    <xf numFmtId="0" fontId="31" fillId="0" borderId="0" xfId="0" applyFont="1" applyFill="1" applyAlignment="1">
      <alignment horizontal="center"/>
    </xf>
  </cellXfs>
  <cellStyles count="3">
    <cellStyle name="Milliers 2" xfId="1" xr:uid="{2D2267B4-BE98-4421-A3B1-0FFDC89AA219}"/>
    <cellStyle name="Normal" xfId="0" builtinId="0"/>
    <cellStyle name="Normal 2" xfId="2" xr:uid="{0E2CF09D-E8F1-4D87-8D34-58315D4DF64B}"/>
  </cellStyles>
  <dxfs count="165">
    <dxf>
      <font>
        <color rgb="FFFF0000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4" tint="0.79998168889431442"/>
      </font>
    </dxf>
    <dxf>
      <font>
        <color theme="4" tint="0.79998168889431442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4" tint="0.79998168889431442"/>
      </font>
    </dxf>
    <dxf>
      <font>
        <color theme="4" tint="0.79998168889431442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b/>
        <i val="0"/>
        <color rgb="FFFF000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FF00"/>
      </font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7CE"/>
        </patternFill>
      </fill>
    </dxf>
    <dxf>
      <numFmt numFmtId="164" formatCode="d/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numFmt numFmtId="0" formatCode="General"/>
    </dxf>
    <dxf>
      <numFmt numFmtId="164" formatCode="d/m/yy;@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/m/yy;@"/>
    </dxf>
    <dxf>
      <alignment horizontal="center" vertical="bottom" textRotation="0" wrapText="0" indent="0" justifyLastLine="0" shrinkToFit="0" readingOrder="0"/>
    </dxf>
    <dxf>
      <numFmt numFmtId="0" formatCode="General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d/m/yy;@"/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285750</xdr:colOff>
          <xdr:row>13</xdr:row>
          <xdr:rowOff>85725</xdr:rowOff>
        </xdr:from>
        <xdr:to>
          <xdr:col>4</xdr:col>
          <xdr:colOff>295275</xdr:colOff>
          <xdr:row>15</xdr:row>
          <xdr:rowOff>85725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361950</xdr:colOff>
          <xdr:row>8</xdr:row>
          <xdr:rowOff>114300</xdr:rowOff>
        </xdr:from>
        <xdr:to>
          <xdr:col>4</xdr:col>
          <xdr:colOff>180975</xdr:colOff>
          <xdr:row>10</xdr:row>
          <xdr:rowOff>142875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RAZ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785811</xdr:colOff>
          <xdr:row>11</xdr:row>
          <xdr:rowOff>26564</xdr:rowOff>
        </xdr:from>
        <xdr:to>
          <xdr:col>7</xdr:col>
          <xdr:colOff>358585</xdr:colOff>
          <xdr:row>20</xdr:row>
          <xdr:rowOff>166687</xdr:rowOff>
        </xdr:to>
        <xdr:pic>
          <xdr:nvPicPr>
            <xdr:cNvPr id="8" name="Image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photo" spid="_x0000_s18630"/>
                </a:ext>
              </a:extLst>
            </xdr:cNvPicPr>
          </xdr:nvPicPr>
          <xdr:blipFill>
            <a:blip xmlns:r="http://schemas.openxmlformats.org/officeDocument/2006/relationships" r:embed="rId1"/>
            <a:srcRect/>
            <a:stretch>
              <a:fillRect/>
            </a:stretch>
          </xdr:blipFill>
          <xdr:spPr bwMode="auto">
            <a:xfrm>
              <a:off x="4111624" y="2130002"/>
              <a:ext cx="2946211" cy="1870498"/>
            </a:xfrm>
            <a:prstGeom prst="rect">
              <a:avLst/>
            </a:prstGeom>
            <a:solidFill>
              <a:srgbClr val="FFFFFF" mc:Ignorable="a14" a14:legacySpreadsheetColorIndex="9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pic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523875</xdr:colOff>
          <xdr:row>12</xdr:row>
          <xdr:rowOff>85725</xdr:rowOff>
        </xdr:from>
        <xdr:to>
          <xdr:col>8</xdr:col>
          <xdr:colOff>133350</xdr:colOff>
          <xdr:row>15</xdr:row>
          <xdr:rowOff>133350</xdr:rowOff>
        </xdr:to>
        <xdr:sp macro="" textlink="">
          <xdr:nvSpPr>
            <xdr:cNvPr id="21507" name="Button 3" hidden="1">
              <a:extLst>
                <a:ext uri="{63B3BB69-23CF-44E3-9099-C40C66FF867C}">
                  <a14:compatExt spid="_x0000_s21507"/>
                </a:ext>
                <a:ext uri="{FF2B5EF4-FFF2-40B4-BE49-F238E27FC236}">
                  <a16:creationId xmlns:a16="http://schemas.microsoft.com/office/drawing/2014/main" id="{00000000-0008-0000-0200-00000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5720" rIns="45720" bIns="45720" anchor="ctr" upright="1"/>
            <a:lstStyle/>
            <a:p>
              <a:pPr algn="ctr" rtl="0">
                <a:defRPr sz="1000"/>
              </a:pPr>
              <a:r>
                <a:rPr lang="fr-FR" sz="2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Validation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57150</xdr:colOff>
      <xdr:row>7</xdr:row>
      <xdr:rowOff>142875</xdr:rowOff>
    </xdr:from>
    <xdr:to>
      <xdr:col>15</xdr:col>
      <xdr:colOff>742950</xdr:colOff>
      <xdr:row>16</xdr:row>
      <xdr:rowOff>161925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1479729D-2AFE-4229-AB74-B192CBDA71C4}"/>
            </a:ext>
          </a:extLst>
        </xdr:cNvPr>
        <xdr:cNvSpPr/>
      </xdr:nvSpPr>
      <xdr:spPr>
        <a:xfrm>
          <a:off x="9725025" y="1495425"/>
          <a:ext cx="3733800" cy="1733550"/>
        </a:xfrm>
        <a:prstGeom prst="wedgeRoundRectCallout">
          <a:avLst>
            <a:gd name="adj1" fmla="val -224480"/>
            <a:gd name="adj2" fmla="val -8832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600"/>
            <a:t>Je voudrais </a:t>
          </a:r>
          <a:r>
            <a:rPr lang="fr-FR" sz="1600" baseline="0"/>
            <a:t> que la cellule B4 s'incrémente automatiquement de +1 après chaque Validation.</a:t>
          </a:r>
          <a:endParaRPr lang="fr-FR" sz="16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38761BEB-4A74-4FD4-AAAF-CDAF2AC38495}" name="Tableau6" displayName="Tableau6" ref="B22:H269" totalsRowShown="0" headerRowDxfId="164">
  <autoFilter ref="B22:H269" xr:uid="{3747C4F6-B571-4CA9-89F1-C1CD2184FD48}"/>
  <sortState xmlns:xlrd2="http://schemas.microsoft.com/office/spreadsheetml/2017/richdata2" ref="B23:H269">
    <sortCondition descending="1" ref="B22:B269"/>
  </sortState>
  <tableColumns count="7">
    <tableColumn id="1" xr3:uid="{000A741A-8D3E-477A-A548-125E61788810}" name="Date" totalsRowDxfId="163"/>
    <tableColumn id="2" xr3:uid="{EF59F9F0-96C2-45C2-8D1A-AF867AAF6593}" name="Référence" totalsRowDxfId="162"/>
    <tableColumn id="3" xr3:uid="{50890611-272D-429F-83EF-D102B0F210FF}" name="Technicien" totalsRowDxfId="161"/>
    <tableColumn id="4" xr3:uid="{80807AA2-7874-4E2E-835E-B4198C065D8C}" name="Client" totalsRowDxfId="160"/>
    <tableColumn id="5" xr3:uid="{1DC02B9D-E407-408A-9BA6-FC3F7C23E796}" name="Entrée" totalsRowDxfId="159"/>
    <tableColumn id="6" xr3:uid="{51A6A561-41BA-4A88-BA45-97048826C7E9}" name="Sortie" totalsRowDxfId="158"/>
    <tableColumn id="7" xr3:uid="{9FAB2CEB-E0AB-4652-A2C0-C390D1C0F5B8}" name="Mouvement" dataDxfId="157">
      <calculatedColumnFormula>Tableau6[[#This Row],[Entrée]]-Tableau6[[#This Row],[Sortie]]</calculatedColumnFormula>
    </tableColumn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A0207B9-49EC-4327-B521-8401592D561D}" name="Tableau11" displayName="Tableau11" ref="B22:I26" totalsRowShown="0" headerRowDxfId="156">
  <autoFilter ref="B22:I26" xr:uid="{968AB702-1366-4FCD-980A-F3E0D0696D9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341BA6D7-E93F-43BD-A0DD-A6122035B2DE}" name="N° Loc" dataDxfId="155"/>
    <tableColumn id="2" xr3:uid="{EF556949-D133-43BB-9F0A-40702096822E}" name="Date Location" dataDxfId="154"/>
    <tableColumn id="3" xr3:uid="{3F73B198-7E7D-472D-BD04-FD682A36D3DD}" name="Référence"/>
    <tableColumn id="8" xr3:uid="{6E288DEA-F7C8-4505-A04F-6209D4674AC3}" name="Fin Location" dataDxfId="153"/>
    <tableColumn id="4" xr3:uid="{42901F8D-5C54-451B-A672-F1A8FCB52C30}" name="Client"/>
    <tableColumn id="5" xr3:uid="{217E0629-CE12-4869-B81C-E1BD89337072}" name="Nb Sortie"/>
    <tableColumn id="6" xr3:uid="{50BE5EFE-02D8-46E1-9869-85ED8F8DCEBD}" name="Nb Retour"/>
    <tableColumn id="7" xr3:uid="{AE02CD3E-0F06-4D4C-A8E9-08B26D37632D}" name="Mouvement" dataDxfId="152">
      <calculatedColumnFormula>Tableau11[[#This Row],[Nb Retour]]-Tableau11[[#This Row],[Nb Sortie]]</calculatedColumnFormula>
    </tableColumn>
  </tableColumns>
  <tableStyleInfo name="TableStyleMedium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F8B9586F-3ACB-4EC0-AEB0-86E6AF54F4DB}" name="Tableau12" displayName="Tableau12" ref="A1:I4" totalsRowShown="0" headerRowDxfId="151">
  <autoFilter ref="A1:I4" xr:uid="{F3C833A5-16A5-4E4E-8E4E-08E4198E07E1}"/>
  <tableColumns count="9">
    <tableColumn id="1" xr3:uid="{1A8A192F-3A4F-46A5-8AD2-7127ED1AC82F}" name="N° Loc"/>
    <tableColumn id="2" xr3:uid="{6CF194F9-C455-4690-B803-48BDD90AABE0}" name="Date Location"/>
    <tableColumn id="3" xr3:uid="{2909BBB9-C44A-4AFC-914E-098588CF2F3E}" name="Référence"/>
    <tableColumn id="9" xr3:uid="{5D24C1AD-026C-44CE-B49F-9D87679A62B8}" name="Fin Location" dataDxfId="135"/>
    <tableColumn id="4" xr3:uid="{160C4851-7685-46FA-9922-06728E3317C1}" name="Client"/>
    <tableColumn id="5" xr3:uid="{EC9EAAFD-CD78-4F67-944A-30AB1BC73EB4}" name="Nb Sortie"/>
    <tableColumn id="6" xr3:uid="{6DF0BBA3-A3E8-446E-8EC2-03523B2782C2}" name="Nb Retour"/>
    <tableColumn id="7" xr3:uid="{B5D8BF16-93A5-4A32-8102-C003D219CEF5}" name="Mouvement" dataDxfId="150">
      <calculatedColumnFormula>Tableau11[[#This Row],[Nb Retour]]-Tableau11[[#This Row],[Nb Sortie]]</calculatedColumnFormula>
    </tableColumn>
    <tableColumn id="8" xr3:uid="{4487DA12-A064-41C2-A768-8E313E2C5489}" name="Obs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3E02D784-B58C-4F54-9703-D91F43E5FD91}" name="Tableau13" displayName="Tableau13" ref="A1:L5" totalsRowShown="0" headerRowDxfId="149" dataDxfId="148">
  <autoFilter ref="A1:L5" xr:uid="{49171CD5-7F2E-40C3-9281-62847801EB93}"/>
  <tableColumns count="12">
    <tableColumn id="1" xr3:uid="{5B4A55BB-3C0F-43CD-95C0-87CDAC44BD9B}" name="Références" dataDxfId="147"/>
    <tableColumn id="2" xr3:uid="{5E31360D-2E98-4480-9971-2B9A8CE0A075}" name="Marque" dataDxfId="146"/>
    <tableColumn id="3" xr3:uid="{B4432A9E-38D8-42EC-9407-A9672D7718BD}" name="Fournisseurs" dataDxfId="145"/>
    <tableColumn id="4" xr3:uid="{6974FED7-4807-4180-8D92-B7F503C5DB01}" name="Désignations" dataDxfId="144"/>
    <tableColumn id="5" xr3:uid="{55778361-4B3E-4EAA-8627-24F15BB35134}" name="Prix /U/HT" dataDxfId="143"/>
    <tableColumn id="6" xr3:uid="{A3461C1A-03CB-4995-BC05-949FEEA2A6B2}" name="Stock Initial" dataDxfId="142"/>
    <tableColumn id="7" xr3:uid="{BF0F4CCC-CCB7-48D1-A72F-B5736BF1273F}" name="Mouvements" dataDxfId="141">
      <calculatedColumnFormula>SUMIF(Mouvloc!C:C,Tableau13[[#This Row],[Références]],Mouvloc!I:I)</calculatedColumnFormula>
    </tableColumn>
    <tableColumn id="8" xr3:uid="{EEB1DCD7-291A-4C58-88CE-F15D5F773BA2}" name="Stock Actuel" dataDxfId="140"/>
    <tableColumn id="9" xr3:uid="{9784ABEF-82F5-455C-BFBC-2E7758E9C193}" name="Stock Mini" dataDxfId="139"/>
    <tableColumn id="10" xr3:uid="{07DFAD5B-2660-4F8C-A7D8-F7F098E6D480}" name="Alerte" dataDxfId="138"/>
    <tableColumn id="11" xr3:uid="{1A25E0B3-5E6B-403D-8508-477416EE599C}" name="Magasin" dataDxfId="137"/>
    <tableColumn id="12" xr3:uid="{31FEEE85-E8FB-4E26-AEDF-A75012D8133E}" name="Stock €" dataDxfId="136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99C408AD-BB0A-4EE3-B4AE-F37F9D2536CE}" name="Tableau14" displayName="Tableau14" ref="N1:N5" totalsRowShown="0">
  <autoFilter ref="N1:N5" xr:uid="{B5FEEAD9-5355-45E3-AF36-418245F48669}"/>
  <tableColumns count="1">
    <tableColumn id="1" xr3:uid="{FDA154DE-5820-4840-9D57-7A43FBCD73DD}" name="Ref Extinct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3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4" Type="http://schemas.openxmlformats.org/officeDocument/2006/relationships/table" Target="../tables/table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10CF6-112F-483C-8212-B566285D7898}">
  <sheetPr codeName="Feuil4">
    <tabColor rgb="FFFFC000"/>
  </sheetPr>
  <dimension ref="A1:BP577"/>
  <sheetViews>
    <sheetView showGridLines="0" zoomScale="120" zoomScaleNormal="120" workbookViewId="0">
      <pane ySplit="22" topLeftCell="A23" activePane="bottomLeft" state="frozen"/>
      <selection activeCell="B1" sqref="B1"/>
      <selection pane="bottomLeft" activeCell="AL25" sqref="AL25"/>
    </sheetView>
  </sheetViews>
  <sheetFormatPr baseColWidth="10" defaultRowHeight="15" x14ac:dyDescent="0.25"/>
  <cols>
    <col min="1" max="1" width="1.28515625" customWidth="1"/>
    <col min="2" max="2" width="17.5703125" bestFit="1" customWidth="1"/>
    <col min="3" max="3" width="19.5703125" bestFit="1" customWidth="1"/>
    <col min="4" max="4" width="11.42578125" customWidth="1"/>
    <col min="5" max="5" width="18.28515625" bestFit="1" customWidth="1"/>
    <col min="6" max="6" width="15.7109375" bestFit="1" customWidth="1"/>
    <col min="7" max="7" width="16.5703125" bestFit="1" customWidth="1"/>
    <col min="8" max="8" width="12.28515625" bestFit="1" customWidth="1"/>
    <col min="9" max="9" width="0.85546875" customWidth="1"/>
    <col min="10" max="15" width="1.7109375" customWidth="1"/>
    <col min="16" max="16" width="7" customWidth="1"/>
    <col min="17" max="17" width="3.28515625" customWidth="1"/>
    <col min="18" max="23" width="1.7109375" customWidth="1"/>
    <col min="24" max="24" width="2.7109375" customWidth="1"/>
    <col min="25" max="25" width="3.140625" customWidth="1"/>
    <col min="26" max="31" width="1.7109375" customWidth="1"/>
    <col min="32" max="32" width="0.85546875" customWidth="1"/>
    <col min="33" max="38" width="2.7109375" customWidth="1"/>
    <col min="39" max="40" width="2.7109375" bestFit="1" customWidth="1"/>
    <col min="41" max="41" width="3.28515625" bestFit="1" customWidth="1"/>
    <col min="42" max="42" width="1.7109375" customWidth="1"/>
    <col min="43" max="46" width="2.7109375" customWidth="1"/>
    <col min="47" max="71" width="1.7109375" customWidth="1"/>
  </cols>
  <sheetData>
    <row r="1" spans="2:63" ht="15" customHeight="1" thickTop="1" x14ac:dyDescent="0.25">
      <c r="B1" s="139" t="s">
        <v>44</v>
      </c>
      <c r="C1" s="139"/>
      <c r="D1" s="139"/>
      <c r="E1" s="139"/>
      <c r="F1" s="139"/>
      <c r="G1" s="139"/>
      <c r="H1" s="139"/>
      <c r="J1" s="151" t="s">
        <v>155</v>
      </c>
      <c r="K1" s="152"/>
      <c r="L1" s="152"/>
      <c r="M1" s="152"/>
      <c r="N1" s="152"/>
      <c r="O1" s="152"/>
      <c r="P1" s="152"/>
      <c r="Q1" s="152"/>
      <c r="R1" s="152"/>
      <c r="S1" s="152"/>
      <c r="T1" s="152"/>
      <c r="U1" s="152"/>
      <c r="V1" s="152"/>
      <c r="W1" s="152"/>
      <c r="X1" s="152"/>
      <c r="Y1" s="152"/>
      <c r="Z1" s="97" t="s">
        <v>219</v>
      </c>
      <c r="AA1" s="97"/>
      <c r="AB1" s="97"/>
      <c r="AC1" s="97"/>
      <c r="AD1" s="97"/>
      <c r="AE1" s="98"/>
      <c r="AG1" s="158" t="s">
        <v>156</v>
      </c>
      <c r="AH1" s="159"/>
      <c r="AI1" s="159"/>
      <c r="AJ1" s="159"/>
      <c r="AK1" s="159"/>
      <c r="AL1" s="159"/>
      <c r="AM1" s="159"/>
      <c r="AN1" s="159"/>
      <c r="AO1" s="159"/>
      <c r="AP1" s="159"/>
      <c r="AQ1" s="160"/>
      <c r="AR1" s="18"/>
      <c r="AS1" s="18"/>
      <c r="AT1" s="18"/>
      <c r="AU1" s="18"/>
      <c r="AV1" s="18"/>
      <c r="AW1" s="18"/>
      <c r="AX1" s="18"/>
      <c r="AY1" s="18"/>
      <c r="AZ1" s="18"/>
      <c r="BA1" s="18"/>
      <c r="BB1" s="18"/>
      <c r="BC1" s="18"/>
      <c r="BD1" s="18"/>
      <c r="BE1" s="18"/>
      <c r="BF1" s="18"/>
      <c r="BG1" s="18"/>
      <c r="BH1" s="18"/>
      <c r="BI1" s="18"/>
      <c r="BJ1" s="18"/>
      <c r="BK1" s="18"/>
    </row>
    <row r="2" spans="2:63" ht="15" customHeight="1" thickBot="1" x14ac:dyDescent="0.3">
      <c r="B2" s="139"/>
      <c r="C2" s="139"/>
      <c r="D2" s="139"/>
      <c r="E2" s="139"/>
      <c r="F2" s="139"/>
      <c r="G2" s="139"/>
      <c r="H2" s="139"/>
      <c r="J2" s="153"/>
      <c r="K2" s="154"/>
      <c r="L2" s="154"/>
      <c r="M2" s="154"/>
      <c r="N2" s="154"/>
      <c r="O2" s="154"/>
      <c r="P2" s="154"/>
      <c r="Q2" s="154"/>
      <c r="R2" s="154"/>
      <c r="S2" s="154"/>
      <c r="T2" s="154"/>
      <c r="U2" s="154"/>
      <c r="V2" s="154"/>
      <c r="W2" s="154"/>
      <c r="X2" s="154"/>
      <c r="Y2" s="154"/>
      <c r="Z2" s="99"/>
      <c r="AA2" s="99"/>
      <c r="AB2" s="99"/>
      <c r="AC2" s="99"/>
      <c r="AD2" s="99"/>
      <c r="AE2" s="100"/>
      <c r="AG2" s="161"/>
      <c r="AH2" s="162"/>
      <c r="AI2" s="162"/>
      <c r="AJ2" s="162"/>
      <c r="AK2" s="162"/>
      <c r="AL2" s="162"/>
      <c r="AM2" s="162"/>
      <c r="AN2" s="162"/>
      <c r="AO2" s="162"/>
      <c r="AP2" s="162"/>
      <c r="AQ2" s="163"/>
    </row>
    <row r="3" spans="2:63" ht="15" customHeight="1" thickTop="1" thickBot="1" x14ac:dyDescent="0.3">
      <c r="B3" s="2" t="s">
        <v>0</v>
      </c>
      <c r="C3" s="48" t="s">
        <v>153</v>
      </c>
      <c r="D3" s="48" t="s">
        <v>154</v>
      </c>
      <c r="E3" s="20" t="e">
        <f ca="1">INDIRECT(VLOOKUP($B$4,#REF!,2,0))</f>
        <v>#REF!</v>
      </c>
      <c r="F3" s="22" t="e">
        <f>VLOOKUP(B4,#REF!,10,0)</f>
        <v>#REF!</v>
      </c>
      <c r="G3" s="144" t="s">
        <v>81</v>
      </c>
      <c r="H3" s="145"/>
      <c r="J3" s="32"/>
      <c r="K3" s="31"/>
      <c r="L3" s="31"/>
      <c r="M3" s="31"/>
      <c r="N3" s="31"/>
      <c r="O3" s="31"/>
      <c r="P3" s="49"/>
      <c r="Q3" s="111" t="s">
        <v>66</v>
      </c>
      <c r="R3" s="112"/>
      <c r="S3" s="112"/>
      <c r="T3" s="112"/>
      <c r="U3" s="112"/>
      <c r="V3" s="112"/>
      <c r="W3" s="112"/>
      <c r="X3" s="112"/>
      <c r="Y3" s="112"/>
      <c r="Z3" s="101" t="e">
        <f>IF(OR(G8="Ban27",G8="Ban28",G8="Ban29",G8="Ban30",G8="Ban31",G8="Ban32",G8="Ban33",G8="Ban34",G8="Ban35",G8="Ban36",G8="Ban37"),"x","")</f>
        <v>#REF!</v>
      </c>
      <c r="AA3" s="102"/>
      <c r="AB3" s="49"/>
      <c r="AC3" s="49"/>
      <c r="AD3" s="49"/>
      <c r="AE3" s="53"/>
      <c r="AG3" s="59" t="s">
        <v>55</v>
      </c>
      <c r="AH3" s="58" t="s">
        <v>54</v>
      </c>
      <c r="AI3" s="58" t="s">
        <v>74</v>
      </c>
      <c r="AJ3" s="58" t="s">
        <v>74</v>
      </c>
      <c r="AK3" s="58" t="s">
        <v>59</v>
      </c>
      <c r="AL3" s="58" t="s">
        <v>75</v>
      </c>
      <c r="AM3" s="58" t="s">
        <v>75</v>
      </c>
      <c r="AN3" s="58" t="s">
        <v>59</v>
      </c>
      <c r="AO3" s="58" t="s">
        <v>76</v>
      </c>
      <c r="AP3" s="60"/>
      <c r="AQ3" s="61" t="s">
        <v>55</v>
      </c>
    </row>
    <row r="4" spans="2:63" ht="15" customHeight="1" thickTop="1" x14ac:dyDescent="0.25">
      <c r="B4" s="87" t="s">
        <v>252</v>
      </c>
      <c r="C4" s="48" t="e">
        <f>MATCH(B4,#REF!,0)</f>
        <v>#REF!</v>
      </c>
      <c r="D4" s="48" t="e">
        <f>MATCH(B4,#REF!,0)</f>
        <v>#REF!</v>
      </c>
      <c r="E4" s="4"/>
      <c r="F4" s="143" t="e">
        <f>IF(F3="Commander","stock mini atteint","")</f>
        <v>#REF!</v>
      </c>
      <c r="G4" s="143"/>
      <c r="H4" s="4"/>
      <c r="J4" s="148" t="e">
        <f>IF(G8="Neutro","neut","")</f>
        <v>#REF!</v>
      </c>
      <c r="K4" s="44"/>
      <c r="L4" s="44"/>
      <c r="M4" s="132" t="e">
        <f>IF(G8="Chub","chu","")</f>
        <v>#REF!</v>
      </c>
      <c r="N4" s="132" t="e">
        <f>IF(G8="Fin","fin","")</f>
        <v>#REF!</v>
      </c>
      <c r="O4" s="135" t="e">
        <f>IF(G8="Giga","gig","")</f>
        <v>#REF!</v>
      </c>
      <c r="P4" s="50"/>
      <c r="Q4" s="108" t="s">
        <v>66</v>
      </c>
      <c r="R4" s="109"/>
      <c r="S4" s="109"/>
      <c r="T4" s="109"/>
      <c r="U4" s="109"/>
      <c r="V4" s="109"/>
      <c r="W4" s="109"/>
      <c r="X4" s="109"/>
      <c r="Y4" s="110"/>
      <c r="Z4" s="50"/>
      <c r="AA4" s="50"/>
      <c r="AB4" s="50"/>
      <c r="AC4" s="50"/>
      <c r="AD4" s="50"/>
      <c r="AE4" s="54"/>
      <c r="AG4" s="62" t="e">
        <f>IF($G$8="Ban9","9","")</f>
        <v>#REF!</v>
      </c>
      <c r="AH4" s="25" t="s">
        <v>108</v>
      </c>
      <c r="AI4" s="25"/>
      <c r="AJ4" s="25"/>
      <c r="AK4" s="25"/>
      <c r="AL4" s="25"/>
      <c r="AM4" s="25"/>
      <c r="AN4" s="25"/>
      <c r="AO4" s="25"/>
      <c r="AP4" s="25"/>
      <c r="AQ4" s="63" t="e">
        <f>IF(G8="Ban37",37,"")</f>
        <v>#REF!</v>
      </c>
    </row>
    <row r="5" spans="2:63" x14ac:dyDescent="0.25">
      <c r="B5" s="4"/>
      <c r="C5" s="3"/>
      <c r="D5" s="48" t="s">
        <v>200</v>
      </c>
      <c r="E5" s="4"/>
      <c r="F5" s="140" t="s">
        <v>64</v>
      </c>
      <c r="G5" s="140"/>
      <c r="H5" s="4"/>
      <c r="J5" s="149"/>
      <c r="K5" s="45"/>
      <c r="L5" s="45"/>
      <c r="M5" s="133"/>
      <c r="N5" s="133"/>
      <c r="O5" s="136"/>
      <c r="P5" s="50"/>
      <c r="Q5" s="108" t="e">
        <f>IF(G8="Nug","Nugelec","")</f>
        <v>#REF!</v>
      </c>
      <c r="R5" s="109"/>
      <c r="S5" s="109"/>
      <c r="T5" s="109"/>
      <c r="U5" s="109"/>
      <c r="V5" s="109"/>
      <c r="W5" s="109"/>
      <c r="X5" s="109"/>
      <c r="Y5" s="110"/>
      <c r="Z5" s="50"/>
      <c r="AA5" s="50"/>
      <c r="AB5" s="50"/>
      <c r="AC5" s="50"/>
      <c r="AD5" s="50"/>
      <c r="AE5" s="54"/>
      <c r="AG5" s="64" t="e">
        <f>IF($G$8="Ban8",8,"")</f>
        <v>#REF!</v>
      </c>
      <c r="AH5" s="25"/>
      <c r="AI5" s="25"/>
      <c r="AJ5" s="25"/>
      <c r="AK5" s="25"/>
      <c r="AL5" s="25"/>
      <c r="AM5" s="25"/>
      <c r="AN5" s="25"/>
      <c r="AO5" s="25"/>
      <c r="AP5" s="25"/>
      <c r="AQ5" s="65" t="e">
        <f>IF($G$8="Ban36",36,"")</f>
        <v>#REF!</v>
      </c>
      <c r="AR5" s="1" t="s">
        <v>55</v>
      </c>
    </row>
    <row r="6" spans="2:63" x14ac:dyDescent="0.25">
      <c r="B6" s="5"/>
      <c r="C6" s="2" t="s">
        <v>46</v>
      </c>
      <c r="D6" s="48" t="e">
        <f>MATCH(B4,#REF!,0)</f>
        <v>#REF!</v>
      </c>
      <c r="E6" s="141" t="str">
        <f>IFERROR(VLOOKUP(B4,#REF!,4,0),"")</f>
        <v/>
      </c>
      <c r="F6" s="142"/>
      <c r="G6" s="142"/>
      <c r="H6" s="142"/>
      <c r="J6" s="150"/>
      <c r="K6" s="46"/>
      <c r="L6" s="46"/>
      <c r="M6" s="134"/>
      <c r="N6" s="134"/>
      <c r="O6" s="137"/>
      <c r="P6" s="50"/>
      <c r="Q6" s="50"/>
      <c r="R6" s="50"/>
      <c r="S6" s="50"/>
      <c r="T6" s="50"/>
      <c r="U6" s="50"/>
      <c r="V6" s="50"/>
      <c r="W6" s="50"/>
      <c r="X6" s="50"/>
      <c r="Y6" s="50"/>
      <c r="Z6" s="50"/>
      <c r="AA6" s="50"/>
      <c r="AB6" s="50"/>
      <c r="AC6" s="50"/>
      <c r="AD6" s="50"/>
      <c r="AE6" s="54"/>
      <c r="AG6" s="64" t="e">
        <f>IF($G$8="Ban7",7,"")</f>
        <v>#REF!</v>
      </c>
      <c r="AH6" s="25"/>
      <c r="AI6" s="25"/>
      <c r="AJ6" s="25"/>
      <c r="AK6" s="25"/>
      <c r="AL6" s="25"/>
      <c r="AM6" s="25"/>
      <c r="AN6" s="25"/>
      <c r="AO6" s="25"/>
      <c r="AP6" s="25"/>
      <c r="AQ6" s="65" t="e">
        <f>IF($G$8="Ban35",35,"")</f>
        <v>#REF!</v>
      </c>
      <c r="AR6" s="29">
        <v>27</v>
      </c>
    </row>
    <row r="7" spans="2:63" x14ac:dyDescent="0.25">
      <c r="B7" s="5"/>
      <c r="C7" s="6">
        <v>44020</v>
      </c>
      <c r="D7" s="3"/>
      <c r="E7" s="4"/>
      <c r="F7" s="2" t="s">
        <v>6</v>
      </c>
      <c r="G7" s="2" t="s">
        <v>65</v>
      </c>
      <c r="H7" s="4"/>
      <c r="J7" s="148" t="e">
        <f>IF(G8="Card","car","")</f>
        <v>#REF!</v>
      </c>
      <c r="K7" s="132" t="e">
        <f>IF(G8="Aiph","aip","")</f>
        <v>#REF!</v>
      </c>
      <c r="L7" s="132" t="e">
        <f>IF(G8="Nor","nor","")</f>
        <v>#REF!</v>
      </c>
      <c r="M7" s="44"/>
      <c r="N7" s="132" t="e">
        <f>IF(G8="Castel","cast","")</f>
        <v>#REF!</v>
      </c>
      <c r="O7" s="47" t="e">
        <f>IF(G8="A3M","A3m","")</f>
        <v>#REF!</v>
      </c>
      <c r="P7" s="50"/>
      <c r="Q7" s="50"/>
      <c r="R7" s="50"/>
      <c r="S7" s="50"/>
      <c r="T7" s="50"/>
      <c r="U7" s="50"/>
      <c r="V7" s="50"/>
      <c r="W7" s="50"/>
      <c r="X7" s="50"/>
      <c r="Y7" s="50"/>
      <c r="Z7" s="50"/>
      <c r="AA7" s="37"/>
      <c r="AB7" s="105"/>
      <c r="AC7" s="105"/>
      <c r="AD7" s="105"/>
      <c r="AE7" s="118" t="e">
        <f>IF(G8="Ess","ess","")</f>
        <v>#REF!</v>
      </c>
      <c r="AG7" s="64" t="e">
        <f>IF(G8="Ban6",6,"")</f>
        <v>#REF!</v>
      </c>
      <c r="AH7" s="25"/>
      <c r="AI7" s="25"/>
      <c r="AJ7" s="25"/>
      <c r="AK7" s="25"/>
      <c r="AL7" s="25"/>
      <c r="AM7" s="25"/>
      <c r="AN7" s="25"/>
      <c r="AO7" s="25"/>
      <c r="AP7" s="25"/>
      <c r="AQ7" s="65" t="e">
        <f>IF($G$8="Ban34",34,"")</f>
        <v>#REF!</v>
      </c>
      <c r="AR7" s="30" t="s">
        <v>109</v>
      </c>
    </row>
    <row r="8" spans="2:63" ht="15" customHeight="1" thickBot="1" x14ac:dyDescent="0.3">
      <c r="B8" s="5"/>
      <c r="C8" s="4"/>
      <c r="D8" s="3"/>
      <c r="E8" s="4"/>
      <c r="F8" s="138" t="str">
        <f>IFERROR(VLOOKUP(B4,#REF!,8,0),"")</f>
        <v/>
      </c>
      <c r="G8" s="146" t="e">
        <f>VLOOKUP(B4,#REF!,11,0)</f>
        <v>#REF!</v>
      </c>
      <c r="H8" s="4"/>
      <c r="J8" s="149"/>
      <c r="K8" s="133"/>
      <c r="L8" s="133"/>
      <c r="M8" s="45"/>
      <c r="N8" s="133"/>
      <c r="O8" s="136" t="e">
        <f>IF(G8="Castel","Cast","")</f>
        <v>#REF!</v>
      </c>
      <c r="P8" s="50"/>
      <c r="Q8" s="50"/>
      <c r="R8" s="50"/>
      <c r="S8" s="50"/>
      <c r="T8" s="50"/>
      <c r="U8" s="50"/>
      <c r="V8" s="50"/>
      <c r="W8" s="50"/>
      <c r="X8" s="50"/>
      <c r="Y8" s="50"/>
      <c r="Z8" s="50"/>
      <c r="AA8" s="38"/>
      <c r="AB8" s="106"/>
      <c r="AC8" s="106"/>
      <c r="AD8" s="106"/>
      <c r="AE8" s="119"/>
      <c r="AG8" s="64" t="e">
        <f>IF($G$8="Ban5",5,"")</f>
        <v>#REF!</v>
      </c>
      <c r="AH8" s="25"/>
      <c r="AI8" s="25"/>
      <c r="AJ8" s="25"/>
      <c r="AK8" s="25"/>
      <c r="AL8" s="25"/>
      <c r="AM8" s="25"/>
      <c r="AN8" s="25"/>
      <c r="AO8" s="25"/>
      <c r="AP8" s="25"/>
      <c r="AQ8" s="65" t="e">
        <f>IF($G$8="Ban33",33,"")</f>
        <v>#REF!</v>
      </c>
      <c r="AR8" s="29">
        <v>37</v>
      </c>
    </row>
    <row r="9" spans="2:63" ht="15" customHeight="1" thickTop="1" thickBot="1" x14ac:dyDescent="0.3">
      <c r="B9" s="2" t="s">
        <v>47</v>
      </c>
      <c r="C9" s="1">
        <v>0</v>
      </c>
      <c r="D9" s="3"/>
      <c r="E9" s="4"/>
      <c r="F9" s="138"/>
      <c r="G9" s="147"/>
      <c r="H9" s="4"/>
      <c r="J9" s="150"/>
      <c r="K9" s="134"/>
      <c r="L9" s="134"/>
      <c r="M9" s="46"/>
      <c r="N9" s="134"/>
      <c r="O9" s="137"/>
      <c r="P9" s="50"/>
      <c r="Q9" s="28" t="e">
        <f>IF(OR(G8="Ban1",G8="Ban2",G8="Ban3",G8="Ban4",G8="Ban5",G8="Ban6",G8="Ban7",G8="Ban8",G8="Ban9"),"x","")</f>
        <v>#REF!</v>
      </c>
      <c r="R9" s="43" t="e">
        <f>IF(G8="Eat","eat","")</f>
        <v>#REF!</v>
      </c>
      <c r="S9" s="105" t="e">
        <f>IF(G8="Leg","leg","")</f>
        <v>#REF!</v>
      </c>
      <c r="T9" s="105" t="e">
        <f>IF(G8="Leg","leg","")</f>
        <v>#REF!</v>
      </c>
      <c r="U9" s="40"/>
      <c r="V9" s="40"/>
      <c r="W9" s="34"/>
      <c r="X9" s="50"/>
      <c r="Y9" s="50"/>
      <c r="Z9" s="50"/>
      <c r="AA9" s="39"/>
      <c r="AB9" s="129"/>
      <c r="AC9" s="129"/>
      <c r="AD9" s="129"/>
      <c r="AE9" s="120"/>
      <c r="AG9" s="64" t="e">
        <f>IF(G8="Ban4",4,"")</f>
        <v>#REF!</v>
      </c>
      <c r="AH9" s="19" t="e">
        <f>IF($G$8="Ban13",13,"")</f>
        <v>#REF!</v>
      </c>
      <c r="AI9" s="19" t="e">
        <f>IF($G$8="Ban17",17,"")</f>
        <v>#REF!</v>
      </c>
      <c r="AJ9" s="19" t="e">
        <f>IF($G$8="Ban21",21,"")</f>
        <v>#REF!</v>
      </c>
      <c r="AK9" s="19" t="e">
        <f>IF($G$8="Ban25",25,"")</f>
        <v>#REF!</v>
      </c>
      <c r="AL9" s="25"/>
      <c r="AM9" s="25"/>
      <c r="AN9" s="25"/>
      <c r="AO9" s="25"/>
      <c r="AP9" s="25"/>
      <c r="AQ9" s="65" t="e">
        <f>IF($G$8="Ban32",32,"")</f>
        <v>#REF!</v>
      </c>
    </row>
    <row r="10" spans="2:63" ht="15" customHeight="1" thickTop="1" thickBot="1" x14ac:dyDescent="0.3">
      <c r="B10" s="7" t="s">
        <v>48</v>
      </c>
      <c r="C10" s="1">
        <v>2</v>
      </c>
      <c r="D10" s="3"/>
      <c r="E10" s="4"/>
      <c r="F10" s="23" t="s">
        <v>2</v>
      </c>
      <c r="G10" s="33" t="str">
        <f>IFERROR(VLOOKUP(B4,#REF!,3,0),"")</f>
        <v/>
      </c>
      <c r="H10" s="4"/>
      <c r="J10" s="148" t="e">
        <f>IF(G8="Cdvi","cdv","")</f>
        <v>#REF!</v>
      </c>
      <c r="K10" s="126" t="e">
        <f>IF(G8="COMELIT","come","")</f>
        <v>#REF!</v>
      </c>
      <c r="L10" s="132"/>
      <c r="M10" s="132"/>
      <c r="N10" s="132"/>
      <c r="O10" s="135"/>
      <c r="P10" s="50"/>
      <c r="Q10" s="28" t="e">
        <f>IF(OR(G8="Ban10",G8="Ban11",G8="Ban12",G8="Ban13"),"x","")</f>
        <v>#REF!</v>
      </c>
      <c r="R10" s="121" t="e">
        <f>IF(G8="Schn","sch","")</f>
        <v>#REF!</v>
      </c>
      <c r="S10" s="106"/>
      <c r="T10" s="106"/>
      <c r="U10" s="41"/>
      <c r="V10" s="41"/>
      <c r="W10" s="35"/>
      <c r="X10" s="50"/>
      <c r="Y10" s="50"/>
      <c r="Z10" s="50"/>
      <c r="AA10" s="37"/>
      <c r="AB10" s="105"/>
      <c r="AC10" s="105"/>
      <c r="AD10" s="105"/>
      <c r="AE10" s="115" t="e">
        <f>+IF(G8="RSI","rsi","")</f>
        <v>#REF!</v>
      </c>
      <c r="AG10" s="64" t="e">
        <f>IF($G$8="Ban3",3,"")</f>
        <v>#REF!</v>
      </c>
      <c r="AH10" s="19" t="e">
        <f>IF($G$8="Ban12",12,"")</f>
        <v>#REF!</v>
      </c>
      <c r="AI10" s="19" t="e">
        <f>IF($G$8="Ban16",16,"")</f>
        <v>#REF!</v>
      </c>
      <c r="AJ10" s="19" t="e">
        <f>IF($G$8="Ban20",20,"")</f>
        <v>#REF!</v>
      </c>
      <c r="AK10" s="19" t="e">
        <f>IF($G$8="Ban24",24,"")</f>
        <v>#REF!</v>
      </c>
      <c r="AL10" s="25"/>
      <c r="AM10" s="25"/>
      <c r="AN10" s="25"/>
      <c r="AO10" s="25"/>
      <c r="AP10" s="25"/>
      <c r="AQ10" s="65" t="e">
        <f>IF($G$8="Ban31",31,"")</f>
        <v>#REF!</v>
      </c>
    </row>
    <row r="11" spans="2:63" ht="15.75" customHeight="1" thickTop="1" thickBot="1" x14ac:dyDescent="0.3">
      <c r="B11" s="5"/>
      <c r="C11" s="4"/>
      <c r="D11" s="3"/>
      <c r="E11" s="20"/>
      <c r="F11" s="23" t="s">
        <v>177</v>
      </c>
      <c r="G11" s="33" t="str">
        <f>IFERROR(VLOOKUP(B4,#REF!,2,0),"")</f>
        <v/>
      </c>
      <c r="H11" s="4"/>
      <c r="J11" s="149"/>
      <c r="K11" s="127"/>
      <c r="L11" s="133"/>
      <c r="M11" s="133"/>
      <c r="N11" s="133"/>
      <c r="O11" s="136"/>
      <c r="P11" s="50"/>
      <c r="Q11" s="27" t="e">
        <f>IF(OR(G8="Ban14",G8="Ban15",G8="Ban16",G8="Ban17"),"x","")</f>
        <v>#REF!</v>
      </c>
      <c r="R11" s="122"/>
      <c r="S11" s="129"/>
      <c r="T11" s="129"/>
      <c r="U11" s="42"/>
      <c r="V11" s="42"/>
      <c r="W11" s="36"/>
      <c r="X11" s="50"/>
      <c r="Y11" s="50"/>
      <c r="Z11" s="50"/>
      <c r="AA11" s="38"/>
      <c r="AB11" s="106"/>
      <c r="AC11" s="106"/>
      <c r="AD11" s="106"/>
      <c r="AE11" s="116"/>
      <c r="AG11" s="64" t="e">
        <f>IF($G$8="Ban2",2,"")</f>
        <v>#REF!</v>
      </c>
      <c r="AH11" s="19" t="e">
        <f>IF($G$8="Ban11",11,"")</f>
        <v>#REF!</v>
      </c>
      <c r="AI11" s="19" t="e">
        <f>IF($G$8="Ban15",15,"")</f>
        <v>#REF!</v>
      </c>
      <c r="AJ11" s="19" t="e">
        <f>IF($G$8="Ban19",19,"")</f>
        <v>#REF!</v>
      </c>
      <c r="AK11" s="19" t="e">
        <f>IF($G$8="Ban23",23,"")</f>
        <v>#REF!</v>
      </c>
      <c r="AL11" s="25"/>
      <c r="AM11" s="25"/>
      <c r="AN11" s="25"/>
      <c r="AO11" s="25"/>
      <c r="AP11" s="25"/>
      <c r="AQ11" s="65" t="e">
        <f>IF($G$8="Ban30",30,"")</f>
        <v>#REF!</v>
      </c>
    </row>
    <row r="12" spans="2:63" ht="15" customHeight="1" thickTop="1" thickBot="1" x14ac:dyDescent="0.3">
      <c r="B12" s="5"/>
      <c r="C12" s="4"/>
      <c r="D12" s="3"/>
      <c r="E12" s="4"/>
      <c r="F12" s="24"/>
      <c r="G12" s="24"/>
      <c r="H12" s="4"/>
      <c r="J12" s="150"/>
      <c r="K12" s="128"/>
      <c r="L12" s="134"/>
      <c r="M12" s="134"/>
      <c r="N12" s="134"/>
      <c r="O12" s="137"/>
      <c r="P12" s="50"/>
      <c r="Q12" s="27" t="e">
        <f>IF(OR(G8="Ban18",G8="Ban19",G8="Ban20",G8="Ban21"),"x","")</f>
        <v>#REF!</v>
      </c>
      <c r="R12" s="105" t="e">
        <f>IF(G8="Biz","biz","")</f>
        <v>#REF!</v>
      </c>
      <c r="S12" s="105" t="e">
        <f>IF(G8="Biz","biz","")</f>
        <v>#REF!</v>
      </c>
      <c r="T12" s="105"/>
      <c r="U12" s="105"/>
      <c r="V12" s="105"/>
      <c r="W12" s="113"/>
      <c r="X12" s="50"/>
      <c r="Y12" s="50"/>
      <c r="Z12" s="50"/>
      <c r="AA12" s="39"/>
      <c r="AB12" s="129"/>
      <c r="AC12" s="129"/>
      <c r="AD12" s="129"/>
      <c r="AE12" s="117"/>
      <c r="AG12" s="64" t="e">
        <f>IF(G8="Ban1",1,"")</f>
        <v>#REF!</v>
      </c>
      <c r="AH12" s="19" t="e">
        <f>IF($G$8="Ban10",10,"")</f>
        <v>#REF!</v>
      </c>
      <c r="AI12" s="19" t="e">
        <f>IF($G$8="Ban14",14,"")</f>
        <v>#REF!</v>
      </c>
      <c r="AJ12" s="19" t="e">
        <f>IF($G$8="Ban18",18,"")</f>
        <v>#REF!</v>
      </c>
      <c r="AK12" s="19" t="e">
        <f>IF($G$8="Ban22",22,"")</f>
        <v>#REF!</v>
      </c>
      <c r="AL12" s="19" t="e">
        <f>IF($G$8="Ban26",26,"")</f>
        <v>#REF!</v>
      </c>
      <c r="AM12" s="25"/>
      <c r="AN12" s="25"/>
      <c r="AO12" s="25"/>
      <c r="AP12" s="25"/>
      <c r="AQ12" s="65" t="e">
        <f>IF($G$8="Ban29",29,"")</f>
        <v>#REF!</v>
      </c>
    </row>
    <row r="13" spans="2:63" ht="15" customHeight="1" thickTop="1" thickBot="1" x14ac:dyDescent="0.3">
      <c r="B13" s="2" t="s">
        <v>49</v>
      </c>
      <c r="C13" s="1" t="s">
        <v>128</v>
      </c>
      <c r="D13" s="3"/>
      <c r="E13" s="4"/>
      <c r="F13" s="24"/>
      <c r="G13" s="24"/>
      <c r="H13" s="4"/>
      <c r="J13" s="148" t="e">
        <f>IF(G8="Urm","urm","")</f>
        <v>#REF!</v>
      </c>
      <c r="K13" s="126" t="e">
        <f>IF(G8="ALDES","Ald","")</f>
        <v>#REF!</v>
      </c>
      <c r="L13" s="132"/>
      <c r="M13" s="132"/>
      <c r="N13" s="132"/>
      <c r="O13" s="135"/>
      <c r="P13" s="50"/>
      <c r="Q13" s="27" t="e">
        <f>IF(OR(G8="Ban22",G8="Ban23",G8="Ban24",G8="Ban25"),"x","")</f>
        <v>#REF!</v>
      </c>
      <c r="R13" s="106"/>
      <c r="S13" s="106"/>
      <c r="T13" s="106"/>
      <c r="U13" s="106"/>
      <c r="V13" s="106"/>
      <c r="W13" s="114"/>
      <c r="X13" s="50"/>
      <c r="Y13" s="50"/>
      <c r="Z13" s="50"/>
      <c r="AA13" s="37"/>
      <c r="AB13" s="40"/>
      <c r="AC13" s="40"/>
      <c r="AD13" s="105" t="e">
        <f>IF(G8="Inlogix","ilo","")</f>
        <v>#REF!</v>
      </c>
      <c r="AE13" s="118" t="e">
        <f>IF(G8="Aritech","ari","")</f>
        <v>#REF!</v>
      </c>
      <c r="AG13" s="66"/>
      <c r="AH13" s="25"/>
      <c r="AI13" s="25"/>
      <c r="AJ13" s="25"/>
      <c r="AK13" s="25"/>
      <c r="AL13" s="25"/>
      <c r="AM13" s="25"/>
      <c r="AN13" s="25"/>
      <c r="AO13" s="25"/>
      <c r="AP13" s="25"/>
      <c r="AQ13" s="65" t="e">
        <f>IF($G$8="Ban28",28,"")</f>
        <v>#REF!</v>
      </c>
    </row>
    <row r="14" spans="2:63" ht="16.5" customHeight="1" thickTop="1" thickBot="1" x14ac:dyDescent="0.3">
      <c r="B14" s="5"/>
      <c r="C14" s="4"/>
      <c r="D14" s="3"/>
      <c r="E14" s="4"/>
      <c r="F14" s="24"/>
      <c r="G14" s="24"/>
      <c r="H14" s="4"/>
      <c r="J14" s="149"/>
      <c r="K14" s="127"/>
      <c r="L14" s="133"/>
      <c r="M14" s="133"/>
      <c r="N14" s="133"/>
      <c r="O14" s="136"/>
      <c r="P14" s="50"/>
      <c r="Q14" s="27" t="e">
        <f>IF(G8="Ban26","x","")</f>
        <v>#REF!</v>
      </c>
      <c r="R14" s="129"/>
      <c r="S14" s="107"/>
      <c r="T14" s="107"/>
      <c r="U14" s="107"/>
      <c r="V14" s="107"/>
      <c r="W14" s="114"/>
      <c r="X14" s="26" t="e">
        <f>IF(OR($G$8="Ban52",$G$8="Ban53",$G$8="Ban54"),"x","")</f>
        <v>#REF!</v>
      </c>
      <c r="Y14" s="50"/>
      <c r="Z14" s="50"/>
      <c r="AA14" s="38"/>
      <c r="AB14" s="41"/>
      <c r="AC14" s="41"/>
      <c r="AD14" s="106"/>
      <c r="AE14" s="119"/>
      <c r="AG14" s="67" t="s">
        <v>55</v>
      </c>
      <c r="AH14" s="57" t="s">
        <v>54</v>
      </c>
      <c r="AI14" s="57" t="s">
        <v>74</v>
      </c>
      <c r="AJ14" s="57" t="s">
        <v>74</v>
      </c>
      <c r="AK14" s="57" t="s">
        <v>59</v>
      </c>
      <c r="AL14" s="57" t="s">
        <v>75</v>
      </c>
      <c r="AM14" s="57" t="s">
        <v>75</v>
      </c>
      <c r="AN14" s="57" t="s">
        <v>59</v>
      </c>
      <c r="AO14" s="57" t="s">
        <v>76</v>
      </c>
      <c r="AP14" s="25"/>
      <c r="AQ14" s="65" t="e">
        <f>IF($G$8="Ban27",27,"")</f>
        <v>#REF!</v>
      </c>
    </row>
    <row r="15" spans="2:63" ht="15" customHeight="1" thickTop="1" thickBot="1" x14ac:dyDescent="0.3">
      <c r="B15" s="2" t="s">
        <v>50</v>
      </c>
      <c r="C15" s="1" t="s">
        <v>251</v>
      </c>
      <c r="D15" s="3"/>
      <c r="E15" s="4"/>
      <c r="F15" s="24"/>
      <c r="G15" s="24"/>
      <c r="H15" s="4"/>
      <c r="J15" s="150"/>
      <c r="K15" s="128"/>
      <c r="L15" s="134"/>
      <c r="M15" s="134"/>
      <c r="N15" s="134"/>
      <c r="O15" s="137"/>
      <c r="P15" s="50"/>
      <c r="Q15" s="26" t="e">
        <f>IF(OR($G$8="Ban38",$G$8="Ban39",$G$8="Ban40",$G$8="Ban41",$G$8="Ban42"),"x","")</f>
        <v>#REF!</v>
      </c>
      <c r="R15" s="103" t="e">
        <f>IF(OR($G$8="Ban45",$G$8="Ban44",$G$8="Ban43"),"x","")</f>
        <v>#REF!</v>
      </c>
      <c r="S15" s="104"/>
      <c r="T15" s="103" t="e">
        <f>IF(OR($G$8="Ban46",$G$8="Ban47",$G$8="Ban48"),"x","")</f>
        <v>#REF!</v>
      </c>
      <c r="U15" s="104"/>
      <c r="V15" s="103" t="e">
        <f>IF(OR($G$8="Ban49",$G$8="Ban50",$G$8="Ban51"),"x","")</f>
        <v>#REF!</v>
      </c>
      <c r="W15" s="104"/>
      <c r="X15" s="51"/>
      <c r="Y15" s="50"/>
      <c r="Z15" s="50"/>
      <c r="AA15" s="39"/>
      <c r="AB15" s="42"/>
      <c r="AC15" s="42"/>
      <c r="AD15" s="129"/>
      <c r="AE15" s="120"/>
      <c r="AG15" s="68"/>
      <c r="AH15" s="25" t="s">
        <v>110</v>
      </c>
      <c r="AI15" s="25"/>
      <c r="AJ15" s="25"/>
      <c r="AK15" s="25"/>
      <c r="AL15" s="25"/>
      <c r="AM15" s="25"/>
      <c r="AN15" s="25"/>
      <c r="AO15" s="25"/>
      <c r="AP15" s="25"/>
      <c r="AQ15" s="69"/>
    </row>
    <row r="16" spans="2:63" ht="15" customHeight="1" thickTop="1" x14ac:dyDescent="0.25">
      <c r="B16" s="4"/>
      <c r="C16" s="4"/>
      <c r="D16" s="4"/>
      <c r="E16" s="4"/>
      <c r="F16" s="24"/>
      <c r="G16" s="24"/>
      <c r="H16" s="4"/>
      <c r="J16" s="166" t="s">
        <v>93</v>
      </c>
      <c r="K16" s="132" t="e">
        <f>IF(G8="Cordia","cor","")</f>
        <v>#REF!</v>
      </c>
      <c r="L16" s="132"/>
      <c r="M16" s="132"/>
      <c r="N16" s="132"/>
      <c r="O16" s="135"/>
      <c r="P16" s="50"/>
      <c r="Q16" s="51"/>
      <c r="R16" s="51"/>
      <c r="S16" s="51"/>
      <c r="T16" s="51"/>
      <c r="U16" s="51"/>
      <c r="V16" s="51"/>
      <c r="W16" s="51"/>
      <c r="X16" s="51"/>
      <c r="Y16" s="50"/>
      <c r="Z16" s="50"/>
      <c r="AA16" s="37"/>
      <c r="AB16" s="105" t="e">
        <f>IF(G8="Acceso","ass","")</f>
        <v>#REF!</v>
      </c>
      <c r="AC16" s="105" t="e">
        <f>IF(G8="Acceso","ass","")</f>
        <v>#REF!</v>
      </c>
      <c r="AD16" s="126" t="e">
        <f>IF(G8="Powsup","pow","")</f>
        <v>#REF!</v>
      </c>
      <c r="AE16" s="115" t="e">
        <f>IF(G8="Erard","Era","")</f>
        <v>#REF!</v>
      </c>
      <c r="AG16" s="64"/>
      <c r="AH16" s="25"/>
      <c r="AI16" s="25"/>
      <c r="AJ16" s="25"/>
      <c r="AK16" s="25"/>
      <c r="AL16" s="25"/>
      <c r="AM16" s="25"/>
      <c r="AN16" s="25"/>
      <c r="AO16" s="25"/>
      <c r="AP16" s="25"/>
      <c r="AQ16" s="69"/>
    </row>
    <row r="17" spans="1:68" s="13" customFormat="1" ht="15" customHeight="1" x14ac:dyDescent="0.25">
      <c r="B17" s="4"/>
      <c r="C17" s="4"/>
      <c r="D17" s="4"/>
      <c r="E17" s="4"/>
      <c r="F17" s="24"/>
      <c r="G17" s="24"/>
      <c r="H17" s="4"/>
      <c r="J17" s="167"/>
      <c r="K17" s="133"/>
      <c r="L17" s="133"/>
      <c r="M17" s="133"/>
      <c r="N17" s="133"/>
      <c r="O17" s="136"/>
      <c r="P17" s="50"/>
      <c r="Q17" s="51"/>
      <c r="R17" s="51"/>
      <c r="S17" s="51"/>
      <c r="T17" s="51"/>
      <c r="U17" s="51"/>
      <c r="V17" s="51"/>
      <c r="W17" s="51"/>
      <c r="X17" s="51"/>
      <c r="Y17" s="50"/>
      <c r="Z17" s="50"/>
      <c r="AA17" s="38"/>
      <c r="AB17" s="106"/>
      <c r="AC17" s="106"/>
      <c r="AD17" s="127"/>
      <c r="AE17" s="116"/>
      <c r="AF17"/>
      <c r="AG17" s="64" t="e">
        <f>IF(G8="Ban42",42,"")</f>
        <v>#REF!</v>
      </c>
      <c r="AH17" s="25"/>
      <c r="AI17" s="25"/>
      <c r="AJ17" s="25"/>
      <c r="AK17" s="25"/>
      <c r="AL17" s="25"/>
      <c r="AM17" s="25"/>
      <c r="AN17" s="25"/>
      <c r="AO17" s="12"/>
      <c r="AP17" s="12"/>
      <c r="AQ17" s="70"/>
      <c r="AR17"/>
      <c r="AS17"/>
      <c r="AT17"/>
      <c r="AU17"/>
      <c r="AV17"/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</row>
    <row r="18" spans="1:68" ht="15" customHeight="1" x14ac:dyDescent="0.25">
      <c r="B18" s="157" t="str">
        <f>IFERROR(VLOOKUP(B4,#REF!,4,0),"")</f>
        <v/>
      </c>
      <c r="C18" s="157"/>
      <c r="D18" s="157"/>
      <c r="E18" s="4"/>
      <c r="F18" s="24"/>
      <c r="G18" s="24"/>
      <c r="H18" s="4"/>
      <c r="J18" s="168"/>
      <c r="K18" s="134"/>
      <c r="L18" s="134"/>
      <c r="M18" s="134"/>
      <c r="N18" s="134"/>
      <c r="O18" s="137"/>
      <c r="P18" s="50"/>
      <c r="Q18" s="51"/>
      <c r="R18" s="51"/>
      <c r="S18" s="51"/>
      <c r="T18" s="51"/>
      <c r="U18" s="51"/>
      <c r="V18" s="51"/>
      <c r="W18" s="51"/>
      <c r="X18" s="51"/>
      <c r="Y18" s="50"/>
      <c r="Z18" s="50"/>
      <c r="AA18" s="39"/>
      <c r="AB18" s="129"/>
      <c r="AC18" s="129"/>
      <c r="AD18" s="128"/>
      <c r="AE18" s="117"/>
      <c r="AG18" s="64" t="e">
        <f>IF($G$8="Ban41",41,"")</f>
        <v>#REF!</v>
      </c>
      <c r="AH18" s="19" t="e">
        <f>IF(G8="Ban45",45,"")</f>
        <v>#REF!</v>
      </c>
      <c r="AI18" s="19"/>
      <c r="AJ18" s="19"/>
      <c r="AK18" s="25"/>
      <c r="AL18" s="25"/>
      <c r="AM18" s="25"/>
      <c r="AN18" s="25"/>
      <c r="AO18" s="25"/>
      <c r="AP18" s="25"/>
      <c r="AQ18" s="70"/>
    </row>
    <row r="19" spans="1:68" ht="15" customHeight="1" x14ac:dyDescent="0.25">
      <c r="B19" s="156"/>
      <c r="C19" s="156"/>
      <c r="D19" s="4"/>
      <c r="E19" s="4"/>
      <c r="F19" s="24"/>
      <c r="G19" s="24"/>
      <c r="H19" s="4"/>
      <c r="J19" s="148"/>
      <c r="K19" s="132"/>
      <c r="L19" s="132"/>
      <c r="M19" s="132"/>
      <c r="N19" s="132"/>
      <c r="O19" s="135" t="e">
        <f>IF(G8="Bat","bat","")</f>
        <v>#REF!</v>
      </c>
      <c r="P19" s="50"/>
      <c r="Q19" s="51"/>
      <c r="R19" s="51"/>
      <c r="S19" s="51"/>
      <c r="T19" s="51"/>
      <c r="U19" s="51"/>
      <c r="V19" s="51"/>
      <c r="W19" s="51"/>
      <c r="X19" s="51"/>
      <c r="Y19" s="50"/>
      <c r="Z19" s="50"/>
      <c r="AA19" s="123" t="e">
        <f>IF(G8="video","vid","")</f>
        <v>#REF!</v>
      </c>
      <c r="AB19" s="105" t="e">
        <f>IF(G8="Sam","sam","")</f>
        <v>#REF!</v>
      </c>
      <c r="AC19" s="105" t="e">
        <f>IF(G8="Sam","sam","")</f>
        <v>#REF!</v>
      </c>
      <c r="AD19" s="105" t="e">
        <f>IF(G8="Dahua","dah","")</f>
        <v>#REF!</v>
      </c>
      <c r="AE19" s="118" t="e">
        <f>IF(G8="Dahua","dah","")</f>
        <v>#REF!</v>
      </c>
      <c r="AF19" s="13"/>
      <c r="AG19" s="64" t="e">
        <f>IF($G$8="Ban40",40,"")</f>
        <v>#REF!</v>
      </c>
      <c r="AH19" s="19" t="e">
        <f>IF(G8="Ban44",44,"")</f>
        <v>#REF!</v>
      </c>
      <c r="AI19" s="19" t="e">
        <f>IF($G$8="Ban48",48,"")</f>
        <v>#REF!</v>
      </c>
      <c r="AJ19" s="19" t="e">
        <f>IF(G8="Ban51",51,"")</f>
        <v>#REF!</v>
      </c>
      <c r="AK19" s="25"/>
      <c r="AL19" s="19" t="e">
        <f>IF($G$8="Ban54",54,"")</f>
        <v>#REF!</v>
      </c>
      <c r="AM19" s="25"/>
      <c r="AN19" s="25"/>
      <c r="AO19" s="25"/>
      <c r="AP19" s="25"/>
      <c r="AQ19" s="70"/>
    </row>
    <row r="20" spans="1:68" ht="15" customHeight="1" x14ac:dyDescent="0.25">
      <c r="B20" s="78"/>
      <c r="C20" s="4"/>
      <c r="D20" s="4"/>
      <c r="E20" s="83"/>
      <c r="F20" s="24"/>
      <c r="G20" s="24"/>
      <c r="H20" s="4"/>
      <c r="J20" s="149"/>
      <c r="K20" s="133"/>
      <c r="L20" s="133"/>
      <c r="M20" s="133"/>
      <c r="N20" s="133"/>
      <c r="O20" s="136"/>
      <c r="P20" s="50"/>
      <c r="Q20" s="50"/>
      <c r="R20" s="50"/>
      <c r="S20" s="50"/>
      <c r="T20" s="50"/>
      <c r="U20" s="50"/>
      <c r="V20" s="50"/>
      <c r="W20" s="50"/>
      <c r="X20" s="50"/>
      <c r="Y20" s="50"/>
      <c r="Z20" s="50"/>
      <c r="AA20" s="124"/>
      <c r="AB20" s="106"/>
      <c r="AC20" s="106"/>
      <c r="AD20" s="106"/>
      <c r="AE20" s="119"/>
      <c r="AG20" s="64" t="e">
        <f>IF($G$8="Ban39",39,"")</f>
        <v>#REF!</v>
      </c>
      <c r="AH20" s="19"/>
      <c r="AI20" s="19" t="e">
        <f>IF($G$8="Ban47",47,"")</f>
        <v>#REF!</v>
      </c>
      <c r="AJ20" s="19" t="e">
        <f>IF(G8="Ban50",50,"")</f>
        <v>#REF!</v>
      </c>
      <c r="AK20" s="25"/>
      <c r="AL20" s="19" t="e">
        <f>IF($G$8="Ban53",53,"")</f>
        <v>#REF!</v>
      </c>
      <c r="AM20" s="25"/>
      <c r="AN20" s="25"/>
      <c r="AO20" s="25"/>
      <c r="AP20" s="25"/>
      <c r="AQ20" s="70"/>
    </row>
    <row r="21" spans="1:68" ht="15" customHeight="1" thickBot="1" x14ac:dyDescent="0.3">
      <c r="B21" s="78"/>
      <c r="C21" s="4"/>
      <c r="D21" s="4"/>
      <c r="E21" s="4"/>
      <c r="F21" s="24"/>
      <c r="G21" s="24"/>
      <c r="H21" s="4"/>
      <c r="J21" s="169"/>
      <c r="K21" s="164"/>
      <c r="L21" s="164"/>
      <c r="M21" s="164"/>
      <c r="N21" s="164"/>
      <c r="O21" s="165"/>
      <c r="P21" s="56"/>
      <c r="Q21" s="55"/>
      <c r="R21" s="55"/>
      <c r="S21" s="55"/>
      <c r="T21" s="55"/>
      <c r="U21" s="55"/>
      <c r="V21" s="55"/>
      <c r="W21" s="55"/>
      <c r="X21" s="55"/>
      <c r="Y21" s="55"/>
      <c r="Z21" s="52"/>
      <c r="AA21" s="125"/>
      <c r="AB21" s="131"/>
      <c r="AC21" s="131"/>
      <c r="AD21" s="131"/>
      <c r="AE21" s="130"/>
      <c r="AG21" s="71" t="e">
        <f>IF($G$8="Ban38",38,"")</f>
        <v>#REF!</v>
      </c>
      <c r="AH21" s="72" t="e">
        <f>IF(G8="Ban43",43,"")</f>
        <v>#REF!</v>
      </c>
      <c r="AI21" s="72" t="e">
        <f>IF($G$8="Ban46",46,"")</f>
        <v>#REF!</v>
      </c>
      <c r="AJ21" s="72" t="e">
        <f>IF(G8="Ban49",49,"")</f>
        <v>#REF!</v>
      </c>
      <c r="AK21" s="73"/>
      <c r="AL21" s="72" t="e">
        <f>IF($G$8="Ban52",52,"")</f>
        <v>#REF!</v>
      </c>
      <c r="AM21" s="73"/>
      <c r="AN21" s="73"/>
      <c r="AO21" s="73"/>
      <c r="AP21" s="73"/>
      <c r="AQ21" s="74"/>
    </row>
    <row r="22" spans="1:68" ht="15" customHeight="1" thickTop="1" x14ac:dyDescent="0.25">
      <c r="B22" s="17" t="s">
        <v>46</v>
      </c>
      <c r="C22" s="1" t="s">
        <v>0</v>
      </c>
      <c r="D22" s="11" t="s">
        <v>49</v>
      </c>
      <c r="E22" s="11" t="s">
        <v>50</v>
      </c>
      <c r="F22" s="11" t="s">
        <v>47</v>
      </c>
      <c r="G22" s="11" t="s">
        <v>48</v>
      </c>
      <c r="H22" s="11" t="s">
        <v>51</v>
      </c>
      <c r="J22" s="155" t="s">
        <v>199</v>
      </c>
      <c r="K22" s="155"/>
      <c r="L22" s="155"/>
      <c r="M22" s="80"/>
      <c r="N22" s="80" t="e">
        <f>INDEX(#REF!,MATCH(J22,#REF!,0))</f>
        <v>#REF!</v>
      </c>
      <c r="O22" s="81"/>
      <c r="P22" s="81"/>
      <c r="Q22" s="79"/>
      <c r="R22" s="80"/>
      <c r="S22" s="82" t="s">
        <v>195</v>
      </c>
      <c r="T22" s="82"/>
      <c r="U22" s="77"/>
      <c r="V22" s="77"/>
      <c r="X22" s="82" t="s">
        <v>204</v>
      </c>
      <c r="Y22" s="82"/>
      <c r="Z22" s="82"/>
      <c r="AA22" s="82"/>
    </row>
    <row r="23" spans="1:68" x14ac:dyDescent="0.25">
      <c r="A23" s="9"/>
      <c r="B23" s="75">
        <v>44020</v>
      </c>
      <c r="C23" s="76" t="s">
        <v>252</v>
      </c>
      <c r="D23" s="76" t="s">
        <v>128</v>
      </c>
      <c r="E23" s="76" t="s">
        <v>251</v>
      </c>
      <c r="F23" s="76">
        <v>0</v>
      </c>
      <c r="G23" s="76">
        <v>2</v>
      </c>
      <c r="H23" s="76">
        <f>Tableau6[[#This Row],[Entrée]]-Tableau6[[#This Row],[Sortie]]</f>
        <v>-2</v>
      </c>
      <c r="P23" s="30"/>
      <c r="Q23" s="16"/>
      <c r="R23" s="88"/>
      <c r="S23" s="88"/>
      <c r="T23" s="88"/>
      <c r="U23" s="88"/>
      <c r="V23" s="88"/>
      <c r="W23" s="88"/>
      <c r="X23" s="88"/>
      <c r="Y23" s="88"/>
      <c r="Z23" s="88"/>
      <c r="AA23" s="88"/>
      <c r="AB23" s="88"/>
      <c r="AC23" s="16"/>
      <c r="AD23" s="16"/>
      <c r="AE23" s="16"/>
      <c r="AF23" s="16"/>
    </row>
    <row r="24" spans="1:68" x14ac:dyDescent="0.25">
      <c r="A24" s="9"/>
      <c r="B24" s="75">
        <v>44020</v>
      </c>
      <c r="C24" s="76" t="s">
        <v>246</v>
      </c>
      <c r="D24" s="76" t="s">
        <v>62</v>
      </c>
      <c r="E24" s="76" t="s">
        <v>61</v>
      </c>
      <c r="F24" s="76">
        <v>3</v>
      </c>
      <c r="G24" s="76">
        <v>0</v>
      </c>
      <c r="H24" s="76">
        <f>Tableau6[[#This Row],[Entrée]]-Tableau6[[#This Row],[Sortie]]</f>
        <v>3</v>
      </c>
      <c r="P24" s="86"/>
      <c r="Q24" s="86"/>
      <c r="T24" s="86"/>
      <c r="U24" s="86"/>
      <c r="V24" s="86"/>
      <c r="W24" s="86"/>
      <c r="X24" s="86"/>
      <c r="Y24" s="86"/>
      <c r="Z24" s="86"/>
      <c r="AA24" s="86"/>
      <c r="AB24" s="86"/>
    </row>
    <row r="25" spans="1:68" x14ac:dyDescent="0.25">
      <c r="A25" s="9"/>
      <c r="B25" s="75">
        <v>44020</v>
      </c>
      <c r="C25" s="76">
        <v>80456</v>
      </c>
      <c r="D25" s="76" t="s">
        <v>62</v>
      </c>
      <c r="E25" s="76" t="s">
        <v>61</v>
      </c>
      <c r="F25" s="76">
        <v>14</v>
      </c>
      <c r="G25" s="76">
        <v>0</v>
      </c>
      <c r="H25" s="76">
        <f>Tableau6[[#This Row],[Entrée]]-Tableau6[[#This Row],[Sortie]]</f>
        <v>14</v>
      </c>
    </row>
    <row r="26" spans="1:68" x14ac:dyDescent="0.25">
      <c r="A26" s="9"/>
      <c r="B26" s="75">
        <v>44020</v>
      </c>
      <c r="C26" s="76">
        <v>5862</v>
      </c>
      <c r="D26" s="76" t="s">
        <v>62</v>
      </c>
      <c r="E26" s="76" t="s">
        <v>61</v>
      </c>
      <c r="F26" s="76">
        <v>10</v>
      </c>
      <c r="G26" s="76">
        <v>0</v>
      </c>
      <c r="H26" s="76">
        <f>Tableau6[[#This Row],[Entrée]]-Tableau6[[#This Row],[Sortie]]</f>
        <v>10</v>
      </c>
    </row>
    <row r="27" spans="1:68" x14ac:dyDescent="0.25">
      <c r="A27" s="9"/>
      <c r="B27" s="75">
        <v>44020</v>
      </c>
      <c r="C27" s="76" t="s">
        <v>141</v>
      </c>
      <c r="D27" s="76" t="s">
        <v>128</v>
      </c>
      <c r="E27" s="76" t="s">
        <v>262</v>
      </c>
      <c r="F27" s="76">
        <v>0</v>
      </c>
      <c r="G27" s="76">
        <v>3</v>
      </c>
      <c r="H27" s="76">
        <f>Tableau6[[#This Row],[Entrée]]-Tableau6[[#This Row],[Sortie]]</f>
        <v>-3</v>
      </c>
    </row>
    <row r="28" spans="1:68" x14ac:dyDescent="0.25">
      <c r="A28" s="9"/>
      <c r="B28" s="75">
        <v>44020</v>
      </c>
      <c r="C28" s="76" t="s">
        <v>151</v>
      </c>
      <c r="D28" s="76" t="s">
        <v>128</v>
      </c>
      <c r="E28" s="76" t="s">
        <v>251</v>
      </c>
      <c r="F28" s="76">
        <v>0</v>
      </c>
      <c r="G28" s="76">
        <v>4</v>
      </c>
      <c r="H28" s="76">
        <f>Tableau6[[#This Row],[Entrée]]-Tableau6[[#This Row],[Sortie]]</f>
        <v>-4</v>
      </c>
      <c r="Q28" s="88" t="s">
        <v>266</v>
      </c>
      <c r="R28" s="88"/>
      <c r="S28" s="88"/>
      <c r="T28" s="88"/>
      <c r="U28" s="88"/>
      <c r="V28" s="88"/>
      <c r="W28" s="88"/>
      <c r="X28" s="88"/>
      <c r="Y28" s="88"/>
      <c r="Z28" s="88"/>
      <c r="AA28" s="88"/>
      <c r="AB28" s="88"/>
      <c r="AC28" s="88"/>
      <c r="AD28" s="88"/>
      <c r="AE28" s="88"/>
    </row>
    <row r="29" spans="1:68" x14ac:dyDescent="0.25">
      <c r="B29" s="75">
        <v>44020</v>
      </c>
      <c r="C29" s="76" t="s">
        <v>260</v>
      </c>
      <c r="D29" s="76" t="s">
        <v>58</v>
      </c>
      <c r="E29" s="76" t="s">
        <v>261</v>
      </c>
      <c r="F29" s="76">
        <v>0</v>
      </c>
      <c r="G29" s="76">
        <v>2</v>
      </c>
      <c r="H29" s="76">
        <f>Tableau6[[#This Row],[Entrée]]-Tableau6[[#This Row],[Sortie]]</f>
        <v>-2</v>
      </c>
      <c r="Q29" s="16">
        <v>28</v>
      </c>
      <c r="R29" s="88" t="s">
        <v>264</v>
      </c>
      <c r="S29" s="88"/>
      <c r="T29" s="88"/>
      <c r="U29" s="88"/>
      <c r="V29" s="88"/>
      <c r="W29" s="88"/>
      <c r="X29" s="88"/>
      <c r="Y29" s="88"/>
      <c r="Z29" s="88"/>
      <c r="AA29" s="88"/>
      <c r="AB29" s="88"/>
      <c r="AC29" s="16"/>
      <c r="AD29" s="16"/>
      <c r="AE29" s="16"/>
    </row>
    <row r="30" spans="1:68" x14ac:dyDescent="0.25">
      <c r="B30" s="75">
        <v>44019</v>
      </c>
      <c r="C30" s="76" t="s">
        <v>203</v>
      </c>
      <c r="D30" s="76" t="s">
        <v>58</v>
      </c>
      <c r="E30" s="76" t="s">
        <v>90</v>
      </c>
      <c r="F30" s="76">
        <v>0</v>
      </c>
      <c r="G30" s="76">
        <v>1</v>
      </c>
      <c r="H30" s="76">
        <f>Tableau6[[#This Row],[Entrée]]-Tableau6[[#This Row],[Sortie]]</f>
        <v>-1</v>
      </c>
      <c r="I30" s="11"/>
      <c r="J30" s="11"/>
      <c r="Q30" s="16">
        <v>29</v>
      </c>
      <c r="R30" s="88" t="s">
        <v>265</v>
      </c>
      <c r="S30" s="88"/>
      <c r="T30" s="88"/>
      <c r="U30" s="88"/>
      <c r="V30" s="88"/>
      <c r="W30" s="88"/>
      <c r="X30" s="88"/>
      <c r="Y30" s="88"/>
      <c r="Z30" s="88"/>
      <c r="AA30" s="88"/>
      <c r="AB30" s="88"/>
      <c r="AC30" s="16"/>
      <c r="AD30" s="16"/>
      <c r="AE30" s="16"/>
    </row>
    <row r="31" spans="1:68" x14ac:dyDescent="0.25">
      <c r="B31" s="75">
        <v>44019</v>
      </c>
      <c r="C31" s="76" t="s">
        <v>205</v>
      </c>
      <c r="D31" s="76" t="s">
        <v>58</v>
      </c>
      <c r="E31" s="76" t="s">
        <v>90</v>
      </c>
      <c r="F31" s="76">
        <v>0</v>
      </c>
      <c r="G31" s="76">
        <v>2</v>
      </c>
      <c r="H31" s="76">
        <f>Tableau6[[#This Row],[Entrée]]-Tableau6[[#This Row],[Sortie]]</f>
        <v>-2</v>
      </c>
      <c r="I31" s="11"/>
      <c r="J31" s="11"/>
    </row>
    <row r="32" spans="1:68" x14ac:dyDescent="0.25">
      <c r="B32" s="75">
        <v>44019</v>
      </c>
      <c r="C32" s="76" t="s">
        <v>112</v>
      </c>
      <c r="D32" s="76" t="s">
        <v>58</v>
      </c>
      <c r="E32" s="76" t="s">
        <v>90</v>
      </c>
      <c r="F32" s="76">
        <v>0</v>
      </c>
      <c r="G32" s="76">
        <v>2</v>
      </c>
      <c r="H32" s="76">
        <f>Tableau6[[#This Row],[Entrée]]-Tableau6[[#This Row],[Sortie]]</f>
        <v>-2</v>
      </c>
    </row>
    <row r="33" spans="1:8" x14ac:dyDescent="0.25">
      <c r="A33" s="9"/>
      <c r="B33" s="75">
        <v>44019</v>
      </c>
      <c r="C33" s="76" t="s">
        <v>205</v>
      </c>
      <c r="D33" s="76" t="s">
        <v>58</v>
      </c>
      <c r="E33" s="76" t="s">
        <v>90</v>
      </c>
      <c r="F33" s="76">
        <v>0</v>
      </c>
      <c r="G33" s="76">
        <v>2</v>
      </c>
      <c r="H33" s="76">
        <f>Tableau6[[#This Row],[Entrée]]-Tableau6[[#This Row],[Sortie]]</f>
        <v>-2</v>
      </c>
    </row>
    <row r="34" spans="1:8" x14ac:dyDescent="0.25">
      <c r="A34" s="9"/>
      <c r="B34" s="75">
        <v>44019</v>
      </c>
      <c r="C34" s="76" t="s">
        <v>125</v>
      </c>
      <c r="D34" s="76" t="s">
        <v>58</v>
      </c>
      <c r="E34" s="76" t="s">
        <v>90</v>
      </c>
      <c r="F34" s="76">
        <v>0</v>
      </c>
      <c r="G34" s="76">
        <v>2</v>
      </c>
      <c r="H34" s="76">
        <f>Tableau6[[#This Row],[Entrée]]-Tableau6[[#This Row],[Sortie]]</f>
        <v>-2</v>
      </c>
    </row>
    <row r="35" spans="1:8" x14ac:dyDescent="0.25">
      <c r="A35" s="9"/>
      <c r="B35" s="75">
        <v>44019</v>
      </c>
      <c r="C35" s="76" t="s">
        <v>157</v>
      </c>
      <c r="D35" s="76" t="s">
        <v>58</v>
      </c>
      <c r="E35" s="76" t="s">
        <v>90</v>
      </c>
      <c r="F35" s="76">
        <v>0</v>
      </c>
      <c r="G35" s="76">
        <v>2</v>
      </c>
      <c r="H35" s="76">
        <f>Tableau6[[#This Row],[Entrée]]-Tableau6[[#This Row],[Sortie]]</f>
        <v>-2</v>
      </c>
    </row>
    <row r="36" spans="1:8" x14ac:dyDescent="0.25">
      <c r="A36" s="9"/>
      <c r="B36" s="75">
        <v>44019</v>
      </c>
      <c r="C36" s="76" t="s">
        <v>149</v>
      </c>
      <c r="D36" s="76" t="s">
        <v>57</v>
      </c>
      <c r="E36" s="76" t="s">
        <v>259</v>
      </c>
      <c r="F36" s="76">
        <v>0</v>
      </c>
      <c r="G36" s="76">
        <v>20</v>
      </c>
      <c r="H36" s="76">
        <f>Tableau6[[#This Row],[Entrée]]-Tableau6[[#This Row],[Sortie]]</f>
        <v>-20</v>
      </c>
    </row>
    <row r="37" spans="1:8" x14ac:dyDescent="0.25">
      <c r="A37" s="9"/>
      <c r="B37" s="75">
        <v>44019</v>
      </c>
      <c r="C37" s="76" t="s">
        <v>157</v>
      </c>
      <c r="D37" s="76" t="s">
        <v>86</v>
      </c>
      <c r="E37" s="76" t="s">
        <v>258</v>
      </c>
      <c r="F37" s="76">
        <v>0</v>
      </c>
      <c r="G37" s="76">
        <v>1</v>
      </c>
      <c r="H37" s="76">
        <f>Tableau6[[#This Row],[Entrée]]-Tableau6[[#This Row],[Sortie]]</f>
        <v>-1</v>
      </c>
    </row>
    <row r="38" spans="1:8" x14ac:dyDescent="0.25">
      <c r="A38" s="9"/>
      <c r="B38" s="75">
        <v>44018</v>
      </c>
      <c r="C38" s="76" t="s">
        <v>150</v>
      </c>
      <c r="D38" s="76" t="s">
        <v>57</v>
      </c>
      <c r="E38" s="76" t="s">
        <v>257</v>
      </c>
      <c r="F38" s="76">
        <v>0</v>
      </c>
      <c r="G38" s="76">
        <v>60</v>
      </c>
      <c r="H38" s="76">
        <f>Tableau6[[#This Row],[Entrée]]-Tableau6[[#This Row],[Sortie]]</f>
        <v>-60</v>
      </c>
    </row>
    <row r="39" spans="1:8" x14ac:dyDescent="0.25">
      <c r="A39" s="9"/>
      <c r="B39" s="75">
        <v>44018</v>
      </c>
      <c r="C39" s="76" t="s">
        <v>255</v>
      </c>
      <c r="D39" s="76" t="s">
        <v>86</v>
      </c>
      <c r="E39" s="76" t="s">
        <v>256</v>
      </c>
      <c r="F39" s="76">
        <v>0</v>
      </c>
      <c r="G39" s="76">
        <v>1</v>
      </c>
      <c r="H39" s="76">
        <f>Tableau6[[#This Row],[Entrée]]-Tableau6[[#This Row],[Sortie]]</f>
        <v>-1</v>
      </c>
    </row>
    <row r="40" spans="1:8" x14ac:dyDescent="0.25">
      <c r="A40" s="9"/>
      <c r="B40" s="75">
        <v>44018</v>
      </c>
      <c r="C40" s="76" t="s">
        <v>28</v>
      </c>
      <c r="D40" s="76" t="s">
        <v>88</v>
      </c>
      <c r="E40" s="76" t="s">
        <v>254</v>
      </c>
      <c r="F40" s="76">
        <v>0</v>
      </c>
      <c r="G40" s="76">
        <v>2</v>
      </c>
      <c r="H40" s="76">
        <f>Tableau6[[#This Row],[Entrée]]-Tableau6[[#This Row],[Sortie]]</f>
        <v>-2</v>
      </c>
    </row>
    <row r="41" spans="1:8" x14ac:dyDescent="0.25">
      <c r="A41" s="9"/>
      <c r="B41" s="75">
        <v>44018</v>
      </c>
      <c r="C41" s="76" t="s">
        <v>36</v>
      </c>
      <c r="D41" s="76" t="s">
        <v>247</v>
      </c>
      <c r="E41" s="76" t="s">
        <v>253</v>
      </c>
      <c r="F41" s="76">
        <v>0</v>
      </c>
      <c r="G41" s="76">
        <v>4</v>
      </c>
      <c r="H41" s="76">
        <f>Tableau6[[#This Row],[Entrée]]-Tableau6[[#This Row],[Sortie]]</f>
        <v>-4</v>
      </c>
    </row>
    <row r="42" spans="1:8" x14ac:dyDescent="0.25">
      <c r="A42" s="9"/>
      <c r="B42" s="75">
        <v>44018</v>
      </c>
      <c r="C42" s="76" t="s">
        <v>35</v>
      </c>
      <c r="D42" s="76" t="s">
        <v>247</v>
      </c>
      <c r="E42" s="76" t="s">
        <v>253</v>
      </c>
      <c r="F42" s="76">
        <v>0</v>
      </c>
      <c r="G42" s="76">
        <v>4</v>
      </c>
      <c r="H42" s="76">
        <f>Tableau6[[#This Row],[Entrée]]-Tableau6[[#This Row],[Sortie]]</f>
        <v>-4</v>
      </c>
    </row>
    <row r="43" spans="1:8" x14ac:dyDescent="0.25">
      <c r="A43" s="9"/>
      <c r="B43" s="75">
        <v>44018</v>
      </c>
      <c r="C43" s="76" t="s">
        <v>91</v>
      </c>
      <c r="D43" s="76" t="s">
        <v>247</v>
      </c>
      <c r="E43" s="76" t="s">
        <v>253</v>
      </c>
      <c r="F43" s="76">
        <v>0</v>
      </c>
      <c r="G43" s="76">
        <v>4</v>
      </c>
      <c r="H43" s="76">
        <f>Tableau6[[#This Row],[Entrée]]-Tableau6[[#This Row],[Sortie]]</f>
        <v>-4</v>
      </c>
    </row>
    <row r="44" spans="1:8" x14ac:dyDescent="0.25">
      <c r="A44" s="9"/>
      <c r="B44" s="75">
        <v>44018</v>
      </c>
      <c r="C44" s="76" t="s">
        <v>234</v>
      </c>
      <c r="D44" s="76" t="s">
        <v>57</v>
      </c>
      <c r="E44" s="76" t="s">
        <v>90</v>
      </c>
      <c r="F44" s="76">
        <v>0</v>
      </c>
      <c r="G44" s="76">
        <v>2</v>
      </c>
      <c r="H44" s="76">
        <f>Tableau6[[#This Row],[Entrée]]-Tableau6[[#This Row],[Sortie]]</f>
        <v>-2</v>
      </c>
    </row>
    <row r="45" spans="1:8" x14ac:dyDescent="0.25">
      <c r="A45" s="9"/>
      <c r="B45" s="75">
        <v>44018</v>
      </c>
      <c r="C45" s="76">
        <v>63621</v>
      </c>
      <c r="D45" s="76" t="s">
        <v>57</v>
      </c>
      <c r="E45" s="76" t="s">
        <v>90</v>
      </c>
      <c r="F45" s="76">
        <v>0</v>
      </c>
      <c r="G45" s="76">
        <v>1</v>
      </c>
      <c r="H45" s="76">
        <f>Tableau6[[#This Row],[Entrée]]-Tableau6[[#This Row],[Sortie]]</f>
        <v>-1</v>
      </c>
    </row>
    <row r="46" spans="1:8" x14ac:dyDescent="0.25">
      <c r="A46" s="9"/>
      <c r="B46" s="75">
        <v>44018</v>
      </c>
      <c r="C46" s="76" t="s">
        <v>213</v>
      </c>
      <c r="D46" s="76" t="s">
        <v>87</v>
      </c>
      <c r="E46" s="76" t="s">
        <v>251</v>
      </c>
      <c r="F46" s="76">
        <v>0</v>
      </c>
      <c r="G46" s="76">
        <v>1</v>
      </c>
      <c r="H46" s="76">
        <f>Tableau6[[#This Row],[Entrée]]-Tableau6[[#This Row],[Sortie]]</f>
        <v>-1</v>
      </c>
    </row>
    <row r="47" spans="1:8" x14ac:dyDescent="0.25">
      <c r="A47" s="9"/>
      <c r="B47" s="75">
        <v>44018</v>
      </c>
      <c r="C47" s="76" t="s">
        <v>252</v>
      </c>
      <c r="D47" s="76" t="s">
        <v>87</v>
      </c>
      <c r="E47" s="76" t="s">
        <v>251</v>
      </c>
      <c r="F47" s="76">
        <v>0</v>
      </c>
      <c r="G47" s="76">
        <v>1</v>
      </c>
      <c r="H47" s="76">
        <f>Tableau6[[#This Row],[Entrée]]-Tableau6[[#This Row],[Sortie]]</f>
        <v>-1</v>
      </c>
    </row>
    <row r="48" spans="1:8" x14ac:dyDescent="0.25">
      <c r="A48" s="9"/>
      <c r="B48" s="75">
        <v>44015</v>
      </c>
      <c r="C48" s="76">
        <v>198160</v>
      </c>
      <c r="D48" s="76" t="s">
        <v>52</v>
      </c>
      <c r="E48" s="76" t="s">
        <v>90</v>
      </c>
      <c r="F48" s="76">
        <v>0</v>
      </c>
      <c r="G48" s="76">
        <v>1</v>
      </c>
      <c r="H48" s="76">
        <f>Tableau6[[#This Row],[Entrée]]-Tableau6[[#This Row],[Sortie]]</f>
        <v>-1</v>
      </c>
    </row>
    <row r="49" spans="1:8" x14ac:dyDescent="0.25">
      <c r="A49" s="9"/>
      <c r="B49" s="75">
        <v>44015</v>
      </c>
      <c r="C49" s="76" t="s">
        <v>197</v>
      </c>
      <c r="D49" s="76" t="s">
        <v>53</v>
      </c>
      <c r="E49" s="76" t="s">
        <v>250</v>
      </c>
      <c r="F49" s="76">
        <v>0</v>
      </c>
      <c r="G49" s="76">
        <v>5</v>
      </c>
      <c r="H49" s="76">
        <f>Tableau6[[#This Row],[Entrée]]-Tableau6[[#This Row],[Sortie]]</f>
        <v>-5</v>
      </c>
    </row>
    <row r="50" spans="1:8" x14ac:dyDescent="0.25">
      <c r="A50" s="9"/>
      <c r="B50" s="75">
        <v>44014</v>
      </c>
      <c r="C50" s="76" t="s">
        <v>263</v>
      </c>
      <c r="D50" s="76" t="s">
        <v>128</v>
      </c>
      <c r="E50" s="76" t="s">
        <v>250</v>
      </c>
      <c r="F50" s="76">
        <v>0</v>
      </c>
      <c r="G50" s="76">
        <v>1</v>
      </c>
      <c r="H50" s="76">
        <f>Tableau6[[#This Row],[Entrée]]-Tableau6[[#This Row],[Sortie]]</f>
        <v>-1</v>
      </c>
    </row>
    <row r="51" spans="1:8" x14ac:dyDescent="0.25">
      <c r="A51" s="9"/>
      <c r="B51" s="75">
        <v>44014</v>
      </c>
      <c r="C51" s="76" t="s">
        <v>43</v>
      </c>
      <c r="D51" s="76" t="s">
        <v>128</v>
      </c>
      <c r="E51" s="76" t="s">
        <v>250</v>
      </c>
      <c r="F51" s="76">
        <v>0</v>
      </c>
      <c r="G51" s="76">
        <v>1</v>
      </c>
      <c r="H51" s="76">
        <f>Tableau6[[#This Row],[Entrée]]-Tableau6[[#This Row],[Sortie]]</f>
        <v>-1</v>
      </c>
    </row>
    <row r="52" spans="1:8" x14ac:dyDescent="0.25">
      <c r="A52" s="9"/>
      <c r="B52" s="75">
        <v>44014</v>
      </c>
      <c r="C52" s="76" t="s">
        <v>249</v>
      </c>
      <c r="D52" s="76" t="s">
        <v>87</v>
      </c>
      <c r="E52" s="76" t="s">
        <v>243</v>
      </c>
      <c r="F52" s="76">
        <v>0</v>
      </c>
      <c r="G52" s="76">
        <v>1</v>
      </c>
      <c r="H52" s="76">
        <f>Tableau6[[#This Row],[Entrée]]-Tableau6[[#This Row],[Sortie]]</f>
        <v>-1</v>
      </c>
    </row>
    <row r="53" spans="1:8" x14ac:dyDescent="0.25">
      <c r="A53" s="9"/>
      <c r="B53" s="75">
        <v>44014</v>
      </c>
      <c r="C53" s="76" t="s">
        <v>140</v>
      </c>
      <c r="D53" s="76" t="s">
        <v>87</v>
      </c>
      <c r="E53" s="76" t="s">
        <v>243</v>
      </c>
      <c r="F53" s="76">
        <v>0</v>
      </c>
      <c r="G53" s="76">
        <v>2</v>
      </c>
      <c r="H53" s="76">
        <f>Tableau6[[#This Row],[Entrée]]-Tableau6[[#This Row],[Sortie]]</f>
        <v>-2</v>
      </c>
    </row>
    <row r="54" spans="1:8" x14ac:dyDescent="0.25">
      <c r="A54" s="9"/>
      <c r="B54" s="75">
        <v>44014</v>
      </c>
      <c r="C54" s="76" t="s">
        <v>193</v>
      </c>
      <c r="D54" s="76" t="s">
        <v>87</v>
      </c>
      <c r="E54" s="76" t="s">
        <v>243</v>
      </c>
      <c r="F54" s="76">
        <v>0</v>
      </c>
      <c r="G54" s="76">
        <v>1</v>
      </c>
      <c r="H54" s="76">
        <f>Tableau6[[#This Row],[Entrée]]-Tableau6[[#This Row],[Sortie]]</f>
        <v>-1</v>
      </c>
    </row>
    <row r="55" spans="1:8" x14ac:dyDescent="0.25">
      <c r="A55" s="9"/>
      <c r="B55" s="75">
        <v>44014</v>
      </c>
      <c r="C55" s="76" t="s">
        <v>248</v>
      </c>
      <c r="D55" s="76" t="s">
        <v>87</v>
      </c>
      <c r="E55" s="76" t="s">
        <v>243</v>
      </c>
      <c r="F55" s="76">
        <v>0</v>
      </c>
      <c r="G55" s="76">
        <v>7</v>
      </c>
      <c r="H55" s="76">
        <f>Tableau6[[#This Row],[Entrée]]-Tableau6[[#This Row],[Sortie]]</f>
        <v>-7</v>
      </c>
    </row>
    <row r="56" spans="1:8" x14ac:dyDescent="0.25">
      <c r="A56" s="9"/>
      <c r="B56" s="75">
        <v>44014</v>
      </c>
      <c r="C56" s="76" t="s">
        <v>186</v>
      </c>
      <c r="D56" s="76" t="s">
        <v>87</v>
      </c>
      <c r="E56" s="76" t="s">
        <v>243</v>
      </c>
      <c r="F56" s="76">
        <v>0</v>
      </c>
      <c r="G56" s="76">
        <v>3</v>
      </c>
      <c r="H56" s="76">
        <f>Tableau6[[#This Row],[Entrée]]-Tableau6[[#This Row],[Sortie]]</f>
        <v>-3</v>
      </c>
    </row>
    <row r="57" spans="1:8" x14ac:dyDescent="0.25">
      <c r="A57" s="9"/>
      <c r="B57" s="75">
        <v>44014</v>
      </c>
      <c r="C57" s="76" t="s">
        <v>20</v>
      </c>
      <c r="D57" s="76" t="s">
        <v>87</v>
      </c>
      <c r="E57" s="76" t="s">
        <v>243</v>
      </c>
      <c r="F57" s="76">
        <v>0</v>
      </c>
      <c r="G57" s="76">
        <v>1</v>
      </c>
      <c r="H57" s="76">
        <f>Tableau6[[#This Row],[Entrée]]-Tableau6[[#This Row],[Sortie]]</f>
        <v>-1</v>
      </c>
    </row>
    <row r="58" spans="1:8" x14ac:dyDescent="0.25">
      <c r="A58" s="9"/>
      <c r="B58" s="75">
        <v>44014</v>
      </c>
      <c r="C58" s="76" t="s">
        <v>234</v>
      </c>
      <c r="D58" s="76" t="s">
        <v>62</v>
      </c>
      <c r="E58" s="76" t="s">
        <v>61</v>
      </c>
      <c r="F58" s="76">
        <v>7</v>
      </c>
      <c r="G58" s="76">
        <v>0</v>
      </c>
      <c r="H58" s="76">
        <f>Tableau6[[#This Row],[Entrée]]-Tableau6[[#This Row],[Sortie]]</f>
        <v>7</v>
      </c>
    </row>
    <row r="59" spans="1:8" x14ac:dyDescent="0.25">
      <c r="A59" s="9"/>
      <c r="B59" s="75">
        <v>44014</v>
      </c>
      <c r="C59" s="76" t="s">
        <v>207</v>
      </c>
      <c r="D59" s="76" t="s">
        <v>62</v>
      </c>
      <c r="E59" s="76" t="s">
        <v>61</v>
      </c>
      <c r="F59" s="76">
        <v>1</v>
      </c>
      <c r="G59" s="76">
        <v>0</v>
      </c>
      <c r="H59" s="76">
        <f>Tableau6[[#This Row],[Entrée]]-Tableau6[[#This Row],[Sortie]]</f>
        <v>1</v>
      </c>
    </row>
    <row r="60" spans="1:8" x14ac:dyDescent="0.25">
      <c r="A60" s="9"/>
      <c r="B60" s="75">
        <v>44013</v>
      </c>
      <c r="C60" s="76" t="s">
        <v>20</v>
      </c>
      <c r="D60" s="76" t="s">
        <v>247</v>
      </c>
      <c r="E60" s="76" t="s">
        <v>90</v>
      </c>
      <c r="F60" s="76">
        <v>0</v>
      </c>
      <c r="G60" s="76">
        <v>1</v>
      </c>
      <c r="H60" s="76">
        <f>Tableau6[[#This Row],[Entrée]]-Tableau6[[#This Row],[Sortie]]</f>
        <v>-1</v>
      </c>
    </row>
    <row r="61" spans="1:8" x14ac:dyDescent="0.25">
      <c r="A61" s="9"/>
      <c r="B61" s="75">
        <v>44013</v>
      </c>
      <c r="C61" s="76" t="s">
        <v>16</v>
      </c>
      <c r="D61" s="76" t="s">
        <v>247</v>
      </c>
      <c r="E61" s="76" t="s">
        <v>90</v>
      </c>
      <c r="F61" s="76">
        <v>0</v>
      </c>
      <c r="G61" s="76">
        <v>1</v>
      </c>
      <c r="H61" s="76">
        <f>Tableau6[[#This Row],[Entrée]]-Tableau6[[#This Row],[Sortie]]</f>
        <v>-1</v>
      </c>
    </row>
    <row r="62" spans="1:8" x14ac:dyDescent="0.25">
      <c r="A62" s="9"/>
      <c r="B62" s="75">
        <v>44013</v>
      </c>
      <c r="C62" s="76" t="s">
        <v>151</v>
      </c>
      <c r="D62" s="76" t="s">
        <v>87</v>
      </c>
      <c r="E62" s="76" t="s">
        <v>244</v>
      </c>
      <c r="F62" s="76">
        <v>0</v>
      </c>
      <c r="G62" s="76">
        <v>5</v>
      </c>
      <c r="H62" s="76">
        <f>Tableau6[[#This Row],[Entrée]]-Tableau6[[#This Row],[Sortie]]</f>
        <v>-5</v>
      </c>
    </row>
    <row r="63" spans="1:8" x14ac:dyDescent="0.25">
      <c r="A63" s="9"/>
      <c r="B63" s="75">
        <v>44013</v>
      </c>
      <c r="C63" s="76" t="s">
        <v>152</v>
      </c>
      <c r="D63" s="76" t="s">
        <v>60</v>
      </c>
      <c r="E63" s="76" t="s">
        <v>235</v>
      </c>
      <c r="F63" s="76">
        <v>0</v>
      </c>
      <c r="G63" s="76">
        <v>1</v>
      </c>
      <c r="H63" s="76">
        <f>Tableau6[[#This Row],[Entrée]]-Tableau6[[#This Row],[Sortie]]</f>
        <v>-1</v>
      </c>
    </row>
    <row r="64" spans="1:8" x14ac:dyDescent="0.25">
      <c r="A64" s="9"/>
      <c r="B64" s="75">
        <v>44013</v>
      </c>
      <c r="C64" s="76" t="s">
        <v>9</v>
      </c>
      <c r="D64" s="76" t="s">
        <v>60</v>
      </c>
      <c r="E64" s="76" t="s">
        <v>235</v>
      </c>
      <c r="F64" s="76">
        <v>0</v>
      </c>
      <c r="G64" s="76">
        <v>3</v>
      </c>
      <c r="H64" s="76">
        <f>Tableau6[[#This Row],[Entrée]]-Tableau6[[#This Row],[Sortie]]</f>
        <v>-3</v>
      </c>
    </row>
    <row r="65" spans="1:63" x14ac:dyDescent="0.25">
      <c r="A65" s="9"/>
      <c r="B65" s="75">
        <v>44013</v>
      </c>
      <c r="C65" s="76" t="s">
        <v>30</v>
      </c>
      <c r="D65" s="76" t="s">
        <v>60</v>
      </c>
      <c r="E65" s="76" t="s">
        <v>235</v>
      </c>
      <c r="F65" s="76">
        <v>0</v>
      </c>
      <c r="G65" s="76">
        <v>6</v>
      </c>
      <c r="H65" s="76">
        <f>Tableau6[[#This Row],[Entrée]]-Tableau6[[#This Row],[Sortie]]</f>
        <v>-6</v>
      </c>
    </row>
    <row r="66" spans="1:63" x14ac:dyDescent="0.25">
      <c r="A66" s="9"/>
      <c r="B66" s="75">
        <v>44012</v>
      </c>
      <c r="C66" s="76" t="s">
        <v>92</v>
      </c>
      <c r="D66" s="76" t="s">
        <v>87</v>
      </c>
      <c r="E66" s="76" t="s">
        <v>243</v>
      </c>
      <c r="F66" s="76">
        <v>0</v>
      </c>
      <c r="G66" s="76">
        <v>1</v>
      </c>
      <c r="H66" s="76">
        <f>Tableau6[[#This Row],[Entrée]]-Tableau6[[#This Row],[Sortie]]</f>
        <v>-1</v>
      </c>
    </row>
    <row r="67" spans="1:63" x14ac:dyDescent="0.25">
      <c r="A67" s="9"/>
      <c r="B67" s="75">
        <v>44012</v>
      </c>
      <c r="C67" s="76" t="s">
        <v>98</v>
      </c>
      <c r="D67" s="76" t="s">
        <v>123</v>
      </c>
      <c r="E67" s="76" t="s">
        <v>90</v>
      </c>
      <c r="F67" s="76">
        <v>0</v>
      </c>
      <c r="G67" s="76">
        <v>5</v>
      </c>
      <c r="H67" s="76">
        <f>Tableau6[[#This Row],[Entrée]]-Tableau6[[#This Row],[Sortie]]</f>
        <v>-5</v>
      </c>
    </row>
    <row r="68" spans="1:63" x14ac:dyDescent="0.25">
      <c r="A68" s="9"/>
      <c r="B68" s="75">
        <v>44011</v>
      </c>
      <c r="C68" s="76" t="s">
        <v>229</v>
      </c>
      <c r="D68" s="76" t="s">
        <v>60</v>
      </c>
      <c r="E68" s="76" t="s">
        <v>235</v>
      </c>
      <c r="F68" s="76">
        <v>0</v>
      </c>
      <c r="G68" s="76">
        <v>1</v>
      </c>
      <c r="H68" s="76">
        <f>Tableau6[[#This Row],[Entrée]]-Tableau6[[#This Row],[Sortie]]</f>
        <v>-1</v>
      </c>
    </row>
    <row r="69" spans="1:63" x14ac:dyDescent="0.25">
      <c r="A69" s="9"/>
      <c r="B69" s="75">
        <v>44011</v>
      </c>
      <c r="C69" s="76" t="s">
        <v>38</v>
      </c>
      <c r="D69" s="76" t="s">
        <v>184</v>
      </c>
      <c r="E69" s="76" t="s">
        <v>221</v>
      </c>
      <c r="F69" s="76">
        <v>0</v>
      </c>
      <c r="G69" s="76">
        <v>1</v>
      </c>
      <c r="H69" s="76">
        <f>Tableau6[[#This Row],[Entrée]]-Tableau6[[#This Row],[Sortie]]</f>
        <v>-1</v>
      </c>
    </row>
    <row r="70" spans="1:63" x14ac:dyDescent="0.25">
      <c r="A70" s="9"/>
      <c r="B70" s="75">
        <v>44011</v>
      </c>
      <c r="C70" s="76" t="s">
        <v>37</v>
      </c>
      <c r="D70" s="76" t="s">
        <v>184</v>
      </c>
      <c r="E70" s="76" t="s">
        <v>221</v>
      </c>
      <c r="F70" s="76">
        <v>0</v>
      </c>
      <c r="G70" s="76">
        <v>1</v>
      </c>
      <c r="H70" s="76">
        <f>Tableau6[[#This Row],[Entrée]]-Tableau6[[#This Row],[Sortie]]</f>
        <v>-1</v>
      </c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  <c r="AY70" s="11"/>
      <c r="AZ70" s="11"/>
      <c r="BA70" s="11"/>
      <c r="BB70" s="11"/>
      <c r="BC70" s="11"/>
      <c r="BD70" s="11"/>
      <c r="BE70" s="11"/>
      <c r="BF70" s="11"/>
      <c r="BG70" s="11"/>
      <c r="BH70" s="11"/>
      <c r="BI70" s="11"/>
      <c r="BJ70" s="11"/>
      <c r="BK70" s="11"/>
    </row>
    <row r="71" spans="1:63" x14ac:dyDescent="0.25">
      <c r="A71" s="9"/>
      <c r="B71" s="75">
        <v>44011</v>
      </c>
      <c r="C71" s="76" t="s">
        <v>101</v>
      </c>
      <c r="D71" s="76" t="s">
        <v>184</v>
      </c>
      <c r="E71" s="76" t="s">
        <v>90</v>
      </c>
      <c r="F71" s="76">
        <v>0</v>
      </c>
      <c r="G71" s="76">
        <v>4</v>
      </c>
      <c r="H71" s="76">
        <f>Tableau6[[#This Row],[Entrée]]-Tableau6[[#This Row],[Sortie]]</f>
        <v>-4</v>
      </c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  <c r="AY71" s="11"/>
      <c r="AZ71" s="11"/>
      <c r="BA71" s="11"/>
      <c r="BB71" s="11"/>
      <c r="BC71" s="11"/>
      <c r="BD71" s="11"/>
      <c r="BE71" s="11"/>
      <c r="BF71" s="11"/>
      <c r="BG71" s="11"/>
      <c r="BH71" s="11"/>
      <c r="BI71" s="11"/>
      <c r="BJ71" s="11"/>
      <c r="BK71" s="11"/>
    </row>
    <row r="72" spans="1:63" x14ac:dyDescent="0.25">
      <c r="A72" s="9"/>
      <c r="B72" s="75">
        <v>44011</v>
      </c>
      <c r="C72" s="76" t="s">
        <v>98</v>
      </c>
      <c r="D72" s="76" t="s">
        <v>184</v>
      </c>
      <c r="E72" s="76" t="s">
        <v>90</v>
      </c>
      <c r="F72" s="76">
        <v>0</v>
      </c>
      <c r="G72" s="76">
        <v>6</v>
      </c>
      <c r="H72" s="76">
        <f>Tableau6[[#This Row],[Entrée]]-Tableau6[[#This Row],[Sortie]]</f>
        <v>-6</v>
      </c>
    </row>
    <row r="73" spans="1:63" x14ac:dyDescent="0.25">
      <c r="A73" s="9"/>
      <c r="B73" s="75">
        <v>44011</v>
      </c>
      <c r="C73" s="76" t="s">
        <v>97</v>
      </c>
      <c r="D73" s="76" t="s">
        <v>184</v>
      </c>
      <c r="E73" s="76" t="s">
        <v>90</v>
      </c>
      <c r="F73" s="76">
        <v>0</v>
      </c>
      <c r="G73" s="76">
        <v>4</v>
      </c>
      <c r="H73" s="76">
        <f>Tableau6[[#This Row],[Entrée]]-Tableau6[[#This Row],[Sortie]]</f>
        <v>-4</v>
      </c>
    </row>
    <row r="74" spans="1:63" x14ac:dyDescent="0.25">
      <c r="A74" s="9"/>
      <c r="B74" s="75">
        <v>44007</v>
      </c>
      <c r="C74" s="76">
        <v>71009</v>
      </c>
      <c r="D74" s="76" t="s">
        <v>128</v>
      </c>
      <c r="E74" s="76" t="s">
        <v>241</v>
      </c>
      <c r="F74" s="76">
        <v>0</v>
      </c>
      <c r="G74" s="76">
        <v>1</v>
      </c>
      <c r="H74" s="76">
        <f>Tableau6[[#This Row],[Entrée]]-Tableau6[[#This Row],[Sortie]]</f>
        <v>-1</v>
      </c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  <c r="AY74" s="11"/>
      <c r="AZ74" s="11"/>
      <c r="BA74" s="11"/>
      <c r="BB74" s="11"/>
      <c r="BC74" s="11"/>
      <c r="BD74" s="11"/>
      <c r="BE74" s="11"/>
      <c r="BF74" s="11"/>
      <c r="BG74" s="11"/>
      <c r="BH74" s="11"/>
      <c r="BI74" s="11"/>
      <c r="BJ74" s="11"/>
      <c r="BK74" s="11"/>
    </row>
    <row r="75" spans="1:63" x14ac:dyDescent="0.25">
      <c r="A75" s="9"/>
      <c r="B75" s="75">
        <v>44007</v>
      </c>
      <c r="C75" s="76" t="s">
        <v>82</v>
      </c>
      <c r="D75" s="76" t="s">
        <v>128</v>
      </c>
      <c r="E75" s="76" t="s">
        <v>241</v>
      </c>
      <c r="F75" s="76">
        <v>0</v>
      </c>
      <c r="G75" s="76">
        <v>4</v>
      </c>
      <c r="H75" s="76">
        <f>Tableau6[[#This Row],[Entrée]]-Tableau6[[#This Row],[Sortie]]</f>
        <v>-4</v>
      </c>
    </row>
    <row r="76" spans="1:63" x14ac:dyDescent="0.25">
      <c r="A76" s="9"/>
      <c r="B76" s="75">
        <v>44007</v>
      </c>
      <c r="C76" s="76" t="s">
        <v>23</v>
      </c>
      <c r="D76" s="76" t="s">
        <v>128</v>
      </c>
      <c r="E76" s="76" t="s">
        <v>241</v>
      </c>
      <c r="F76" s="76">
        <v>0</v>
      </c>
      <c r="G76" s="76">
        <v>2</v>
      </c>
      <c r="H76" s="76">
        <f>Tableau6[[#This Row],[Entrée]]-Tableau6[[#This Row],[Sortie]]</f>
        <v>-2</v>
      </c>
    </row>
    <row r="77" spans="1:63" x14ac:dyDescent="0.25">
      <c r="A77" s="9"/>
      <c r="B77" s="75">
        <v>44007</v>
      </c>
      <c r="C77" s="76" t="s">
        <v>24</v>
      </c>
      <c r="D77" s="76" t="s">
        <v>128</v>
      </c>
      <c r="E77" s="76" t="s">
        <v>241</v>
      </c>
      <c r="F77" s="76">
        <v>0</v>
      </c>
      <c r="G77" s="76">
        <v>2</v>
      </c>
      <c r="H77" s="76">
        <f>Tableau6[[#This Row],[Entrée]]-Tableau6[[#This Row],[Sortie]]</f>
        <v>-2</v>
      </c>
    </row>
    <row r="78" spans="1:63" x14ac:dyDescent="0.25">
      <c r="A78" s="9"/>
      <c r="B78" s="75">
        <v>44006</v>
      </c>
      <c r="C78" s="76" t="s">
        <v>240</v>
      </c>
      <c r="D78" s="76" t="s">
        <v>239</v>
      </c>
      <c r="E78" s="76" t="s">
        <v>231</v>
      </c>
      <c r="F78" s="76">
        <v>0</v>
      </c>
      <c r="G78" s="76">
        <v>1</v>
      </c>
      <c r="H78" s="76">
        <f>Tableau6[[#This Row],[Entrée]]-Tableau6[[#This Row],[Sortie]]</f>
        <v>-1</v>
      </c>
    </row>
    <row r="79" spans="1:63" x14ac:dyDescent="0.25">
      <c r="A79" s="9"/>
      <c r="B79" s="75">
        <v>44006</v>
      </c>
      <c r="C79" s="76" t="s">
        <v>19</v>
      </c>
      <c r="D79" s="76" t="s">
        <v>239</v>
      </c>
      <c r="E79" s="76" t="s">
        <v>231</v>
      </c>
      <c r="F79" s="76">
        <v>0</v>
      </c>
      <c r="G79" s="76">
        <v>1</v>
      </c>
      <c r="H79" s="76">
        <f>Tableau6[[#This Row],[Entrée]]-Tableau6[[#This Row],[Sortie]]</f>
        <v>-1</v>
      </c>
    </row>
    <row r="80" spans="1:63" x14ac:dyDescent="0.25">
      <c r="A80" s="9"/>
      <c r="B80" s="75">
        <v>44006</v>
      </c>
      <c r="C80" s="76" t="s">
        <v>17</v>
      </c>
      <c r="D80" s="76" t="s">
        <v>239</v>
      </c>
      <c r="E80" s="76" t="s">
        <v>231</v>
      </c>
      <c r="F80" s="76">
        <v>0</v>
      </c>
      <c r="G80" s="76">
        <v>1</v>
      </c>
      <c r="H80" s="76">
        <f>Tableau6[[#This Row],[Entrée]]-Tableau6[[#This Row],[Sortie]]</f>
        <v>-1</v>
      </c>
    </row>
    <row r="81" spans="1:63" x14ac:dyDescent="0.25">
      <c r="A81" s="9"/>
      <c r="B81" s="75">
        <v>44006</v>
      </c>
      <c r="C81" s="76" t="s">
        <v>103</v>
      </c>
      <c r="D81" s="76" t="s">
        <v>239</v>
      </c>
      <c r="E81" s="76" t="s">
        <v>231</v>
      </c>
      <c r="F81" s="76">
        <v>0</v>
      </c>
      <c r="G81" s="76">
        <v>1</v>
      </c>
      <c r="H81" s="76">
        <f>Tableau6[[#This Row],[Entrée]]-Tableau6[[#This Row],[Sortie]]</f>
        <v>-1</v>
      </c>
    </row>
    <row r="82" spans="1:63" x14ac:dyDescent="0.25">
      <c r="A82" s="9"/>
      <c r="B82" s="75">
        <v>44005</v>
      </c>
      <c r="C82" s="76" t="s">
        <v>26</v>
      </c>
      <c r="D82" s="76" t="s">
        <v>128</v>
      </c>
      <c r="E82" s="76" t="s">
        <v>245</v>
      </c>
      <c r="F82" s="76">
        <v>0</v>
      </c>
      <c r="G82" s="76">
        <v>1</v>
      </c>
      <c r="H82" s="76">
        <f>Tableau6[[#This Row],[Entrée]]-Tableau6[[#This Row],[Sortie]]</f>
        <v>-1</v>
      </c>
    </row>
    <row r="83" spans="1:63" x14ac:dyDescent="0.25">
      <c r="A83" s="9"/>
      <c r="B83" s="75">
        <v>44005</v>
      </c>
      <c r="C83" s="76" t="s">
        <v>196</v>
      </c>
      <c r="D83" s="76" t="s">
        <v>57</v>
      </c>
      <c r="E83" s="76" t="s">
        <v>242</v>
      </c>
      <c r="F83" s="76">
        <v>0</v>
      </c>
      <c r="G83" s="76">
        <v>1</v>
      </c>
      <c r="H83" s="76">
        <f>Tableau6[[#This Row],[Entrée]]-Tableau6[[#This Row],[Sortie]]</f>
        <v>-1</v>
      </c>
    </row>
    <row r="84" spans="1:63" x14ac:dyDescent="0.25">
      <c r="A84" s="9"/>
      <c r="B84" s="75">
        <v>44005</v>
      </c>
      <c r="C84" s="76">
        <v>63621</v>
      </c>
      <c r="D84" s="76" t="s">
        <v>57</v>
      </c>
      <c r="E84" s="76" t="s">
        <v>242</v>
      </c>
      <c r="F84" s="76">
        <v>0</v>
      </c>
      <c r="G84" s="76">
        <v>1</v>
      </c>
      <c r="H84" s="76">
        <f>Tableau6[[#This Row],[Entrée]]-Tableau6[[#This Row],[Sortie]]</f>
        <v>-1</v>
      </c>
    </row>
    <row r="85" spans="1:63" x14ac:dyDescent="0.25">
      <c r="A85" s="9"/>
      <c r="B85" s="75">
        <v>44005</v>
      </c>
      <c r="C85" s="76" t="s">
        <v>233</v>
      </c>
      <c r="D85" s="76" t="s">
        <v>57</v>
      </c>
      <c r="E85" s="76" t="s">
        <v>242</v>
      </c>
      <c r="F85" s="76">
        <v>0</v>
      </c>
      <c r="G85" s="76">
        <v>1</v>
      </c>
      <c r="H85" s="76">
        <f>Tableau6[[#This Row],[Entrée]]-Tableau6[[#This Row],[Sortie]]</f>
        <v>-1</v>
      </c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  <c r="AY85" s="11"/>
      <c r="AZ85" s="11"/>
      <c r="BA85" s="11"/>
      <c r="BB85" s="11"/>
      <c r="BC85" s="11"/>
      <c r="BD85" s="11"/>
      <c r="BE85" s="11"/>
      <c r="BF85" s="11"/>
      <c r="BG85" s="11"/>
      <c r="BH85" s="11"/>
      <c r="BI85" s="11"/>
      <c r="BJ85" s="11"/>
      <c r="BK85" s="11"/>
    </row>
    <row r="86" spans="1:63" x14ac:dyDescent="0.25">
      <c r="A86" s="9"/>
      <c r="B86" s="75">
        <v>44005</v>
      </c>
      <c r="C86" s="76" t="s">
        <v>24</v>
      </c>
      <c r="D86" s="76" t="s">
        <v>57</v>
      </c>
      <c r="E86" s="76" t="s">
        <v>242</v>
      </c>
      <c r="F86" s="76">
        <v>0</v>
      </c>
      <c r="G86" s="76">
        <v>1</v>
      </c>
      <c r="H86" s="76">
        <f>Tableau6[[#This Row],[Entrée]]-Tableau6[[#This Row],[Sortie]]</f>
        <v>-1</v>
      </c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  <c r="AY86" s="11"/>
      <c r="AZ86" s="11"/>
      <c r="BA86" s="11"/>
      <c r="BB86" s="11"/>
      <c r="BC86" s="11"/>
      <c r="BD86" s="11"/>
      <c r="BE86" s="11"/>
      <c r="BF86" s="11"/>
      <c r="BG86" s="11"/>
      <c r="BH86" s="11"/>
      <c r="BI86" s="11"/>
      <c r="BJ86" s="11"/>
      <c r="BK86" s="11"/>
    </row>
    <row r="87" spans="1:63" x14ac:dyDescent="0.25">
      <c r="A87" s="9"/>
      <c r="B87" s="75">
        <v>44005</v>
      </c>
      <c r="C87" s="76" t="s">
        <v>92</v>
      </c>
      <c r="D87" s="76" t="s">
        <v>238</v>
      </c>
      <c r="E87" s="76" t="s">
        <v>223</v>
      </c>
      <c r="F87" s="76">
        <v>0</v>
      </c>
      <c r="G87" s="76">
        <v>1</v>
      </c>
      <c r="H87" s="76">
        <f>Tableau6[[#This Row],[Entrée]]-Tableau6[[#This Row],[Sortie]]</f>
        <v>-1</v>
      </c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  <c r="AY87" s="11"/>
      <c r="AZ87" s="11"/>
      <c r="BA87" s="11"/>
      <c r="BB87" s="11"/>
      <c r="BC87" s="11"/>
      <c r="BD87" s="11"/>
      <c r="BE87" s="11"/>
      <c r="BF87" s="11"/>
      <c r="BG87" s="11"/>
      <c r="BH87" s="11"/>
      <c r="BI87" s="11"/>
      <c r="BJ87" s="11"/>
      <c r="BK87" s="11"/>
    </row>
    <row r="88" spans="1:63" x14ac:dyDescent="0.25">
      <c r="A88" s="9"/>
      <c r="B88" s="75">
        <v>44005</v>
      </c>
      <c r="C88" s="76" t="s">
        <v>30</v>
      </c>
      <c r="D88" s="76" t="s">
        <v>123</v>
      </c>
      <c r="E88" s="76" t="s">
        <v>237</v>
      </c>
      <c r="F88" s="76">
        <v>0</v>
      </c>
      <c r="G88" s="76">
        <v>4</v>
      </c>
      <c r="H88" s="76">
        <f>Tableau6[[#This Row],[Entrée]]-Tableau6[[#This Row],[Sortie]]</f>
        <v>-4</v>
      </c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  <c r="AY88" s="11"/>
      <c r="AZ88" s="11"/>
      <c r="BA88" s="11"/>
      <c r="BB88" s="11"/>
      <c r="BC88" s="11"/>
      <c r="BD88" s="11"/>
      <c r="BE88" s="11"/>
      <c r="BF88" s="11"/>
      <c r="BG88" s="11"/>
      <c r="BH88" s="11"/>
      <c r="BI88" s="11"/>
      <c r="BJ88" s="11"/>
      <c r="BK88" s="11"/>
    </row>
    <row r="89" spans="1:63" x14ac:dyDescent="0.25">
      <c r="A89" s="9"/>
      <c r="B89" s="75">
        <v>44005</v>
      </c>
      <c r="C89" s="76">
        <v>71522</v>
      </c>
      <c r="D89" s="76" t="s">
        <v>87</v>
      </c>
      <c r="E89" s="76" t="s">
        <v>236</v>
      </c>
      <c r="F89" s="76">
        <v>0</v>
      </c>
      <c r="G89" s="76">
        <v>8</v>
      </c>
      <c r="H89" s="76">
        <f>Tableau6[[#This Row],[Entrée]]-Tableau6[[#This Row],[Sortie]]</f>
        <v>-8</v>
      </c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  <c r="AY89" s="11"/>
      <c r="AZ89" s="11"/>
      <c r="BA89" s="11"/>
      <c r="BB89" s="11"/>
      <c r="BC89" s="11"/>
      <c r="BD89" s="11"/>
      <c r="BE89" s="11"/>
      <c r="BF89" s="11"/>
      <c r="BG89" s="11"/>
      <c r="BH89" s="11"/>
      <c r="BI89" s="11"/>
      <c r="BJ89" s="11"/>
      <c r="BK89" s="11"/>
    </row>
    <row r="90" spans="1:63" x14ac:dyDescent="0.25">
      <c r="A90" s="9"/>
      <c r="B90" s="75">
        <v>44005</v>
      </c>
      <c r="C90" s="76">
        <v>71007</v>
      </c>
      <c r="D90" s="76" t="s">
        <v>87</v>
      </c>
      <c r="E90" s="76" t="s">
        <v>236</v>
      </c>
      <c r="F90" s="76">
        <v>0</v>
      </c>
      <c r="G90" s="76">
        <v>1</v>
      </c>
      <c r="H90" s="76">
        <f>Tableau6[[#This Row],[Entrée]]-Tableau6[[#This Row],[Sortie]]</f>
        <v>-1</v>
      </c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  <c r="AY90" s="11"/>
      <c r="AZ90" s="11"/>
      <c r="BA90" s="11"/>
      <c r="BB90" s="11"/>
      <c r="BC90" s="11"/>
      <c r="BD90" s="11"/>
      <c r="BE90" s="11"/>
      <c r="BF90" s="11"/>
      <c r="BG90" s="11"/>
      <c r="BH90" s="11"/>
      <c r="BI90" s="11"/>
      <c r="BJ90" s="11"/>
      <c r="BK90" s="11"/>
    </row>
    <row r="91" spans="1:63" x14ac:dyDescent="0.25">
      <c r="A91" s="9"/>
      <c r="B91" s="75">
        <v>44005</v>
      </c>
      <c r="C91" s="76">
        <v>71009</v>
      </c>
      <c r="D91" s="76" t="s">
        <v>87</v>
      </c>
      <c r="E91" s="76" t="s">
        <v>236</v>
      </c>
      <c r="F91" s="76">
        <v>0</v>
      </c>
      <c r="G91" s="76">
        <v>24</v>
      </c>
      <c r="H91" s="76">
        <f>Tableau6[[#This Row],[Entrée]]-Tableau6[[#This Row],[Sortie]]</f>
        <v>-24</v>
      </c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  <c r="AY91" s="11"/>
      <c r="AZ91" s="11"/>
      <c r="BA91" s="11"/>
      <c r="BB91" s="11"/>
      <c r="BC91" s="11"/>
      <c r="BD91" s="11"/>
      <c r="BE91" s="11"/>
      <c r="BF91" s="11"/>
      <c r="BG91" s="11"/>
      <c r="BH91" s="11"/>
      <c r="BI91" s="11"/>
      <c r="BJ91" s="11"/>
      <c r="BK91" s="11"/>
    </row>
    <row r="92" spans="1:63" x14ac:dyDescent="0.25">
      <c r="A92" s="9"/>
      <c r="B92" s="75">
        <v>44005</v>
      </c>
      <c r="C92" s="76" t="s">
        <v>145</v>
      </c>
      <c r="D92" s="76" t="s">
        <v>62</v>
      </c>
      <c r="E92" s="76" t="s">
        <v>61</v>
      </c>
      <c r="F92" s="76">
        <v>1</v>
      </c>
      <c r="G92" s="76">
        <v>0</v>
      </c>
      <c r="H92" s="76">
        <f>Tableau6[[#This Row],[Entrée]]-Tableau6[[#This Row],[Sortie]]</f>
        <v>1</v>
      </c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  <c r="AY92" s="11"/>
      <c r="AZ92" s="11"/>
      <c r="BA92" s="11"/>
      <c r="BB92" s="11"/>
      <c r="BC92" s="11"/>
      <c r="BD92" s="11"/>
      <c r="BE92" s="11"/>
      <c r="BF92" s="11"/>
      <c r="BG92" s="11"/>
      <c r="BH92" s="11"/>
      <c r="BI92" s="11"/>
      <c r="BJ92" s="11"/>
      <c r="BK92" s="11"/>
    </row>
    <row r="93" spans="1:63" x14ac:dyDescent="0.25">
      <c r="A93" s="9"/>
      <c r="B93" s="75">
        <v>44004</v>
      </c>
      <c r="C93" s="76" t="s">
        <v>102</v>
      </c>
      <c r="D93" s="76" t="s">
        <v>62</v>
      </c>
      <c r="E93" s="76" t="s">
        <v>61</v>
      </c>
      <c r="F93" s="76">
        <v>9</v>
      </c>
      <c r="G93" s="76">
        <v>0</v>
      </c>
      <c r="H93" s="76">
        <f>Tableau6[[#This Row],[Entrée]]-Tableau6[[#This Row],[Sortie]]</f>
        <v>9</v>
      </c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  <c r="AY93" s="11"/>
      <c r="AZ93" s="11"/>
      <c r="BA93" s="11"/>
      <c r="BB93" s="11"/>
      <c r="BC93" s="11"/>
      <c r="BD93" s="11"/>
      <c r="BE93" s="11"/>
      <c r="BF93" s="11"/>
      <c r="BG93" s="11"/>
      <c r="BH93" s="11"/>
      <c r="BI93" s="11"/>
      <c r="BJ93" s="11"/>
      <c r="BK93" s="11"/>
    </row>
    <row r="94" spans="1:63" x14ac:dyDescent="0.25">
      <c r="A94" s="9"/>
      <c r="B94" s="75">
        <v>44004</v>
      </c>
      <c r="C94" s="76" t="s">
        <v>164</v>
      </c>
      <c r="D94" s="76" t="s">
        <v>62</v>
      </c>
      <c r="E94" s="76" t="s">
        <v>61</v>
      </c>
      <c r="F94" s="76">
        <v>20</v>
      </c>
      <c r="G94" s="76">
        <v>0</v>
      </c>
      <c r="H94" s="76">
        <f>Tableau6[[#This Row],[Entrée]]-Tableau6[[#This Row],[Sortie]]</f>
        <v>20</v>
      </c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  <c r="AY94" s="11"/>
      <c r="AZ94" s="11"/>
      <c r="BA94" s="11"/>
      <c r="BB94" s="11"/>
      <c r="BC94" s="11"/>
      <c r="BD94" s="11"/>
      <c r="BE94" s="11"/>
      <c r="BF94" s="11"/>
      <c r="BG94" s="11"/>
      <c r="BH94" s="11"/>
      <c r="BI94" s="11"/>
      <c r="BJ94" s="11"/>
      <c r="BK94" s="11"/>
    </row>
    <row r="95" spans="1:63" x14ac:dyDescent="0.25">
      <c r="A95" s="9"/>
      <c r="B95" s="75">
        <v>44004</v>
      </c>
      <c r="C95" s="76" t="s">
        <v>205</v>
      </c>
      <c r="D95" s="76" t="s">
        <v>53</v>
      </c>
      <c r="E95" s="76" t="s">
        <v>90</v>
      </c>
      <c r="F95" s="76">
        <v>0</v>
      </c>
      <c r="G95" s="76">
        <v>1</v>
      </c>
      <c r="H95" s="76">
        <f>Tableau6[[#This Row],[Entrée]]-Tableau6[[#This Row],[Sortie]]</f>
        <v>-1</v>
      </c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  <c r="AY95" s="11"/>
      <c r="AZ95" s="11"/>
      <c r="BA95" s="11"/>
      <c r="BB95" s="11"/>
      <c r="BC95" s="11"/>
      <c r="BD95" s="11"/>
      <c r="BE95" s="11"/>
      <c r="BF95" s="11"/>
      <c r="BG95" s="11"/>
      <c r="BH95" s="11"/>
      <c r="BI95" s="11"/>
      <c r="BJ95" s="11"/>
      <c r="BK95" s="11"/>
    </row>
    <row r="96" spans="1:63" x14ac:dyDescent="0.25">
      <c r="A96" s="9"/>
      <c r="B96" s="75">
        <v>44004</v>
      </c>
      <c r="C96" s="76" t="s">
        <v>203</v>
      </c>
      <c r="D96" s="76" t="s">
        <v>53</v>
      </c>
      <c r="E96" s="76" t="s">
        <v>90</v>
      </c>
      <c r="F96" s="76">
        <v>0</v>
      </c>
      <c r="G96" s="76">
        <v>1</v>
      </c>
      <c r="H96" s="76">
        <f>Tableau6[[#This Row],[Entrée]]-Tableau6[[#This Row],[Sortie]]</f>
        <v>-1</v>
      </c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  <c r="AY96" s="11"/>
      <c r="AZ96" s="11"/>
      <c r="BA96" s="11"/>
      <c r="BB96" s="11"/>
      <c r="BC96" s="11"/>
      <c r="BD96" s="11"/>
      <c r="BE96" s="11"/>
      <c r="BF96" s="11"/>
      <c r="BG96" s="11"/>
      <c r="BH96" s="11"/>
      <c r="BI96" s="11"/>
      <c r="BJ96" s="11"/>
      <c r="BK96" s="11"/>
    </row>
    <row r="97" spans="1:63" x14ac:dyDescent="0.25">
      <c r="A97" s="9"/>
      <c r="B97" s="75">
        <v>44004</v>
      </c>
      <c r="C97" s="76" t="s">
        <v>125</v>
      </c>
      <c r="D97" s="76" t="s">
        <v>53</v>
      </c>
      <c r="E97" s="76" t="s">
        <v>90</v>
      </c>
      <c r="F97" s="76">
        <v>0</v>
      </c>
      <c r="G97" s="76">
        <v>1</v>
      </c>
      <c r="H97" s="76">
        <f>Tableau6[[#This Row],[Entrée]]-Tableau6[[#This Row],[Sortie]]</f>
        <v>-1</v>
      </c>
    </row>
    <row r="98" spans="1:63" x14ac:dyDescent="0.25">
      <c r="A98" s="9"/>
      <c r="B98" s="75">
        <v>44004</v>
      </c>
      <c r="C98" s="76" t="s">
        <v>16</v>
      </c>
      <c r="D98" s="76" t="s">
        <v>53</v>
      </c>
      <c r="E98" s="76" t="s">
        <v>90</v>
      </c>
      <c r="F98" s="76">
        <v>0</v>
      </c>
      <c r="G98" s="76">
        <v>1</v>
      </c>
      <c r="H98" s="76">
        <f>Tableau6[[#This Row],[Entrée]]-Tableau6[[#This Row],[Sortie]]</f>
        <v>-1</v>
      </c>
    </row>
    <row r="99" spans="1:63" x14ac:dyDescent="0.25">
      <c r="A99" s="9"/>
      <c r="B99" s="75">
        <v>44004</v>
      </c>
      <c r="C99" s="76" t="s">
        <v>20</v>
      </c>
      <c r="D99" s="76" t="s">
        <v>53</v>
      </c>
      <c r="E99" s="76" t="s">
        <v>90</v>
      </c>
      <c r="F99" s="76">
        <v>0</v>
      </c>
      <c r="G99" s="76">
        <v>1</v>
      </c>
      <c r="H99" s="76">
        <f>Tableau6[[#This Row],[Entrée]]-Tableau6[[#This Row],[Sortie]]</f>
        <v>-1</v>
      </c>
    </row>
    <row r="100" spans="1:63" x14ac:dyDescent="0.25">
      <c r="A100" s="9"/>
      <c r="B100" s="75">
        <v>44004</v>
      </c>
      <c r="C100" s="76" t="s">
        <v>19</v>
      </c>
      <c r="D100" s="76" t="s">
        <v>53</v>
      </c>
      <c r="E100" s="76" t="s">
        <v>90</v>
      </c>
      <c r="F100" s="76">
        <v>0</v>
      </c>
      <c r="G100" s="76">
        <v>1</v>
      </c>
      <c r="H100" s="76">
        <f>Tableau6[[#This Row],[Entrée]]-Tableau6[[#This Row],[Sortie]]</f>
        <v>-1</v>
      </c>
    </row>
    <row r="101" spans="1:63" x14ac:dyDescent="0.25">
      <c r="A101" s="9"/>
      <c r="B101" s="75">
        <v>44004</v>
      </c>
      <c r="C101" s="76" t="s">
        <v>151</v>
      </c>
      <c r="D101" s="76" t="s">
        <v>53</v>
      </c>
      <c r="E101" s="76" t="s">
        <v>90</v>
      </c>
      <c r="F101" s="76">
        <v>0</v>
      </c>
      <c r="G101" s="76">
        <v>4</v>
      </c>
      <c r="H101" s="76">
        <f>Tableau6[[#This Row],[Entrée]]-Tableau6[[#This Row],[Sortie]]</f>
        <v>-4</v>
      </c>
    </row>
    <row r="102" spans="1:63" x14ac:dyDescent="0.25">
      <c r="A102" s="9"/>
      <c r="B102" s="75">
        <v>44004</v>
      </c>
      <c r="C102" s="76" t="s">
        <v>16</v>
      </c>
      <c r="D102" s="76" t="s">
        <v>128</v>
      </c>
      <c r="E102" s="76" t="s">
        <v>232</v>
      </c>
      <c r="F102" s="76">
        <v>0</v>
      </c>
      <c r="G102" s="76">
        <v>1</v>
      </c>
      <c r="H102" s="76">
        <f>Tableau6[[#This Row],[Entrée]]-Tableau6[[#This Row],[Sortie]]</f>
        <v>-1</v>
      </c>
    </row>
    <row r="103" spans="1:63" x14ac:dyDescent="0.25">
      <c r="A103" s="9"/>
      <c r="B103" s="75">
        <v>44004</v>
      </c>
      <c r="C103" s="76" t="s">
        <v>19</v>
      </c>
      <c r="D103" s="76" t="s">
        <v>128</v>
      </c>
      <c r="E103" s="76" t="s">
        <v>232</v>
      </c>
      <c r="F103" s="76">
        <v>0</v>
      </c>
      <c r="G103" s="76">
        <v>1</v>
      </c>
      <c r="H103" s="76">
        <f>Tableau6[[#This Row],[Entrée]]-Tableau6[[#This Row],[Sortie]]</f>
        <v>-1</v>
      </c>
    </row>
    <row r="104" spans="1:63" x14ac:dyDescent="0.25">
      <c r="A104" s="9"/>
      <c r="B104" s="75">
        <v>44004</v>
      </c>
      <c r="C104" s="76" t="s">
        <v>106</v>
      </c>
      <c r="D104" s="76" t="s">
        <v>128</v>
      </c>
      <c r="E104" s="76" t="s">
        <v>231</v>
      </c>
      <c r="F104" s="76">
        <v>0</v>
      </c>
      <c r="G104" s="76">
        <v>1</v>
      </c>
      <c r="H104" s="76">
        <f>Tableau6[[#This Row],[Entrée]]-Tableau6[[#This Row],[Sortie]]</f>
        <v>-1</v>
      </c>
    </row>
    <row r="105" spans="1:63" x14ac:dyDescent="0.25">
      <c r="A105" s="9"/>
      <c r="B105" s="75">
        <v>44004</v>
      </c>
      <c r="C105" s="76" t="s">
        <v>14</v>
      </c>
      <c r="D105" s="76" t="s">
        <v>128</v>
      </c>
      <c r="E105" s="76" t="s">
        <v>230</v>
      </c>
      <c r="F105" s="76">
        <v>0</v>
      </c>
      <c r="G105" s="76">
        <v>2</v>
      </c>
      <c r="H105" s="76">
        <f>Tableau6[[#This Row],[Entrée]]-Tableau6[[#This Row],[Sortie]]</f>
        <v>-2</v>
      </c>
    </row>
    <row r="106" spans="1:63" x14ac:dyDescent="0.25">
      <c r="A106" s="9"/>
      <c r="B106" s="75">
        <v>44004</v>
      </c>
      <c r="C106" s="76" t="s">
        <v>186</v>
      </c>
      <c r="D106" s="76" t="s">
        <v>60</v>
      </c>
      <c r="E106" s="76" t="s">
        <v>90</v>
      </c>
      <c r="F106" s="76">
        <v>0</v>
      </c>
      <c r="G106" s="76">
        <v>1</v>
      </c>
      <c r="H106" s="76">
        <f>Tableau6[[#This Row],[Entrée]]-Tableau6[[#This Row],[Sortie]]</f>
        <v>-1</v>
      </c>
    </row>
    <row r="107" spans="1:63" x14ac:dyDescent="0.25">
      <c r="A107" s="9"/>
      <c r="B107" s="75">
        <v>44004</v>
      </c>
      <c r="C107" s="76" t="s">
        <v>98</v>
      </c>
      <c r="D107" s="76" t="s">
        <v>57</v>
      </c>
      <c r="E107" s="76" t="s">
        <v>90</v>
      </c>
      <c r="F107" s="76">
        <v>0</v>
      </c>
      <c r="G107" s="76">
        <v>4</v>
      </c>
      <c r="H107" s="76">
        <f>Tableau6[[#This Row],[Entrée]]-Tableau6[[#This Row],[Sortie]]</f>
        <v>-4</v>
      </c>
    </row>
    <row r="108" spans="1:63" x14ac:dyDescent="0.25">
      <c r="A108" s="9"/>
      <c r="B108" s="75">
        <v>44004</v>
      </c>
      <c r="C108" s="76" t="s">
        <v>25</v>
      </c>
      <c r="D108" s="76" t="s">
        <v>57</v>
      </c>
      <c r="E108" s="76" t="s">
        <v>90</v>
      </c>
      <c r="F108" s="76">
        <v>0</v>
      </c>
      <c r="G108" s="76">
        <v>1</v>
      </c>
      <c r="H108" s="76">
        <f>Tableau6[[#This Row],[Entrée]]-Tableau6[[#This Row],[Sortie]]</f>
        <v>-1</v>
      </c>
    </row>
    <row r="109" spans="1:63" x14ac:dyDescent="0.25">
      <c r="A109" s="9"/>
      <c r="B109" s="75">
        <v>44004</v>
      </c>
      <c r="C109" s="76" t="s">
        <v>205</v>
      </c>
      <c r="D109" s="76" t="s">
        <v>57</v>
      </c>
      <c r="E109" s="76" t="s">
        <v>90</v>
      </c>
      <c r="F109" s="76">
        <v>0</v>
      </c>
      <c r="G109" s="76">
        <v>2</v>
      </c>
      <c r="H109" s="76">
        <f>Tableau6[[#This Row],[Entrée]]-Tableau6[[#This Row],[Sortie]]</f>
        <v>-2</v>
      </c>
    </row>
    <row r="110" spans="1:63" x14ac:dyDescent="0.25">
      <c r="A110" s="9"/>
      <c r="B110" s="75">
        <v>44004</v>
      </c>
      <c r="C110" s="76" t="s">
        <v>99</v>
      </c>
      <c r="D110" s="76" t="s">
        <v>57</v>
      </c>
      <c r="E110" s="76" t="s">
        <v>90</v>
      </c>
      <c r="F110" s="76">
        <v>0</v>
      </c>
      <c r="G110" s="76">
        <v>8</v>
      </c>
      <c r="H110" s="76">
        <f>Tableau6[[#This Row],[Entrée]]-Tableau6[[#This Row],[Sortie]]</f>
        <v>-8</v>
      </c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</row>
    <row r="111" spans="1:63" x14ac:dyDescent="0.25">
      <c r="A111" s="9"/>
      <c r="B111" s="75">
        <v>44004</v>
      </c>
      <c r="C111" s="76" t="s">
        <v>101</v>
      </c>
      <c r="D111" s="76" t="s">
        <v>57</v>
      </c>
      <c r="E111" s="76" t="s">
        <v>90</v>
      </c>
      <c r="F111" s="76">
        <v>0</v>
      </c>
      <c r="G111" s="76">
        <v>6</v>
      </c>
      <c r="H111" s="76">
        <f>Tableau6[[#This Row],[Entrée]]-Tableau6[[#This Row],[Sortie]]</f>
        <v>-6</v>
      </c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</row>
    <row r="112" spans="1:63" x14ac:dyDescent="0.25">
      <c r="A112" s="9"/>
      <c r="B112" s="75">
        <v>44004</v>
      </c>
      <c r="C112" s="76" t="s">
        <v>102</v>
      </c>
      <c r="D112" s="76" t="s">
        <v>57</v>
      </c>
      <c r="E112" s="76" t="s">
        <v>90</v>
      </c>
      <c r="F112" s="76">
        <v>0</v>
      </c>
      <c r="G112" s="76">
        <v>2</v>
      </c>
      <c r="H112" s="76">
        <f>Tableau6[[#This Row],[Entrée]]-Tableau6[[#This Row],[Sortie]]</f>
        <v>-2</v>
      </c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</row>
    <row r="113" spans="1:63" x14ac:dyDescent="0.25">
      <c r="A113" s="9"/>
      <c r="B113" s="75">
        <v>44004</v>
      </c>
      <c r="C113" s="76" t="s">
        <v>169</v>
      </c>
      <c r="D113" s="76" t="s">
        <v>57</v>
      </c>
      <c r="E113" s="76" t="s">
        <v>90</v>
      </c>
      <c r="F113" s="76">
        <v>0</v>
      </c>
      <c r="G113" s="76">
        <v>4</v>
      </c>
      <c r="H113" s="76">
        <f>Tableau6[[#This Row],[Entrée]]-Tableau6[[#This Row],[Sortie]]</f>
        <v>-4</v>
      </c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</row>
    <row r="114" spans="1:63" x14ac:dyDescent="0.25">
      <c r="B114" s="75">
        <v>44004</v>
      </c>
      <c r="C114" s="76" t="s">
        <v>146</v>
      </c>
      <c r="D114" s="76" t="s">
        <v>57</v>
      </c>
      <c r="E114" s="76" t="s">
        <v>90</v>
      </c>
      <c r="F114" s="76">
        <v>0</v>
      </c>
      <c r="G114" s="76">
        <v>2</v>
      </c>
      <c r="H114" s="76">
        <f>Tableau6[[#This Row],[Entrée]]-Tableau6[[#This Row],[Sortie]]</f>
        <v>-2</v>
      </c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</row>
    <row r="115" spans="1:63" x14ac:dyDescent="0.25">
      <c r="B115" s="75">
        <v>44004</v>
      </c>
      <c r="C115" s="76" t="s">
        <v>157</v>
      </c>
      <c r="D115" s="76" t="s">
        <v>57</v>
      </c>
      <c r="E115" s="76" t="s">
        <v>90</v>
      </c>
      <c r="F115" s="76">
        <v>0</v>
      </c>
      <c r="G115" s="76">
        <v>2</v>
      </c>
      <c r="H115" s="76">
        <f>Tableau6[[#This Row],[Entrée]]-Tableau6[[#This Row],[Sortie]]</f>
        <v>-2</v>
      </c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</row>
    <row r="116" spans="1:63" x14ac:dyDescent="0.25">
      <c r="B116" s="75">
        <v>44004</v>
      </c>
      <c r="C116" s="76" t="s">
        <v>147</v>
      </c>
      <c r="D116" s="76" t="s">
        <v>227</v>
      </c>
      <c r="E116" s="76" t="s">
        <v>228</v>
      </c>
      <c r="F116" s="76">
        <v>0</v>
      </c>
      <c r="G116" s="76">
        <v>1</v>
      </c>
      <c r="H116" s="76">
        <f>Tableau6[[#This Row],[Entrée]]-Tableau6[[#This Row],[Sortie]]</f>
        <v>-1</v>
      </c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</row>
    <row r="117" spans="1:63" x14ac:dyDescent="0.25">
      <c r="B117" s="75">
        <v>44004</v>
      </c>
      <c r="C117" s="76" t="s">
        <v>145</v>
      </c>
      <c r="D117" s="76" t="s">
        <v>227</v>
      </c>
      <c r="E117" s="76" t="s">
        <v>228</v>
      </c>
      <c r="F117" s="76">
        <v>0</v>
      </c>
      <c r="G117" s="76">
        <v>1</v>
      </c>
      <c r="H117" s="76">
        <f>Tableau6[[#This Row],[Entrée]]-Tableau6[[#This Row],[Sortie]]</f>
        <v>-1</v>
      </c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</row>
    <row r="118" spans="1:63" x14ac:dyDescent="0.25">
      <c r="B118" s="75">
        <v>44004</v>
      </c>
      <c r="C118" s="76" t="s">
        <v>224</v>
      </c>
      <c r="D118" s="76" t="s">
        <v>225</v>
      </c>
      <c r="E118" s="76" t="s">
        <v>223</v>
      </c>
      <c r="F118" s="76">
        <v>0</v>
      </c>
      <c r="G118" s="76">
        <v>2</v>
      </c>
      <c r="H118" s="76">
        <f>Tableau6[[#This Row],[Entrée]]-Tableau6[[#This Row],[Sortie]]</f>
        <v>-2</v>
      </c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</row>
    <row r="119" spans="1:63" x14ac:dyDescent="0.25">
      <c r="B119" s="75">
        <v>44004</v>
      </c>
      <c r="C119" s="76" t="s">
        <v>35</v>
      </c>
      <c r="D119" s="76" t="s">
        <v>226</v>
      </c>
      <c r="E119" s="76" t="s">
        <v>223</v>
      </c>
      <c r="F119" s="76">
        <v>0</v>
      </c>
      <c r="G119" s="76">
        <v>7</v>
      </c>
      <c r="H119" s="76">
        <f>Tableau6[[#This Row],[Entrée]]-Tableau6[[#This Row],[Sortie]]</f>
        <v>-7</v>
      </c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</row>
    <row r="120" spans="1:63" x14ac:dyDescent="0.25">
      <c r="B120" s="75">
        <v>44004</v>
      </c>
      <c r="C120" s="76" t="s">
        <v>41</v>
      </c>
      <c r="D120" s="76" t="s">
        <v>123</v>
      </c>
      <c r="E120" s="76" t="s">
        <v>222</v>
      </c>
      <c r="F120" s="76">
        <v>0</v>
      </c>
      <c r="G120" s="76">
        <v>1</v>
      </c>
      <c r="H120" s="76">
        <f>Tableau6[[#This Row],[Entrée]]-Tableau6[[#This Row],[Sortie]]</f>
        <v>-1</v>
      </c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</row>
    <row r="121" spans="1:63" x14ac:dyDescent="0.25">
      <c r="B121" s="75">
        <v>44004</v>
      </c>
      <c r="C121" s="76" t="s">
        <v>29</v>
      </c>
      <c r="D121" s="76" t="s">
        <v>123</v>
      </c>
      <c r="E121" s="76" t="s">
        <v>221</v>
      </c>
      <c r="F121" s="76">
        <v>0</v>
      </c>
      <c r="G121" s="76">
        <v>2</v>
      </c>
      <c r="H121" s="76">
        <f>Tableau6[[#This Row],[Entrée]]-Tableau6[[#This Row],[Sortie]]</f>
        <v>-2</v>
      </c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</row>
    <row r="122" spans="1:63" x14ac:dyDescent="0.25">
      <c r="B122" s="75">
        <v>44004</v>
      </c>
      <c r="C122" s="76" t="s">
        <v>97</v>
      </c>
      <c r="D122" s="76" t="s">
        <v>88</v>
      </c>
      <c r="E122" s="76" t="s">
        <v>90</v>
      </c>
      <c r="F122" s="76">
        <v>0</v>
      </c>
      <c r="G122" s="76">
        <v>7</v>
      </c>
      <c r="H122" s="76">
        <f>Tableau6[[#This Row],[Entrée]]-Tableau6[[#This Row],[Sortie]]</f>
        <v>-7</v>
      </c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</row>
    <row r="123" spans="1:63" x14ac:dyDescent="0.25">
      <c r="B123" s="75">
        <v>44004</v>
      </c>
      <c r="C123" s="76" t="s">
        <v>198</v>
      </c>
      <c r="D123" s="76" t="s">
        <v>137</v>
      </c>
      <c r="E123" s="76" t="s">
        <v>220</v>
      </c>
      <c r="F123" s="76">
        <v>0</v>
      </c>
      <c r="G123" s="76">
        <v>4</v>
      </c>
      <c r="H123" s="76">
        <f>Tableau6[[#This Row],[Entrée]]-Tableau6[[#This Row],[Sortie]]</f>
        <v>-4</v>
      </c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</row>
    <row r="124" spans="1:63" x14ac:dyDescent="0.25">
      <c r="B124" s="75">
        <v>44004</v>
      </c>
      <c r="C124" s="76" t="s">
        <v>14</v>
      </c>
      <c r="D124" s="76" t="s">
        <v>137</v>
      </c>
      <c r="E124" s="76" t="s">
        <v>220</v>
      </c>
      <c r="F124" s="76">
        <v>0</v>
      </c>
      <c r="G124" s="76">
        <v>2</v>
      </c>
      <c r="H124" s="76">
        <f>Tableau6[[#This Row],[Entrée]]-Tableau6[[#This Row],[Sortie]]</f>
        <v>-2</v>
      </c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</row>
    <row r="125" spans="1:63" x14ac:dyDescent="0.25">
      <c r="B125" s="75">
        <v>44001</v>
      </c>
      <c r="C125" s="76" t="s">
        <v>179</v>
      </c>
      <c r="D125" s="76" t="s">
        <v>62</v>
      </c>
      <c r="E125" s="76" t="s">
        <v>61</v>
      </c>
      <c r="F125" s="76">
        <v>2</v>
      </c>
      <c r="G125" s="76">
        <v>0</v>
      </c>
      <c r="H125" s="76">
        <f>Tableau6[[#This Row],[Entrée]]-Tableau6[[#This Row],[Sortie]]</f>
        <v>2</v>
      </c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</row>
    <row r="126" spans="1:63" x14ac:dyDescent="0.25">
      <c r="B126" s="75">
        <v>44001</v>
      </c>
      <c r="C126" s="76" t="s">
        <v>217</v>
      </c>
      <c r="D126" s="76" t="s">
        <v>62</v>
      </c>
      <c r="E126" s="76" t="s">
        <v>61</v>
      </c>
      <c r="F126" s="76">
        <v>1</v>
      </c>
      <c r="G126" s="76">
        <v>0</v>
      </c>
      <c r="H126" s="76">
        <f>Tableau6[[#This Row],[Entrée]]-Tableau6[[#This Row],[Sortie]]</f>
        <v>1</v>
      </c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</row>
    <row r="127" spans="1:63" x14ac:dyDescent="0.25">
      <c r="B127" s="75">
        <v>44001</v>
      </c>
      <c r="C127" s="76" t="s">
        <v>216</v>
      </c>
      <c r="D127" s="76" t="s">
        <v>62</v>
      </c>
      <c r="E127" s="76" t="s">
        <v>61</v>
      </c>
      <c r="F127" s="76">
        <v>1</v>
      </c>
      <c r="G127" s="76">
        <v>0</v>
      </c>
      <c r="H127" s="76">
        <f>Tableau6[[#This Row],[Entrée]]-Tableau6[[#This Row],[Sortie]]</f>
        <v>1</v>
      </c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</row>
    <row r="128" spans="1:63" x14ac:dyDescent="0.25">
      <c r="B128" s="75">
        <v>44001</v>
      </c>
      <c r="C128" s="76" t="s">
        <v>26</v>
      </c>
      <c r="D128" s="76" t="s">
        <v>62</v>
      </c>
      <c r="E128" s="76" t="s">
        <v>61</v>
      </c>
      <c r="F128" s="76">
        <v>2</v>
      </c>
      <c r="G128" s="76">
        <v>0</v>
      </c>
      <c r="H128" s="76">
        <f>Tableau6[[#This Row],[Entrée]]-Tableau6[[#This Row],[Sortie]]</f>
        <v>2</v>
      </c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</row>
    <row r="129" spans="2:8" x14ac:dyDescent="0.25">
      <c r="B129" s="75">
        <v>44000</v>
      </c>
      <c r="C129" s="76" t="s">
        <v>19</v>
      </c>
      <c r="D129" s="76" t="s">
        <v>52</v>
      </c>
      <c r="E129" s="76" t="s">
        <v>90</v>
      </c>
      <c r="F129" s="76">
        <v>0</v>
      </c>
      <c r="G129" s="76">
        <v>1</v>
      </c>
      <c r="H129" s="76">
        <f>Tableau6[[#This Row],[Entrée]]-Tableau6[[#This Row],[Sortie]]</f>
        <v>-1</v>
      </c>
    </row>
    <row r="130" spans="2:8" x14ac:dyDescent="0.25">
      <c r="B130" s="75">
        <v>44000</v>
      </c>
      <c r="C130" s="76" t="s">
        <v>20</v>
      </c>
      <c r="D130" s="76" t="s">
        <v>52</v>
      </c>
      <c r="E130" s="76" t="s">
        <v>90</v>
      </c>
      <c r="F130" s="76">
        <v>0</v>
      </c>
      <c r="G130" s="76">
        <v>1</v>
      </c>
      <c r="H130" s="76">
        <f>Tableau6[[#This Row],[Entrée]]-Tableau6[[#This Row],[Sortie]]</f>
        <v>-1</v>
      </c>
    </row>
    <row r="131" spans="2:8" x14ac:dyDescent="0.25">
      <c r="B131" s="75">
        <v>44000</v>
      </c>
      <c r="C131" s="76" t="s">
        <v>215</v>
      </c>
      <c r="D131" s="76" t="s">
        <v>62</v>
      </c>
      <c r="E131" s="76" t="s">
        <v>61</v>
      </c>
      <c r="F131" s="76">
        <v>1</v>
      </c>
      <c r="G131" s="76">
        <v>0</v>
      </c>
      <c r="H131" s="76">
        <f>Tableau6[[#This Row],[Entrée]]-Tableau6[[#This Row],[Sortie]]</f>
        <v>1</v>
      </c>
    </row>
    <row r="132" spans="2:8" x14ac:dyDescent="0.25">
      <c r="B132" s="75">
        <v>44000</v>
      </c>
      <c r="C132" s="76" t="s">
        <v>214</v>
      </c>
      <c r="D132" s="76" t="s">
        <v>57</v>
      </c>
      <c r="E132" s="76" t="s">
        <v>191</v>
      </c>
      <c r="F132" s="76">
        <v>0</v>
      </c>
      <c r="G132" s="76">
        <v>1</v>
      </c>
      <c r="H132" s="76">
        <f>Tableau6[[#This Row],[Entrée]]-Tableau6[[#This Row],[Sortie]]</f>
        <v>-1</v>
      </c>
    </row>
    <row r="133" spans="2:8" x14ac:dyDescent="0.25">
      <c r="B133" s="75">
        <v>44000</v>
      </c>
      <c r="C133" s="76" t="s">
        <v>213</v>
      </c>
      <c r="D133" s="76" t="s">
        <v>57</v>
      </c>
      <c r="E133" s="76" t="s">
        <v>191</v>
      </c>
      <c r="F133" s="76">
        <v>0</v>
      </c>
      <c r="G133" s="76">
        <v>2</v>
      </c>
      <c r="H133" s="76">
        <f>Tableau6[[#This Row],[Entrée]]-Tableau6[[#This Row],[Sortie]]</f>
        <v>-2</v>
      </c>
    </row>
    <row r="134" spans="2:8" x14ac:dyDescent="0.25">
      <c r="B134" s="75">
        <v>44000</v>
      </c>
      <c r="C134" s="76" t="s">
        <v>31</v>
      </c>
      <c r="D134" s="76" t="s">
        <v>57</v>
      </c>
      <c r="E134" s="76" t="s">
        <v>90</v>
      </c>
      <c r="F134" s="76">
        <v>0</v>
      </c>
      <c r="G134" s="76">
        <v>1</v>
      </c>
      <c r="H134" s="76">
        <f>Tableau6[[#This Row],[Entrée]]-Tableau6[[#This Row],[Sortie]]</f>
        <v>-1</v>
      </c>
    </row>
    <row r="135" spans="2:8" x14ac:dyDescent="0.25">
      <c r="B135" s="75">
        <v>43999</v>
      </c>
      <c r="C135" s="76" t="s">
        <v>212</v>
      </c>
      <c r="D135" s="76" t="s">
        <v>128</v>
      </c>
      <c r="E135" s="76" t="s">
        <v>191</v>
      </c>
      <c r="F135" s="76">
        <v>0</v>
      </c>
      <c r="G135" s="76">
        <v>7</v>
      </c>
      <c r="H135" s="76">
        <f>Tableau6[[#This Row],[Entrée]]-Tableau6[[#This Row],[Sortie]]</f>
        <v>-7</v>
      </c>
    </row>
    <row r="136" spans="2:8" x14ac:dyDescent="0.25">
      <c r="B136" s="75">
        <v>43999</v>
      </c>
      <c r="C136" s="76" t="s">
        <v>68</v>
      </c>
      <c r="D136" s="76" t="s">
        <v>128</v>
      </c>
      <c r="E136" s="76" t="s">
        <v>191</v>
      </c>
      <c r="F136" s="76">
        <v>0</v>
      </c>
      <c r="G136" s="76">
        <v>7</v>
      </c>
      <c r="H136" s="76">
        <f>Tableau6[[#This Row],[Entrée]]-Tableau6[[#This Row],[Sortie]]</f>
        <v>-7</v>
      </c>
    </row>
    <row r="137" spans="2:8" x14ac:dyDescent="0.25">
      <c r="B137" s="75">
        <v>43999</v>
      </c>
      <c r="C137" s="76" t="s">
        <v>73</v>
      </c>
      <c r="D137" s="76" t="s">
        <v>128</v>
      </c>
      <c r="E137" s="76" t="s">
        <v>191</v>
      </c>
      <c r="F137" s="76">
        <v>0</v>
      </c>
      <c r="G137" s="76">
        <v>4</v>
      </c>
      <c r="H137" s="76">
        <f>Tableau6[[#This Row],[Entrée]]-Tableau6[[#This Row],[Sortie]]</f>
        <v>-4</v>
      </c>
    </row>
    <row r="138" spans="2:8" x14ac:dyDescent="0.25">
      <c r="B138" s="75">
        <v>43999</v>
      </c>
      <c r="C138" s="76" t="s">
        <v>72</v>
      </c>
      <c r="D138" s="76" t="s">
        <v>128</v>
      </c>
      <c r="E138" s="76" t="s">
        <v>191</v>
      </c>
      <c r="F138" s="76">
        <v>0</v>
      </c>
      <c r="G138" s="76">
        <v>6</v>
      </c>
      <c r="H138" s="76">
        <f>Tableau6[[#This Row],[Entrée]]-Tableau6[[#This Row],[Sortie]]</f>
        <v>-6</v>
      </c>
    </row>
    <row r="139" spans="2:8" x14ac:dyDescent="0.25">
      <c r="B139" s="75">
        <v>43999</v>
      </c>
      <c r="C139" s="76" t="s">
        <v>107</v>
      </c>
      <c r="D139" s="76" t="s">
        <v>123</v>
      </c>
      <c r="E139" s="76" t="s">
        <v>90</v>
      </c>
      <c r="F139" s="76">
        <v>0</v>
      </c>
      <c r="G139" s="76">
        <v>1</v>
      </c>
      <c r="H139" s="76">
        <f>Tableau6[[#This Row],[Entrée]]-Tableau6[[#This Row],[Sortie]]</f>
        <v>-1</v>
      </c>
    </row>
    <row r="140" spans="2:8" x14ac:dyDescent="0.25">
      <c r="B140" s="75">
        <v>43999</v>
      </c>
      <c r="C140" s="76" t="s">
        <v>164</v>
      </c>
      <c r="D140" s="76" t="s">
        <v>137</v>
      </c>
      <c r="E140" s="76" t="s">
        <v>90</v>
      </c>
      <c r="F140" s="76">
        <v>0</v>
      </c>
      <c r="G140" s="76">
        <v>4</v>
      </c>
      <c r="H140" s="76">
        <f>Tableau6[[#This Row],[Entrée]]-Tableau6[[#This Row],[Sortie]]</f>
        <v>-4</v>
      </c>
    </row>
    <row r="141" spans="2:8" x14ac:dyDescent="0.25">
      <c r="B141" s="75">
        <v>43999</v>
      </c>
      <c r="C141" s="76" t="s">
        <v>100</v>
      </c>
      <c r="D141" s="76" t="s">
        <v>137</v>
      </c>
      <c r="E141" s="76" t="s">
        <v>90</v>
      </c>
      <c r="F141" s="76">
        <v>0</v>
      </c>
      <c r="G141" s="76">
        <v>4</v>
      </c>
      <c r="H141" s="76">
        <f>Tableau6[[#This Row],[Entrée]]-Tableau6[[#This Row],[Sortie]]</f>
        <v>-4</v>
      </c>
    </row>
    <row r="142" spans="2:8" x14ac:dyDescent="0.25">
      <c r="B142" s="75">
        <v>43999</v>
      </c>
      <c r="C142" s="76" t="s">
        <v>98</v>
      </c>
      <c r="D142" s="76" t="s">
        <v>137</v>
      </c>
      <c r="E142" s="76" t="s">
        <v>90</v>
      </c>
      <c r="F142" s="76">
        <v>0</v>
      </c>
      <c r="G142" s="76">
        <v>4</v>
      </c>
      <c r="H142" s="76">
        <f>Tableau6[[#This Row],[Entrée]]-Tableau6[[#This Row],[Sortie]]</f>
        <v>-4</v>
      </c>
    </row>
    <row r="143" spans="2:8" x14ac:dyDescent="0.25">
      <c r="B143" s="75">
        <v>43999</v>
      </c>
      <c r="C143" s="76" t="s">
        <v>97</v>
      </c>
      <c r="D143" s="76" t="s">
        <v>137</v>
      </c>
      <c r="E143" s="76" t="s">
        <v>90</v>
      </c>
      <c r="F143" s="76">
        <v>0</v>
      </c>
      <c r="G143" s="76">
        <v>4</v>
      </c>
      <c r="H143" s="76">
        <f>Tableau6[[#This Row],[Entrée]]-Tableau6[[#This Row],[Sortie]]</f>
        <v>-4</v>
      </c>
    </row>
    <row r="144" spans="2:8" x14ac:dyDescent="0.25">
      <c r="B144" s="75">
        <v>43998</v>
      </c>
      <c r="C144" s="76" t="s">
        <v>14</v>
      </c>
      <c r="D144" s="76" t="s">
        <v>128</v>
      </c>
      <c r="E144" s="76" t="s">
        <v>211</v>
      </c>
      <c r="F144" s="76">
        <v>0</v>
      </c>
      <c r="G144" s="76">
        <v>2</v>
      </c>
      <c r="H144" s="76">
        <f>Tableau6[[#This Row],[Entrée]]-Tableau6[[#This Row],[Sortie]]</f>
        <v>-2</v>
      </c>
    </row>
    <row r="145" spans="1:8" x14ac:dyDescent="0.25">
      <c r="A145" s="6"/>
      <c r="B145" s="75">
        <v>43998</v>
      </c>
      <c r="C145" s="76" t="s">
        <v>146</v>
      </c>
      <c r="D145" s="76" t="s">
        <v>62</v>
      </c>
      <c r="E145" s="76" t="s">
        <v>202</v>
      </c>
      <c r="F145" s="76">
        <v>20</v>
      </c>
      <c r="G145" s="76">
        <v>0</v>
      </c>
      <c r="H145" s="76">
        <f>Tableau6[[#This Row],[Entrée]]-Tableau6[[#This Row],[Sortie]]</f>
        <v>20</v>
      </c>
    </row>
    <row r="146" spans="1:8" x14ac:dyDescent="0.25">
      <c r="A146" s="6"/>
      <c r="B146" s="75">
        <v>43998</v>
      </c>
      <c r="C146" s="76" t="s">
        <v>112</v>
      </c>
      <c r="D146" s="76" t="s">
        <v>62</v>
      </c>
      <c r="E146" s="76" t="s">
        <v>202</v>
      </c>
      <c r="F146" s="76">
        <v>6</v>
      </c>
      <c r="G146" s="76">
        <v>0</v>
      </c>
      <c r="H146" s="76">
        <f>Tableau6[[#This Row],[Entrée]]-Tableau6[[#This Row],[Sortie]]</f>
        <v>6</v>
      </c>
    </row>
    <row r="147" spans="1:8" x14ac:dyDescent="0.25">
      <c r="B147" s="75">
        <v>43998</v>
      </c>
      <c r="C147" s="76" t="s">
        <v>157</v>
      </c>
      <c r="D147" s="76" t="s">
        <v>62</v>
      </c>
      <c r="E147" s="76" t="s">
        <v>202</v>
      </c>
      <c r="F147" s="76">
        <v>4</v>
      </c>
      <c r="G147" s="76">
        <v>0</v>
      </c>
      <c r="H147" s="76">
        <f>Tableau6[[#This Row],[Entrée]]-Tableau6[[#This Row],[Sortie]]</f>
        <v>4</v>
      </c>
    </row>
    <row r="148" spans="1:8" x14ac:dyDescent="0.25">
      <c r="B148" s="75">
        <v>43997</v>
      </c>
      <c r="C148" s="76" t="s">
        <v>198</v>
      </c>
      <c r="D148" s="76" t="s">
        <v>184</v>
      </c>
      <c r="E148" s="76" t="s">
        <v>188</v>
      </c>
      <c r="F148" s="76">
        <v>0</v>
      </c>
      <c r="G148" s="76">
        <v>8</v>
      </c>
      <c r="H148" s="76">
        <f>Tableau6[[#This Row],[Entrée]]-Tableau6[[#This Row],[Sortie]]</f>
        <v>-8</v>
      </c>
    </row>
    <row r="149" spans="1:8" x14ac:dyDescent="0.25">
      <c r="B149" s="75">
        <v>43997</v>
      </c>
      <c r="C149" s="76" t="s">
        <v>206</v>
      </c>
      <c r="D149" s="76" t="s">
        <v>128</v>
      </c>
      <c r="E149" s="76" t="s">
        <v>80</v>
      </c>
      <c r="F149" s="76">
        <v>0</v>
      </c>
      <c r="G149" s="76">
        <v>1</v>
      </c>
      <c r="H149" s="76">
        <f>Tableau6[[#This Row],[Entrée]]-Tableau6[[#This Row],[Sortie]]</f>
        <v>-1</v>
      </c>
    </row>
    <row r="150" spans="1:8" x14ac:dyDescent="0.25">
      <c r="B150" s="75">
        <v>43997</v>
      </c>
      <c r="C150" s="76" t="s">
        <v>33</v>
      </c>
      <c r="D150" s="76" t="s">
        <v>208</v>
      </c>
      <c r="E150" s="76" t="s">
        <v>210</v>
      </c>
      <c r="F150" s="76">
        <v>0</v>
      </c>
      <c r="G150" s="76">
        <v>4</v>
      </c>
      <c r="H150" s="76">
        <f>Tableau6[[#This Row],[Entrée]]-Tableau6[[#This Row],[Sortie]]</f>
        <v>-4</v>
      </c>
    </row>
    <row r="151" spans="1:8" x14ac:dyDescent="0.25">
      <c r="B151" s="75">
        <v>43997</v>
      </c>
      <c r="C151" s="76" t="s">
        <v>34</v>
      </c>
      <c r="D151" s="76" t="s">
        <v>208</v>
      </c>
      <c r="E151" s="76" t="s">
        <v>209</v>
      </c>
      <c r="F151" s="76">
        <v>0</v>
      </c>
      <c r="G151" s="76">
        <v>4</v>
      </c>
      <c r="H151" s="76">
        <f>Tableau6[[#This Row],[Entrée]]-Tableau6[[#This Row],[Sortie]]</f>
        <v>-4</v>
      </c>
    </row>
    <row r="152" spans="1:8" x14ac:dyDescent="0.25">
      <c r="B152" s="75">
        <v>43997</v>
      </c>
      <c r="C152" s="76" t="s">
        <v>112</v>
      </c>
      <c r="D152" s="76" t="s">
        <v>137</v>
      </c>
      <c r="E152" s="76" t="s">
        <v>90</v>
      </c>
      <c r="F152" s="76">
        <v>0</v>
      </c>
      <c r="G152" s="76">
        <v>2</v>
      </c>
      <c r="H152" s="76">
        <f>Tableau6[[#This Row],[Entrée]]-Tableau6[[#This Row],[Sortie]]</f>
        <v>-2</v>
      </c>
    </row>
    <row r="153" spans="1:8" x14ac:dyDescent="0.25">
      <c r="B153" s="75">
        <v>43997</v>
      </c>
      <c r="C153" s="76" t="s">
        <v>146</v>
      </c>
      <c r="D153" s="76" t="s">
        <v>137</v>
      </c>
      <c r="E153" s="76" t="s">
        <v>90</v>
      </c>
      <c r="F153" s="76">
        <v>0</v>
      </c>
      <c r="G153" s="76">
        <v>3</v>
      </c>
      <c r="H153" s="76">
        <f>Tableau6[[#This Row],[Entrée]]-Tableau6[[#This Row],[Sortie]]</f>
        <v>-3</v>
      </c>
    </row>
    <row r="154" spans="1:8" x14ac:dyDescent="0.25">
      <c r="B154" s="75">
        <v>43997</v>
      </c>
      <c r="C154" s="76" t="s">
        <v>201</v>
      </c>
      <c r="D154" s="76" t="s">
        <v>62</v>
      </c>
      <c r="E154" s="76" t="s">
        <v>202</v>
      </c>
      <c r="F154" s="76">
        <v>5</v>
      </c>
      <c r="G154" s="76">
        <v>0</v>
      </c>
      <c r="H154" s="76">
        <f>Tableau6[[#This Row],[Entrée]]-Tableau6[[#This Row],[Sortie]]</f>
        <v>5</v>
      </c>
    </row>
    <row r="155" spans="1:8" x14ac:dyDescent="0.25">
      <c r="B155" s="75">
        <v>43993</v>
      </c>
      <c r="C155" s="76" t="s">
        <v>196</v>
      </c>
      <c r="D155" s="76" t="s">
        <v>184</v>
      </c>
      <c r="E155" s="76" t="s">
        <v>90</v>
      </c>
      <c r="F155" s="76">
        <v>0</v>
      </c>
      <c r="G155" s="76">
        <v>1</v>
      </c>
      <c r="H155" s="76">
        <f>Tableau6[[#This Row],[Entrée]]-Tableau6[[#This Row],[Sortie]]</f>
        <v>-1</v>
      </c>
    </row>
    <row r="156" spans="1:8" x14ac:dyDescent="0.25">
      <c r="B156" s="75">
        <v>43993</v>
      </c>
      <c r="C156" s="76" t="s">
        <v>151</v>
      </c>
      <c r="D156" s="76" t="s">
        <v>184</v>
      </c>
      <c r="E156" s="76" t="s">
        <v>90</v>
      </c>
      <c r="F156" s="76">
        <v>0</v>
      </c>
      <c r="G156" s="76">
        <v>1</v>
      </c>
      <c r="H156" s="76">
        <f>Tableau6[[#This Row],[Entrée]]-Tableau6[[#This Row],[Sortie]]</f>
        <v>-1</v>
      </c>
    </row>
    <row r="157" spans="1:8" x14ac:dyDescent="0.25">
      <c r="B157" s="75">
        <v>43993</v>
      </c>
      <c r="C157" s="76" t="s">
        <v>21</v>
      </c>
      <c r="D157" s="76" t="s">
        <v>184</v>
      </c>
      <c r="E157" s="76" t="s">
        <v>90</v>
      </c>
      <c r="F157" s="76">
        <v>0</v>
      </c>
      <c r="G157" s="76">
        <v>1</v>
      </c>
      <c r="H157" s="76">
        <f>Tableau6[[#This Row],[Entrée]]-Tableau6[[#This Row],[Sortie]]</f>
        <v>-1</v>
      </c>
    </row>
    <row r="158" spans="1:8" x14ac:dyDescent="0.25">
      <c r="B158" s="75">
        <v>43993</v>
      </c>
      <c r="C158" s="76" t="s">
        <v>19</v>
      </c>
      <c r="D158" s="76" t="s">
        <v>124</v>
      </c>
      <c r="E158" s="76" t="s">
        <v>90</v>
      </c>
      <c r="F158" s="76">
        <v>0</v>
      </c>
      <c r="G158" s="76">
        <v>1</v>
      </c>
      <c r="H158" s="76">
        <f>Tableau6[[#This Row],[Entrée]]-Tableau6[[#This Row],[Sortie]]</f>
        <v>-1</v>
      </c>
    </row>
    <row r="159" spans="1:8" x14ac:dyDescent="0.25">
      <c r="B159" s="75">
        <v>43993</v>
      </c>
      <c r="C159" s="76" t="s">
        <v>20</v>
      </c>
      <c r="D159" s="76" t="s">
        <v>124</v>
      </c>
      <c r="E159" s="76" t="s">
        <v>90</v>
      </c>
      <c r="F159" s="76">
        <v>0</v>
      </c>
      <c r="G159" s="76">
        <v>1</v>
      </c>
      <c r="H159" s="76">
        <f>Tableau6[[#This Row],[Entrée]]-Tableau6[[#This Row],[Sortie]]</f>
        <v>-1</v>
      </c>
    </row>
    <row r="160" spans="1:8" x14ac:dyDescent="0.25">
      <c r="B160" s="75">
        <v>43993</v>
      </c>
      <c r="C160" s="76" t="s">
        <v>105</v>
      </c>
      <c r="D160" s="76" t="s">
        <v>124</v>
      </c>
      <c r="E160" s="76" t="s">
        <v>90</v>
      </c>
      <c r="F160" s="76">
        <v>0</v>
      </c>
      <c r="G160" s="76">
        <v>1</v>
      </c>
      <c r="H160" s="76">
        <f>Tableau6[[#This Row],[Entrée]]-Tableau6[[#This Row],[Sortie]]</f>
        <v>-1</v>
      </c>
    </row>
    <row r="161" spans="2:8" x14ac:dyDescent="0.25">
      <c r="B161" s="75">
        <v>43993</v>
      </c>
      <c r="C161" s="76" t="s">
        <v>106</v>
      </c>
      <c r="D161" s="76" t="s">
        <v>124</v>
      </c>
      <c r="E161" s="76" t="s">
        <v>90</v>
      </c>
      <c r="F161" s="76">
        <v>0</v>
      </c>
      <c r="G161" s="76">
        <v>1</v>
      </c>
      <c r="H161" s="76">
        <f>Tableau6[[#This Row],[Entrée]]-Tableau6[[#This Row],[Sortie]]</f>
        <v>-1</v>
      </c>
    </row>
    <row r="162" spans="2:8" x14ac:dyDescent="0.25">
      <c r="B162" s="75">
        <v>43993</v>
      </c>
      <c r="C162" s="76" t="s">
        <v>193</v>
      </c>
      <c r="D162" s="76"/>
      <c r="E162" s="76" t="s">
        <v>194</v>
      </c>
      <c r="F162" s="76">
        <v>0</v>
      </c>
      <c r="G162" s="76">
        <v>2</v>
      </c>
      <c r="H162" s="76">
        <f>Tableau6[[#This Row],[Entrée]]-Tableau6[[#This Row],[Sortie]]</f>
        <v>-2</v>
      </c>
    </row>
    <row r="163" spans="2:8" x14ac:dyDescent="0.25">
      <c r="B163" s="75">
        <v>43993</v>
      </c>
      <c r="C163" s="76" t="s">
        <v>127</v>
      </c>
      <c r="D163" s="76" t="s">
        <v>128</v>
      </c>
      <c r="E163" s="76" t="s">
        <v>192</v>
      </c>
      <c r="F163" s="76">
        <v>0</v>
      </c>
      <c r="G163" s="76">
        <v>1</v>
      </c>
      <c r="H163" s="76">
        <f>Tableau6[[#This Row],[Entrée]]-Tableau6[[#This Row],[Sortie]]</f>
        <v>-1</v>
      </c>
    </row>
    <row r="164" spans="2:8" x14ac:dyDescent="0.25">
      <c r="B164" s="75">
        <v>43992</v>
      </c>
      <c r="C164" s="76" t="s">
        <v>97</v>
      </c>
      <c r="D164" s="76" t="s">
        <v>190</v>
      </c>
      <c r="E164" s="76" t="s">
        <v>189</v>
      </c>
      <c r="F164" s="76">
        <v>0</v>
      </c>
      <c r="G164" s="76">
        <v>10</v>
      </c>
      <c r="H164" s="76">
        <f>Tableau6[[#This Row],[Entrée]]-Tableau6[[#This Row],[Sortie]]</f>
        <v>-10</v>
      </c>
    </row>
    <row r="165" spans="2:8" x14ac:dyDescent="0.25">
      <c r="B165" s="75">
        <v>43992</v>
      </c>
      <c r="C165" s="76" t="s">
        <v>100</v>
      </c>
      <c r="D165" s="76" t="s">
        <v>190</v>
      </c>
      <c r="E165" s="76" t="s">
        <v>189</v>
      </c>
      <c r="F165" s="76">
        <v>0</v>
      </c>
      <c r="G165" s="76">
        <v>5</v>
      </c>
      <c r="H165" s="76">
        <f>Tableau6[[#This Row],[Entrée]]-Tableau6[[#This Row],[Sortie]]</f>
        <v>-5</v>
      </c>
    </row>
    <row r="166" spans="2:8" x14ac:dyDescent="0.25">
      <c r="B166" s="75">
        <v>43992</v>
      </c>
      <c r="C166" s="76" t="s">
        <v>98</v>
      </c>
      <c r="D166" s="76" t="s">
        <v>190</v>
      </c>
      <c r="E166" s="76" t="s">
        <v>189</v>
      </c>
      <c r="F166" s="76">
        <v>0</v>
      </c>
      <c r="G166" s="76">
        <v>5</v>
      </c>
      <c r="H166" s="76">
        <f>Tableau6[[#This Row],[Entrée]]-Tableau6[[#This Row],[Sortie]]</f>
        <v>-5</v>
      </c>
    </row>
    <row r="167" spans="2:8" x14ac:dyDescent="0.25">
      <c r="B167" s="75">
        <v>43992</v>
      </c>
      <c r="C167" s="76" t="s">
        <v>148</v>
      </c>
      <c r="D167" s="76" t="s">
        <v>190</v>
      </c>
      <c r="E167" s="76" t="s">
        <v>189</v>
      </c>
      <c r="F167" s="76">
        <v>0</v>
      </c>
      <c r="G167" s="76">
        <v>2</v>
      </c>
      <c r="H167" s="76">
        <f>Tableau6[[#This Row],[Entrée]]-Tableau6[[#This Row],[Sortie]]</f>
        <v>-2</v>
      </c>
    </row>
    <row r="168" spans="2:8" x14ac:dyDescent="0.25">
      <c r="B168" s="75">
        <v>43992</v>
      </c>
      <c r="C168" s="76" t="s">
        <v>19</v>
      </c>
      <c r="D168" s="76" t="s">
        <v>85</v>
      </c>
      <c r="E168" s="76" t="s">
        <v>189</v>
      </c>
      <c r="F168" s="76">
        <v>0</v>
      </c>
      <c r="G168" s="76">
        <v>1</v>
      </c>
      <c r="H168" s="76">
        <f>Tableau6[[#This Row],[Entrée]]-Tableau6[[#This Row],[Sortie]]</f>
        <v>-1</v>
      </c>
    </row>
    <row r="169" spans="2:8" x14ac:dyDescent="0.25">
      <c r="B169" s="75">
        <v>43992</v>
      </c>
      <c r="C169" s="76" t="s">
        <v>97</v>
      </c>
      <c r="D169" s="76" t="s">
        <v>184</v>
      </c>
      <c r="E169" s="76" t="s">
        <v>189</v>
      </c>
      <c r="F169" s="76">
        <v>0</v>
      </c>
      <c r="G169" s="76">
        <v>18</v>
      </c>
      <c r="H169" s="76">
        <f>Tableau6[[#This Row],[Entrée]]-Tableau6[[#This Row],[Sortie]]</f>
        <v>-18</v>
      </c>
    </row>
    <row r="170" spans="2:8" x14ac:dyDescent="0.25">
      <c r="B170" s="75">
        <v>43991</v>
      </c>
      <c r="C170" s="76" t="s">
        <v>144</v>
      </c>
      <c r="D170" s="76" t="s">
        <v>187</v>
      </c>
      <c r="E170" s="76" t="s">
        <v>188</v>
      </c>
      <c r="F170" s="76">
        <v>0</v>
      </c>
      <c r="G170" s="76">
        <v>1</v>
      </c>
      <c r="H170" s="76">
        <f>Tableau6[[#This Row],[Entrée]]-Tableau6[[#This Row],[Sortie]]</f>
        <v>-1</v>
      </c>
    </row>
    <row r="171" spans="2:8" x14ac:dyDescent="0.25">
      <c r="B171" s="75">
        <v>43991</v>
      </c>
      <c r="C171" s="76" t="s">
        <v>143</v>
      </c>
      <c r="D171" s="76" t="s">
        <v>187</v>
      </c>
      <c r="E171" s="76" t="s">
        <v>188</v>
      </c>
      <c r="F171" s="76">
        <v>0</v>
      </c>
      <c r="G171" s="76">
        <v>1</v>
      </c>
      <c r="H171" s="76">
        <f>Tableau6[[#This Row],[Entrée]]-Tableau6[[#This Row],[Sortie]]</f>
        <v>-1</v>
      </c>
    </row>
    <row r="172" spans="2:8" x14ac:dyDescent="0.25">
      <c r="B172" s="75">
        <v>43991</v>
      </c>
      <c r="C172" s="76" t="s">
        <v>69</v>
      </c>
      <c r="D172" s="76" t="s">
        <v>128</v>
      </c>
      <c r="E172" s="76" t="s">
        <v>119</v>
      </c>
      <c r="F172" s="76">
        <v>0</v>
      </c>
      <c r="G172" s="76">
        <v>2</v>
      </c>
      <c r="H172" s="76">
        <f>Tableau6[[#This Row],[Entrée]]-Tableau6[[#This Row],[Sortie]]</f>
        <v>-2</v>
      </c>
    </row>
    <row r="173" spans="2:8" x14ac:dyDescent="0.25">
      <c r="B173" s="75">
        <v>43991</v>
      </c>
      <c r="C173" s="76" t="s">
        <v>71</v>
      </c>
      <c r="D173" s="76" t="s">
        <v>181</v>
      </c>
      <c r="E173" s="76" t="s">
        <v>161</v>
      </c>
      <c r="F173" s="76">
        <v>0</v>
      </c>
      <c r="G173" s="76">
        <v>2</v>
      </c>
      <c r="H173" s="76">
        <f>Tableau6[[#This Row],[Entrée]]-Tableau6[[#This Row],[Sortie]]</f>
        <v>-2</v>
      </c>
    </row>
    <row r="174" spans="2:8" x14ac:dyDescent="0.25">
      <c r="B174" s="75">
        <v>43991</v>
      </c>
      <c r="C174" s="76" t="s">
        <v>67</v>
      </c>
      <c r="D174" s="76" t="s">
        <v>181</v>
      </c>
      <c r="E174" s="76" t="s">
        <v>161</v>
      </c>
      <c r="F174" s="76">
        <v>0</v>
      </c>
      <c r="G174" s="76">
        <v>2</v>
      </c>
      <c r="H174" s="76">
        <f>Tableau6[[#This Row],[Entrée]]-Tableau6[[#This Row],[Sortie]]</f>
        <v>-2</v>
      </c>
    </row>
    <row r="175" spans="2:8" x14ac:dyDescent="0.25">
      <c r="B175" s="75">
        <v>43991</v>
      </c>
      <c r="C175" s="76" t="s">
        <v>142</v>
      </c>
      <c r="D175" s="76" t="s">
        <v>181</v>
      </c>
      <c r="E175" s="76" t="s">
        <v>161</v>
      </c>
      <c r="F175" s="76">
        <v>0</v>
      </c>
      <c r="G175" s="76">
        <v>5</v>
      </c>
      <c r="H175" s="76">
        <f>Tableau6[[#This Row],[Entrée]]-Tableau6[[#This Row],[Sortie]]</f>
        <v>-5</v>
      </c>
    </row>
    <row r="176" spans="2:8" x14ac:dyDescent="0.25">
      <c r="B176" s="75">
        <v>43991</v>
      </c>
      <c r="C176" s="76" t="s">
        <v>186</v>
      </c>
      <c r="D176" s="76" t="s">
        <v>181</v>
      </c>
      <c r="E176" s="76" t="s">
        <v>161</v>
      </c>
      <c r="F176" s="76">
        <v>0</v>
      </c>
      <c r="G176" s="76">
        <v>1</v>
      </c>
      <c r="H176" s="76">
        <f>Tableau6[[#This Row],[Entrée]]-Tableau6[[#This Row],[Sortie]]</f>
        <v>-1</v>
      </c>
    </row>
    <row r="177" spans="1:8" x14ac:dyDescent="0.25">
      <c r="B177" s="75">
        <v>43991</v>
      </c>
      <c r="C177" s="76" t="s">
        <v>72</v>
      </c>
      <c r="D177" s="76" t="s">
        <v>181</v>
      </c>
      <c r="E177" s="76" t="s">
        <v>161</v>
      </c>
      <c r="F177" s="76">
        <v>0</v>
      </c>
      <c r="G177" s="76">
        <v>2</v>
      </c>
      <c r="H177" s="76">
        <f>Tableau6[[#This Row],[Entrée]]-Tableau6[[#This Row],[Sortie]]</f>
        <v>-2</v>
      </c>
    </row>
    <row r="178" spans="1:8" x14ac:dyDescent="0.25">
      <c r="B178" s="75">
        <v>43991</v>
      </c>
      <c r="C178" s="76" t="s">
        <v>70</v>
      </c>
      <c r="D178" s="76" t="s">
        <v>181</v>
      </c>
      <c r="E178" s="76" t="s">
        <v>161</v>
      </c>
      <c r="F178" s="76">
        <v>0</v>
      </c>
      <c r="G178" s="76">
        <v>4</v>
      </c>
      <c r="H178" s="76">
        <f>Tableau6[[#This Row],[Entrée]]-Tableau6[[#This Row],[Sortie]]</f>
        <v>-4</v>
      </c>
    </row>
    <row r="179" spans="1:8" x14ac:dyDescent="0.25">
      <c r="B179" s="75">
        <v>43991</v>
      </c>
      <c r="C179" s="76">
        <v>12011060</v>
      </c>
      <c r="D179" s="76" t="s">
        <v>181</v>
      </c>
      <c r="E179" s="76" t="s">
        <v>161</v>
      </c>
      <c r="F179" s="76">
        <v>0</v>
      </c>
      <c r="G179" s="76">
        <v>1</v>
      </c>
      <c r="H179" s="76">
        <f>Tableau6[[#This Row],[Entrée]]-Tableau6[[#This Row],[Sortie]]</f>
        <v>-1</v>
      </c>
    </row>
    <row r="180" spans="1:8" x14ac:dyDescent="0.25">
      <c r="B180" s="75">
        <v>43991</v>
      </c>
      <c r="C180" s="76" t="s">
        <v>151</v>
      </c>
      <c r="D180" s="76" t="s">
        <v>128</v>
      </c>
      <c r="E180" s="76" t="s">
        <v>185</v>
      </c>
      <c r="F180" s="76">
        <v>0</v>
      </c>
      <c r="G180" s="76">
        <v>1</v>
      </c>
      <c r="H180" s="76">
        <f>Tableau6[[#This Row],[Entrée]]-Tableau6[[#This Row],[Sortie]]</f>
        <v>-1</v>
      </c>
    </row>
    <row r="181" spans="1:8" x14ac:dyDescent="0.25">
      <c r="B181" s="75">
        <v>43991</v>
      </c>
      <c r="C181" s="76" t="s">
        <v>25</v>
      </c>
      <c r="D181" s="76" t="s">
        <v>128</v>
      </c>
      <c r="E181" s="76" t="s">
        <v>185</v>
      </c>
      <c r="F181" s="76">
        <v>0</v>
      </c>
      <c r="G181" s="76">
        <v>1</v>
      </c>
      <c r="H181" s="76">
        <f>Tableau6[[#This Row],[Entrée]]-Tableau6[[#This Row],[Sortie]]</f>
        <v>-1</v>
      </c>
    </row>
    <row r="182" spans="1:8" x14ac:dyDescent="0.25">
      <c r="B182" s="75">
        <v>43991</v>
      </c>
      <c r="C182" s="76" t="s">
        <v>22</v>
      </c>
      <c r="D182" s="76" t="s">
        <v>128</v>
      </c>
      <c r="E182" s="76" t="s">
        <v>171</v>
      </c>
      <c r="F182" s="76">
        <v>0</v>
      </c>
      <c r="G182" s="76">
        <v>1</v>
      </c>
      <c r="H182" s="76">
        <f>Tableau6[[#This Row],[Entrée]]-Tableau6[[#This Row],[Sortie]]</f>
        <v>-1</v>
      </c>
    </row>
    <row r="183" spans="1:8" x14ac:dyDescent="0.25">
      <c r="B183" s="75">
        <v>43991</v>
      </c>
      <c r="C183" s="76" t="s">
        <v>21</v>
      </c>
      <c r="D183" s="76" t="s">
        <v>128</v>
      </c>
      <c r="E183" s="76" t="s">
        <v>171</v>
      </c>
      <c r="F183" s="76">
        <v>0</v>
      </c>
      <c r="G183" s="76">
        <v>1</v>
      </c>
      <c r="H183" s="76">
        <f>Tableau6[[#This Row],[Entrée]]-Tableau6[[#This Row],[Sortie]]</f>
        <v>-1</v>
      </c>
    </row>
    <row r="184" spans="1:8" x14ac:dyDescent="0.25">
      <c r="B184" s="75">
        <v>43991</v>
      </c>
      <c r="C184" s="76" t="s">
        <v>97</v>
      </c>
      <c r="D184" s="76" t="s">
        <v>123</v>
      </c>
      <c r="E184" s="76" t="s">
        <v>171</v>
      </c>
      <c r="F184" s="76">
        <v>0</v>
      </c>
      <c r="G184" s="76">
        <v>20</v>
      </c>
      <c r="H184" s="76">
        <f>Tableau6[[#This Row],[Entrée]]-Tableau6[[#This Row],[Sortie]]</f>
        <v>-20</v>
      </c>
    </row>
    <row r="185" spans="1:8" x14ac:dyDescent="0.25">
      <c r="B185" s="75">
        <v>43991</v>
      </c>
      <c r="C185" s="76" t="s">
        <v>157</v>
      </c>
      <c r="D185" s="76" t="s">
        <v>137</v>
      </c>
      <c r="E185" s="76" t="s">
        <v>183</v>
      </c>
      <c r="F185" s="76">
        <v>0</v>
      </c>
      <c r="G185" s="76">
        <v>1</v>
      </c>
      <c r="H185" s="76">
        <f>Tableau6[[#This Row],[Entrée]]-Tableau6[[#This Row],[Sortie]]</f>
        <v>-1</v>
      </c>
    </row>
    <row r="186" spans="1:8" x14ac:dyDescent="0.25">
      <c r="A186" s="6"/>
      <c r="B186" s="75">
        <v>43991</v>
      </c>
      <c r="C186" s="76" t="s">
        <v>97</v>
      </c>
      <c r="D186" s="76" t="s">
        <v>85</v>
      </c>
      <c r="E186" s="76" t="s">
        <v>183</v>
      </c>
      <c r="F186" s="76">
        <v>0</v>
      </c>
      <c r="G186" s="76">
        <v>10</v>
      </c>
      <c r="H186" s="76">
        <f>Tableau6[[#This Row],[Entrée]]-Tableau6[[#This Row],[Sortie]]</f>
        <v>-10</v>
      </c>
    </row>
    <row r="187" spans="1:8" x14ac:dyDescent="0.25">
      <c r="A187" s="6"/>
      <c r="B187" s="75">
        <v>43991</v>
      </c>
      <c r="C187" s="76" t="s">
        <v>32</v>
      </c>
      <c r="D187" s="76" t="s">
        <v>62</v>
      </c>
      <c r="E187" s="76" t="s">
        <v>61</v>
      </c>
      <c r="F187" s="76">
        <v>1</v>
      </c>
      <c r="G187" s="76">
        <v>0</v>
      </c>
      <c r="H187" s="76">
        <f>Tableau6[[#This Row],[Entrée]]-Tableau6[[#This Row],[Sortie]]</f>
        <v>1</v>
      </c>
    </row>
    <row r="188" spans="1:8" x14ac:dyDescent="0.25">
      <c r="B188" s="75">
        <v>43991</v>
      </c>
      <c r="C188" s="76" t="s">
        <v>178</v>
      </c>
      <c r="D188" s="76" t="s">
        <v>62</v>
      </c>
      <c r="E188" s="76" t="s">
        <v>61</v>
      </c>
      <c r="F188" s="76">
        <v>3</v>
      </c>
      <c r="G188" s="76">
        <v>0</v>
      </c>
      <c r="H188" s="76">
        <f>Tableau6[[#This Row],[Entrée]]-Tableau6[[#This Row],[Sortie]]</f>
        <v>3</v>
      </c>
    </row>
    <row r="189" spans="1:8" x14ac:dyDescent="0.25">
      <c r="B189" s="75">
        <v>43991</v>
      </c>
      <c r="C189" s="76" t="s">
        <v>179</v>
      </c>
      <c r="D189" s="76" t="s">
        <v>62</v>
      </c>
      <c r="E189" s="76" t="s">
        <v>61</v>
      </c>
      <c r="F189" s="76">
        <v>3</v>
      </c>
      <c r="G189" s="76">
        <v>0</v>
      </c>
      <c r="H189" s="76">
        <f>Tableau6[[#This Row],[Entrée]]-Tableau6[[#This Row],[Sortie]]</f>
        <v>3</v>
      </c>
    </row>
    <row r="190" spans="1:8" x14ac:dyDescent="0.25">
      <c r="A190" s="6"/>
      <c r="B190" s="75">
        <v>43991</v>
      </c>
      <c r="C190" s="76" t="s">
        <v>180</v>
      </c>
      <c r="D190" s="76" t="s">
        <v>62</v>
      </c>
      <c r="E190" s="76" t="s">
        <v>61</v>
      </c>
      <c r="F190" s="76">
        <v>2</v>
      </c>
      <c r="G190" s="76">
        <v>0</v>
      </c>
      <c r="H190" s="76">
        <f>Tableau6[[#This Row],[Entrée]]-Tableau6[[#This Row],[Sortie]]</f>
        <v>2</v>
      </c>
    </row>
    <row r="191" spans="1:8" x14ac:dyDescent="0.25">
      <c r="B191" s="75">
        <v>43990</v>
      </c>
      <c r="C191" s="76" t="s">
        <v>15</v>
      </c>
      <c r="D191" s="76" t="s">
        <v>128</v>
      </c>
      <c r="E191" s="76" t="s">
        <v>182</v>
      </c>
      <c r="F191" s="76">
        <v>0</v>
      </c>
      <c r="G191" s="76">
        <v>1</v>
      </c>
      <c r="H191" s="76">
        <f>Tableau6[[#This Row],[Entrée]]-Tableau6[[#This Row],[Sortie]]</f>
        <v>-1</v>
      </c>
    </row>
    <row r="192" spans="1:8" x14ac:dyDescent="0.25">
      <c r="B192" s="75">
        <v>43990</v>
      </c>
      <c r="C192" s="76" t="s">
        <v>95</v>
      </c>
      <c r="D192" s="76" t="s">
        <v>128</v>
      </c>
      <c r="E192" s="76" t="s">
        <v>182</v>
      </c>
      <c r="F192" s="76">
        <v>0</v>
      </c>
      <c r="G192" s="76">
        <v>1</v>
      </c>
      <c r="H192" s="76">
        <f>Tableau6[[#This Row],[Entrée]]-Tableau6[[#This Row],[Sortie]]</f>
        <v>-1</v>
      </c>
    </row>
    <row r="193" spans="1:8" x14ac:dyDescent="0.25">
      <c r="B193" s="75">
        <v>43990</v>
      </c>
      <c r="C193" s="76" t="s">
        <v>18</v>
      </c>
      <c r="D193" s="76" t="s">
        <v>128</v>
      </c>
      <c r="E193" s="76" t="s">
        <v>182</v>
      </c>
      <c r="F193" s="76">
        <v>0</v>
      </c>
      <c r="G193" s="76">
        <v>1</v>
      </c>
      <c r="H193" s="76">
        <f>Tableau6[[#This Row],[Entrée]]-Tableau6[[#This Row],[Sortie]]</f>
        <v>-1</v>
      </c>
    </row>
    <row r="194" spans="1:8" x14ac:dyDescent="0.25">
      <c r="B194" s="75">
        <v>43990</v>
      </c>
      <c r="C194" s="76">
        <v>71007</v>
      </c>
      <c r="D194" s="76" t="s">
        <v>62</v>
      </c>
      <c r="E194" s="76" t="s">
        <v>61</v>
      </c>
      <c r="F194" s="76">
        <v>1</v>
      </c>
      <c r="G194" s="76">
        <v>0</v>
      </c>
      <c r="H194" s="76">
        <f>Tableau6[[#This Row],[Entrée]]-Tableau6[[#This Row],[Sortie]]</f>
        <v>1</v>
      </c>
    </row>
    <row r="195" spans="1:8" x14ac:dyDescent="0.25">
      <c r="B195" s="75">
        <v>43990</v>
      </c>
      <c r="C195" s="76">
        <v>71522</v>
      </c>
      <c r="D195" s="76" t="s">
        <v>62</v>
      </c>
      <c r="E195" s="76" t="s">
        <v>61</v>
      </c>
      <c r="F195" s="76">
        <v>30</v>
      </c>
      <c r="G195" s="76">
        <v>0</v>
      </c>
      <c r="H195" s="76">
        <f>Tableau6[[#This Row],[Entrée]]-Tableau6[[#This Row],[Sortie]]</f>
        <v>30</v>
      </c>
    </row>
    <row r="196" spans="1:8" x14ac:dyDescent="0.25">
      <c r="B196" s="75">
        <v>43990</v>
      </c>
      <c r="C196" s="76" t="s">
        <v>94</v>
      </c>
      <c r="D196" s="76" t="s">
        <v>62</v>
      </c>
      <c r="E196" s="76" t="s">
        <v>61</v>
      </c>
      <c r="F196" s="76">
        <v>60</v>
      </c>
      <c r="G196" s="76">
        <v>0</v>
      </c>
      <c r="H196" s="76">
        <f>Tableau6[[#This Row],[Entrée]]-Tableau6[[#This Row],[Sortie]]</f>
        <v>60</v>
      </c>
    </row>
    <row r="197" spans="1:8" x14ac:dyDescent="0.25">
      <c r="B197" s="75">
        <v>43987</v>
      </c>
      <c r="C197" s="76" t="s">
        <v>112</v>
      </c>
      <c r="D197" s="76" t="s">
        <v>62</v>
      </c>
      <c r="E197" s="76" t="s">
        <v>61</v>
      </c>
      <c r="F197" s="76">
        <v>5</v>
      </c>
      <c r="G197" s="76">
        <v>0</v>
      </c>
      <c r="H197" s="76">
        <f>Tableau6[[#This Row],[Entrée]]-Tableau6[[#This Row],[Sortie]]</f>
        <v>5</v>
      </c>
    </row>
    <row r="198" spans="1:8" x14ac:dyDescent="0.25">
      <c r="B198" s="75">
        <v>43987</v>
      </c>
      <c r="C198" s="76" t="s">
        <v>146</v>
      </c>
      <c r="D198" s="76" t="s">
        <v>62</v>
      </c>
      <c r="E198" s="76" t="s">
        <v>61</v>
      </c>
      <c r="F198" s="76">
        <v>15</v>
      </c>
      <c r="G198" s="76">
        <v>0</v>
      </c>
      <c r="H198" s="76">
        <f>Tableau6[[#This Row],[Entrée]]-Tableau6[[#This Row],[Sortie]]</f>
        <v>15</v>
      </c>
    </row>
    <row r="199" spans="1:8" x14ac:dyDescent="0.25">
      <c r="B199" s="75">
        <v>43987</v>
      </c>
      <c r="C199" s="76" t="s">
        <v>112</v>
      </c>
      <c r="D199" s="76" t="s">
        <v>62</v>
      </c>
      <c r="E199" s="76" t="s">
        <v>61</v>
      </c>
      <c r="F199" s="76">
        <v>2</v>
      </c>
      <c r="G199" s="76">
        <v>0</v>
      </c>
      <c r="H199" s="76">
        <f>Tableau6[[#This Row],[Entrée]]-Tableau6[[#This Row],[Sortie]]</f>
        <v>2</v>
      </c>
    </row>
    <row r="200" spans="1:8" x14ac:dyDescent="0.25">
      <c r="B200" s="75">
        <v>43987</v>
      </c>
      <c r="C200" s="76" t="s">
        <v>146</v>
      </c>
      <c r="D200" s="76" t="s">
        <v>62</v>
      </c>
      <c r="E200" s="76" t="s">
        <v>61</v>
      </c>
      <c r="F200" s="76">
        <v>20</v>
      </c>
      <c r="G200" s="76">
        <v>0</v>
      </c>
      <c r="H200" s="76">
        <f>Tableau6[[#This Row],[Entrée]]-Tableau6[[#This Row],[Sortie]]</f>
        <v>20</v>
      </c>
    </row>
    <row r="201" spans="1:8" x14ac:dyDescent="0.25">
      <c r="B201" s="75">
        <v>43987</v>
      </c>
      <c r="C201" s="76" t="s">
        <v>28</v>
      </c>
      <c r="D201" s="76" t="s">
        <v>137</v>
      </c>
      <c r="E201" s="76" t="s">
        <v>172</v>
      </c>
      <c r="F201" s="76">
        <v>0</v>
      </c>
      <c r="G201" s="76">
        <v>1</v>
      </c>
      <c r="H201" s="76">
        <f>Tableau6[[#This Row],[Entrée]]-Tableau6[[#This Row],[Sortie]]</f>
        <v>-1</v>
      </c>
    </row>
    <row r="202" spans="1:8" x14ac:dyDescent="0.25">
      <c r="A202" s="6"/>
      <c r="B202" s="75">
        <v>43987</v>
      </c>
      <c r="C202" s="76" t="s">
        <v>78</v>
      </c>
      <c r="D202" s="76" t="s">
        <v>84</v>
      </c>
      <c r="E202" s="76" t="s">
        <v>171</v>
      </c>
      <c r="F202" s="76">
        <v>0</v>
      </c>
      <c r="G202" s="76">
        <v>1</v>
      </c>
      <c r="H202" s="76">
        <f>Tableau6[[#This Row],[Entrée]]-Tableau6[[#This Row],[Sortie]]</f>
        <v>-1</v>
      </c>
    </row>
    <row r="203" spans="1:8" x14ac:dyDescent="0.25">
      <c r="A203" s="6"/>
      <c r="B203" s="75">
        <v>43987</v>
      </c>
      <c r="C203" s="76">
        <v>71007</v>
      </c>
      <c r="D203" s="76" t="s">
        <v>84</v>
      </c>
      <c r="E203" s="76" t="s">
        <v>171</v>
      </c>
      <c r="F203" s="76">
        <v>0</v>
      </c>
      <c r="G203" s="76">
        <v>1</v>
      </c>
      <c r="H203" s="76">
        <f>Tableau6[[#This Row],[Entrée]]-Tableau6[[#This Row],[Sortie]]</f>
        <v>-1</v>
      </c>
    </row>
    <row r="204" spans="1:8" x14ac:dyDescent="0.25">
      <c r="A204" s="6"/>
      <c r="B204" s="75">
        <v>43987</v>
      </c>
      <c r="C204" s="76" t="s">
        <v>39</v>
      </c>
      <c r="D204" s="76" t="s">
        <v>86</v>
      </c>
      <c r="E204" s="76" t="s">
        <v>170</v>
      </c>
      <c r="F204" s="76">
        <v>0</v>
      </c>
      <c r="G204" s="76">
        <v>4</v>
      </c>
      <c r="H204" s="76">
        <f>Tableau6[[#This Row],[Entrée]]-Tableau6[[#This Row],[Sortie]]</f>
        <v>-4</v>
      </c>
    </row>
    <row r="205" spans="1:8" x14ac:dyDescent="0.25">
      <c r="A205" s="6"/>
      <c r="B205" s="75">
        <v>43987</v>
      </c>
      <c r="C205" s="76" t="s">
        <v>101</v>
      </c>
      <c r="D205" s="76" t="s">
        <v>88</v>
      </c>
      <c r="E205" s="76" t="s">
        <v>168</v>
      </c>
      <c r="F205" s="76">
        <v>0</v>
      </c>
      <c r="G205" s="76">
        <v>4</v>
      </c>
      <c r="H205" s="76">
        <f>Tableau6[[#This Row],[Entrée]]-Tableau6[[#This Row],[Sortie]]</f>
        <v>-4</v>
      </c>
    </row>
    <row r="206" spans="1:8" x14ac:dyDescent="0.25">
      <c r="A206" s="6"/>
      <c r="B206" s="75">
        <v>43987</v>
      </c>
      <c r="C206" s="76" t="s">
        <v>164</v>
      </c>
      <c r="D206" s="76" t="s">
        <v>88</v>
      </c>
      <c r="E206" s="76" t="s">
        <v>168</v>
      </c>
      <c r="F206" s="76">
        <v>0</v>
      </c>
      <c r="G206" s="76">
        <v>1</v>
      </c>
      <c r="H206" s="76">
        <f>Tableau6[[#This Row],[Entrée]]-Tableau6[[#This Row],[Sortie]]</f>
        <v>-1</v>
      </c>
    </row>
    <row r="207" spans="1:8" x14ac:dyDescent="0.25">
      <c r="A207" s="6"/>
      <c r="B207" s="75">
        <v>43987</v>
      </c>
      <c r="C207" s="76" t="s">
        <v>169</v>
      </c>
      <c r="D207" s="76" t="s">
        <v>88</v>
      </c>
      <c r="E207" s="76" t="s">
        <v>168</v>
      </c>
      <c r="F207" s="76">
        <v>0</v>
      </c>
      <c r="G207" s="76">
        <v>4</v>
      </c>
      <c r="H207" s="76">
        <f>Tableau6[[#This Row],[Entrée]]-Tableau6[[#This Row],[Sortie]]</f>
        <v>-4</v>
      </c>
    </row>
    <row r="208" spans="1:8" x14ac:dyDescent="0.25">
      <c r="A208" s="6"/>
      <c r="B208" s="75">
        <v>43987</v>
      </c>
      <c r="C208" s="76" t="s">
        <v>102</v>
      </c>
      <c r="D208" s="76" t="s">
        <v>88</v>
      </c>
      <c r="E208" s="76" t="s">
        <v>168</v>
      </c>
      <c r="F208" s="76">
        <v>0</v>
      </c>
      <c r="G208" s="76">
        <v>4</v>
      </c>
      <c r="H208" s="76">
        <f>Tableau6[[#This Row],[Entrée]]-Tableau6[[#This Row],[Sortie]]</f>
        <v>-4</v>
      </c>
    </row>
    <row r="209" spans="1:8" x14ac:dyDescent="0.25">
      <c r="A209" s="6"/>
      <c r="B209" s="75">
        <v>43986</v>
      </c>
      <c r="C209" s="76" t="s">
        <v>27</v>
      </c>
      <c r="D209" s="76" t="s">
        <v>86</v>
      </c>
      <c r="E209" s="76" t="s">
        <v>167</v>
      </c>
      <c r="F209" s="76">
        <v>0</v>
      </c>
      <c r="G209" s="76">
        <v>1</v>
      </c>
      <c r="H209" s="76">
        <f>Tableau6[[#This Row],[Entrée]]-Tableau6[[#This Row],[Sortie]]</f>
        <v>-1</v>
      </c>
    </row>
    <row r="210" spans="1:8" x14ac:dyDescent="0.25">
      <c r="A210" s="6"/>
      <c r="B210" s="75">
        <v>43986</v>
      </c>
      <c r="C210" s="76" t="s">
        <v>94</v>
      </c>
      <c r="D210" s="76" t="s">
        <v>84</v>
      </c>
      <c r="E210" s="76" t="s">
        <v>166</v>
      </c>
      <c r="F210" s="76">
        <v>0</v>
      </c>
      <c r="G210" s="76">
        <v>3</v>
      </c>
      <c r="H210" s="76">
        <f>Tableau6[[#This Row],[Entrée]]-Tableau6[[#This Row],[Sortie]]</f>
        <v>-3</v>
      </c>
    </row>
    <row r="211" spans="1:8" x14ac:dyDescent="0.25">
      <c r="A211" s="6"/>
      <c r="B211" s="75">
        <v>43986</v>
      </c>
      <c r="C211" s="76" t="s">
        <v>100</v>
      </c>
      <c r="D211" s="76" t="s">
        <v>57</v>
      </c>
      <c r="E211" s="76" t="s">
        <v>165</v>
      </c>
      <c r="F211" s="76">
        <v>0</v>
      </c>
      <c r="G211" s="76">
        <v>4</v>
      </c>
      <c r="H211" s="76">
        <f>Tableau6[[#This Row],[Entrée]]-Tableau6[[#This Row],[Sortie]]</f>
        <v>-4</v>
      </c>
    </row>
    <row r="212" spans="1:8" x14ac:dyDescent="0.25">
      <c r="A212" s="6"/>
      <c r="B212" s="75">
        <v>43986</v>
      </c>
      <c r="C212" s="76" t="s">
        <v>97</v>
      </c>
      <c r="D212" s="76" t="s">
        <v>57</v>
      </c>
      <c r="E212" s="76" t="s">
        <v>165</v>
      </c>
      <c r="F212" s="76">
        <v>0</v>
      </c>
      <c r="G212" s="76">
        <v>10</v>
      </c>
      <c r="H212" s="76">
        <f>Tableau6[[#This Row],[Entrée]]-Tableau6[[#This Row],[Sortie]]</f>
        <v>-10</v>
      </c>
    </row>
    <row r="213" spans="1:8" x14ac:dyDescent="0.25">
      <c r="A213" s="6"/>
      <c r="B213" s="75">
        <v>43986</v>
      </c>
      <c r="C213" s="76" t="s">
        <v>98</v>
      </c>
      <c r="D213" s="76" t="s">
        <v>57</v>
      </c>
      <c r="E213" s="76" t="s">
        <v>165</v>
      </c>
      <c r="F213" s="76">
        <v>0</v>
      </c>
      <c r="G213" s="76">
        <v>3</v>
      </c>
      <c r="H213" s="76">
        <f>Tableau6[[#This Row],[Entrée]]-Tableau6[[#This Row],[Sortie]]</f>
        <v>-3</v>
      </c>
    </row>
    <row r="214" spans="1:8" x14ac:dyDescent="0.25">
      <c r="B214" s="75">
        <v>43986</v>
      </c>
      <c r="C214" s="76" t="s">
        <v>96</v>
      </c>
      <c r="D214" s="76" t="s">
        <v>57</v>
      </c>
      <c r="E214" s="76" t="s">
        <v>165</v>
      </c>
      <c r="F214" s="76">
        <v>0</v>
      </c>
      <c r="G214" s="76">
        <v>6</v>
      </c>
      <c r="H214" s="76">
        <f>Tableau6[[#This Row],[Entrée]]-Tableau6[[#This Row],[Sortie]]</f>
        <v>-6</v>
      </c>
    </row>
    <row r="215" spans="1:8" x14ac:dyDescent="0.25">
      <c r="B215" s="75">
        <v>43986</v>
      </c>
      <c r="C215" s="76" t="s">
        <v>176</v>
      </c>
      <c r="D215" s="76" t="s">
        <v>57</v>
      </c>
      <c r="E215" s="76" t="s">
        <v>165</v>
      </c>
      <c r="F215" s="76">
        <v>0</v>
      </c>
      <c r="G215" s="76">
        <v>4</v>
      </c>
      <c r="H215" s="76">
        <f>Tableau6[[#This Row],[Entrée]]-Tableau6[[#This Row],[Sortie]]</f>
        <v>-4</v>
      </c>
    </row>
    <row r="216" spans="1:8" x14ac:dyDescent="0.25">
      <c r="B216" s="75">
        <v>43984</v>
      </c>
      <c r="C216" s="76" t="s">
        <v>38</v>
      </c>
      <c r="D216" s="76" t="s">
        <v>86</v>
      </c>
      <c r="E216" s="76" t="s">
        <v>163</v>
      </c>
      <c r="F216" s="76">
        <v>0</v>
      </c>
      <c r="G216" s="76">
        <v>6</v>
      </c>
      <c r="H216" s="76">
        <f>Tableau6[[#This Row],[Entrée]]-Tableau6[[#This Row],[Sortie]]</f>
        <v>-6</v>
      </c>
    </row>
    <row r="217" spans="1:8" x14ac:dyDescent="0.25">
      <c r="B217" s="75">
        <v>43984</v>
      </c>
      <c r="C217" s="76" t="s">
        <v>37</v>
      </c>
      <c r="D217" s="76" t="s">
        <v>86</v>
      </c>
      <c r="E217" s="76" t="s">
        <v>163</v>
      </c>
      <c r="F217" s="76">
        <v>0</v>
      </c>
      <c r="G217" s="76">
        <v>5</v>
      </c>
      <c r="H217" s="76">
        <f>Tableau6[[#This Row],[Entrée]]-Tableau6[[#This Row],[Sortie]]</f>
        <v>-5</v>
      </c>
    </row>
    <row r="218" spans="1:8" x14ac:dyDescent="0.25">
      <c r="B218" s="75">
        <v>43984</v>
      </c>
      <c r="C218" s="76" t="s">
        <v>35</v>
      </c>
      <c r="D218" s="76" t="s">
        <v>86</v>
      </c>
      <c r="E218" s="76" t="s">
        <v>163</v>
      </c>
      <c r="F218" s="76">
        <v>0</v>
      </c>
      <c r="G218" s="76">
        <v>2</v>
      </c>
      <c r="H218" s="76">
        <f>Tableau6[[#This Row],[Entrée]]-Tableau6[[#This Row],[Sortie]]</f>
        <v>-2</v>
      </c>
    </row>
    <row r="219" spans="1:8" x14ac:dyDescent="0.25">
      <c r="B219" s="75">
        <v>43984</v>
      </c>
      <c r="C219" s="76" t="s">
        <v>162</v>
      </c>
      <c r="D219" s="76" t="s">
        <v>86</v>
      </c>
      <c r="E219" s="76" t="s">
        <v>163</v>
      </c>
      <c r="F219" s="76">
        <v>0</v>
      </c>
      <c r="G219" s="76">
        <v>3</v>
      </c>
      <c r="H219" s="76">
        <f>Tableau6[[#This Row],[Entrée]]-Tableau6[[#This Row],[Sortie]]</f>
        <v>-3</v>
      </c>
    </row>
    <row r="220" spans="1:8" x14ac:dyDescent="0.25">
      <c r="B220" s="75">
        <v>43984</v>
      </c>
      <c r="C220" s="76" t="s">
        <v>23</v>
      </c>
      <c r="D220" s="76" t="s">
        <v>128</v>
      </c>
      <c r="E220" s="76" t="s">
        <v>161</v>
      </c>
      <c r="F220" s="76">
        <v>0</v>
      </c>
      <c r="G220" s="76">
        <v>2</v>
      </c>
      <c r="H220" s="76">
        <f>Tableau6[[#This Row],[Entrée]]-Tableau6[[#This Row],[Sortie]]</f>
        <v>-2</v>
      </c>
    </row>
    <row r="221" spans="1:8" x14ac:dyDescent="0.25">
      <c r="B221" s="75">
        <v>43980</v>
      </c>
      <c r="C221" s="76" t="s">
        <v>83</v>
      </c>
      <c r="D221" s="76" t="s">
        <v>128</v>
      </c>
      <c r="E221" s="76" t="s">
        <v>119</v>
      </c>
      <c r="F221" s="76">
        <v>0</v>
      </c>
      <c r="G221" s="76">
        <v>1</v>
      </c>
      <c r="H221" s="76">
        <f>Tableau6[[#This Row],[Entrée]]-Tableau6[[#This Row],[Sortie]]</f>
        <v>-1</v>
      </c>
    </row>
    <row r="222" spans="1:8" x14ac:dyDescent="0.25">
      <c r="B222" s="75">
        <v>43980</v>
      </c>
      <c r="C222" s="76" t="s">
        <v>83</v>
      </c>
      <c r="D222" s="76" t="s">
        <v>128</v>
      </c>
      <c r="E222" s="76" t="s">
        <v>119</v>
      </c>
      <c r="F222" s="76">
        <v>0</v>
      </c>
      <c r="G222" s="76">
        <v>1</v>
      </c>
      <c r="H222" s="76">
        <f>Tableau6[[#This Row],[Entrée]]-Tableau6[[#This Row],[Sortie]]</f>
        <v>-1</v>
      </c>
    </row>
    <row r="223" spans="1:8" x14ac:dyDescent="0.25">
      <c r="B223" s="75">
        <v>43980</v>
      </c>
      <c r="C223" s="76">
        <v>11090</v>
      </c>
      <c r="D223" s="76" t="s">
        <v>128</v>
      </c>
      <c r="E223" s="76" t="s">
        <v>119</v>
      </c>
      <c r="F223" s="76">
        <v>0</v>
      </c>
      <c r="G223" s="76">
        <v>1</v>
      </c>
      <c r="H223" s="76">
        <f>Tableau6[[#This Row],[Entrée]]-Tableau6[[#This Row],[Sortie]]</f>
        <v>-1</v>
      </c>
    </row>
    <row r="224" spans="1:8" x14ac:dyDescent="0.25">
      <c r="B224" s="75">
        <v>43980</v>
      </c>
      <c r="C224" s="76" t="s">
        <v>127</v>
      </c>
      <c r="D224" s="76" t="s">
        <v>124</v>
      </c>
      <c r="E224" s="76"/>
      <c r="F224" s="76">
        <v>0</v>
      </c>
      <c r="G224" s="76">
        <v>3</v>
      </c>
      <c r="H224" s="76">
        <f>Tableau6[[#This Row],[Entrée]]-Tableau6[[#This Row],[Sortie]]</f>
        <v>-3</v>
      </c>
    </row>
    <row r="225" spans="1:8" x14ac:dyDescent="0.25">
      <c r="B225" s="75">
        <v>43980</v>
      </c>
      <c r="C225" s="76" t="s">
        <v>112</v>
      </c>
      <c r="D225" s="76" t="s">
        <v>124</v>
      </c>
      <c r="E225" s="76"/>
      <c r="F225" s="76">
        <v>0</v>
      </c>
      <c r="G225" s="76">
        <v>3</v>
      </c>
      <c r="H225" s="76">
        <f>Tableau6[[#This Row],[Entrée]]-Tableau6[[#This Row],[Sortie]]</f>
        <v>-3</v>
      </c>
    </row>
    <row r="226" spans="1:8" x14ac:dyDescent="0.25">
      <c r="B226" s="75">
        <v>43979</v>
      </c>
      <c r="C226" s="76">
        <v>63621</v>
      </c>
      <c r="D226" s="76" t="s">
        <v>57</v>
      </c>
      <c r="E226" s="76" t="s">
        <v>90</v>
      </c>
      <c r="F226" s="76">
        <v>0</v>
      </c>
      <c r="G226" s="76">
        <v>1</v>
      </c>
      <c r="H226" s="76">
        <f>Tableau6[[#This Row],[Entrée]]-Tableau6[[#This Row],[Sortie]]</f>
        <v>-1</v>
      </c>
    </row>
    <row r="227" spans="1:8" x14ac:dyDescent="0.25">
      <c r="A227" s="6"/>
      <c r="B227" s="75">
        <v>43979</v>
      </c>
      <c r="C227" s="76" t="s">
        <v>77</v>
      </c>
      <c r="D227" s="76" t="s">
        <v>57</v>
      </c>
      <c r="E227" s="76" t="s">
        <v>161</v>
      </c>
      <c r="F227" s="76">
        <v>0</v>
      </c>
      <c r="G227" s="76">
        <v>2</v>
      </c>
      <c r="H227" s="76">
        <f>Tableau6[[#This Row],[Entrée]]-Tableau6[[#This Row],[Sortie]]</f>
        <v>-2</v>
      </c>
    </row>
    <row r="228" spans="1:8" x14ac:dyDescent="0.25">
      <c r="A228" s="6"/>
      <c r="B228" s="75">
        <v>43979</v>
      </c>
      <c r="C228" s="76" t="s">
        <v>83</v>
      </c>
      <c r="D228" s="76" t="s">
        <v>128</v>
      </c>
      <c r="E228" s="76" t="s">
        <v>119</v>
      </c>
      <c r="F228" s="76">
        <v>0</v>
      </c>
      <c r="G228" s="76">
        <v>1</v>
      </c>
      <c r="H228" s="76">
        <f>Tableau6[[#This Row],[Entrée]]-Tableau6[[#This Row],[Sortie]]</f>
        <v>-1</v>
      </c>
    </row>
    <row r="229" spans="1:8" x14ac:dyDescent="0.25">
      <c r="A229" s="6"/>
      <c r="B229" s="75">
        <v>43979</v>
      </c>
      <c r="C229" s="76" t="s">
        <v>160</v>
      </c>
      <c r="D229" s="76" t="s">
        <v>58</v>
      </c>
      <c r="E229" s="76" t="s">
        <v>159</v>
      </c>
      <c r="F229" s="76">
        <v>0</v>
      </c>
      <c r="G229" s="76">
        <v>0</v>
      </c>
      <c r="H229" s="76">
        <f>Tableau6[[#This Row],[Entrée]]-Tableau6[[#This Row],[Sortie]]</f>
        <v>0</v>
      </c>
    </row>
    <row r="230" spans="1:8" x14ac:dyDescent="0.25">
      <c r="A230" s="6"/>
      <c r="B230" s="75">
        <v>43978</v>
      </c>
      <c r="C230" s="76" t="s">
        <v>158</v>
      </c>
      <c r="D230" s="76" t="s">
        <v>84</v>
      </c>
      <c r="E230" s="76" t="s">
        <v>90</v>
      </c>
      <c r="F230" s="76">
        <v>0</v>
      </c>
      <c r="G230" s="76">
        <v>1</v>
      </c>
      <c r="H230" s="76">
        <f>Tableau6[[#This Row],[Entrée]]-Tableau6[[#This Row],[Sortie]]</f>
        <v>-1</v>
      </c>
    </row>
    <row r="231" spans="1:8" x14ac:dyDescent="0.25">
      <c r="A231" s="6"/>
      <c r="B231" s="75">
        <v>43978</v>
      </c>
      <c r="C231" s="76" t="s">
        <v>112</v>
      </c>
      <c r="D231" s="76" t="s">
        <v>57</v>
      </c>
      <c r="E231" s="76" t="s">
        <v>90</v>
      </c>
      <c r="F231" s="76">
        <v>0</v>
      </c>
      <c r="G231" s="76">
        <v>2</v>
      </c>
      <c r="H231" s="76">
        <f>Tableau6[[#This Row],[Entrée]]-Tableau6[[#This Row],[Sortie]]</f>
        <v>-2</v>
      </c>
    </row>
    <row r="232" spans="1:8" x14ac:dyDescent="0.25">
      <c r="A232" s="6"/>
      <c r="B232" s="75">
        <v>43978</v>
      </c>
      <c r="C232" s="76" t="s">
        <v>157</v>
      </c>
      <c r="D232" s="76" t="s">
        <v>57</v>
      </c>
      <c r="E232" s="76" t="s">
        <v>90</v>
      </c>
      <c r="F232" s="76">
        <v>0</v>
      </c>
      <c r="G232" s="76">
        <v>3</v>
      </c>
      <c r="H232" s="76">
        <f>Tableau6[[#This Row],[Entrée]]-Tableau6[[#This Row],[Sortie]]</f>
        <v>-3</v>
      </c>
    </row>
    <row r="233" spans="1:8" x14ac:dyDescent="0.25">
      <c r="A233" s="6"/>
      <c r="B233" s="75">
        <v>43978</v>
      </c>
      <c r="C233" s="76" t="s">
        <v>127</v>
      </c>
      <c r="D233" s="76" t="s">
        <v>57</v>
      </c>
      <c r="E233" s="76" t="s">
        <v>90</v>
      </c>
      <c r="F233" s="76">
        <v>0</v>
      </c>
      <c r="G233" s="76">
        <v>15</v>
      </c>
      <c r="H233" s="76">
        <f>Tableau6[[#This Row],[Entrée]]-Tableau6[[#This Row],[Sortie]]</f>
        <v>-15</v>
      </c>
    </row>
    <row r="234" spans="1:8" x14ac:dyDescent="0.25">
      <c r="A234" s="6"/>
      <c r="B234" s="75">
        <v>43977</v>
      </c>
      <c r="C234" s="76" t="s">
        <v>127</v>
      </c>
      <c r="D234" s="76" t="s">
        <v>60</v>
      </c>
      <c r="E234" s="76" t="s">
        <v>90</v>
      </c>
      <c r="F234" s="76">
        <v>0</v>
      </c>
      <c r="G234" s="76">
        <v>3</v>
      </c>
      <c r="H234" s="76">
        <f>Tableau6[[#This Row],[Entrée]]-Tableau6[[#This Row],[Sortie]]</f>
        <v>-3</v>
      </c>
    </row>
    <row r="235" spans="1:8" x14ac:dyDescent="0.25">
      <c r="A235" s="6"/>
      <c r="B235" s="75">
        <v>43976</v>
      </c>
      <c r="C235" s="76" t="s">
        <v>104</v>
      </c>
      <c r="D235" s="76" t="s">
        <v>137</v>
      </c>
      <c r="E235" s="76" t="s">
        <v>90</v>
      </c>
      <c r="F235" s="76">
        <v>0</v>
      </c>
      <c r="G235" s="76">
        <v>4</v>
      </c>
      <c r="H235" s="76">
        <f>Tableau6[[#This Row],[Entrée]]-Tableau6[[#This Row],[Sortie]]</f>
        <v>-4</v>
      </c>
    </row>
    <row r="236" spans="1:8" x14ac:dyDescent="0.25">
      <c r="A236" s="6"/>
      <c r="B236" s="75">
        <v>43976</v>
      </c>
      <c r="C236" s="76" t="s">
        <v>136</v>
      </c>
      <c r="D236" s="76" t="s">
        <v>138</v>
      </c>
      <c r="E236" s="76" t="s">
        <v>90</v>
      </c>
      <c r="F236" s="76">
        <v>0</v>
      </c>
      <c r="G236" s="76">
        <v>1</v>
      </c>
      <c r="H236" s="76">
        <f>Tableau6[[#This Row],[Entrée]]-Tableau6[[#This Row],[Sortie]]</f>
        <v>-1</v>
      </c>
    </row>
    <row r="237" spans="1:8" x14ac:dyDescent="0.25">
      <c r="A237" s="6"/>
      <c r="B237" s="75">
        <v>43976</v>
      </c>
      <c r="C237" s="76" t="s">
        <v>111</v>
      </c>
      <c r="D237" s="76" t="s">
        <v>58</v>
      </c>
      <c r="E237" s="76"/>
      <c r="F237" s="76">
        <v>0</v>
      </c>
      <c r="G237" s="76"/>
      <c r="H237" s="76">
        <f>Tableau6[[#This Row],[Entrée]]-Tableau6[[#This Row],[Sortie]]</f>
        <v>0</v>
      </c>
    </row>
    <row r="238" spans="1:8" x14ac:dyDescent="0.25">
      <c r="A238" s="6"/>
      <c r="B238" s="75">
        <v>43976</v>
      </c>
      <c r="C238" s="76" t="s">
        <v>111</v>
      </c>
      <c r="D238" s="76" t="s">
        <v>58</v>
      </c>
      <c r="E238" s="76"/>
      <c r="F238" s="76">
        <v>0</v>
      </c>
      <c r="G238" s="76"/>
      <c r="H238" s="76">
        <f>Tableau6[[#This Row],[Entrée]]-Tableau6[[#This Row],[Sortie]]</f>
        <v>0</v>
      </c>
    </row>
    <row r="239" spans="1:8" x14ac:dyDescent="0.25">
      <c r="A239" s="6"/>
      <c r="B239" s="75">
        <v>43976</v>
      </c>
      <c r="C239" s="76" t="s">
        <v>135</v>
      </c>
      <c r="D239" s="76" t="s">
        <v>58</v>
      </c>
      <c r="E239" s="76"/>
      <c r="F239" s="76">
        <v>0</v>
      </c>
      <c r="G239" s="76"/>
      <c r="H239" s="76">
        <f>Tableau6[[#This Row],[Entrée]]-Tableau6[[#This Row],[Sortie]]</f>
        <v>0</v>
      </c>
    </row>
    <row r="240" spans="1:8" x14ac:dyDescent="0.25">
      <c r="A240" s="6"/>
      <c r="B240" s="75">
        <v>43976</v>
      </c>
      <c r="C240" s="76" t="s">
        <v>135</v>
      </c>
      <c r="D240" s="76" t="s">
        <v>58</v>
      </c>
      <c r="E240" s="76"/>
      <c r="F240" s="76">
        <v>0</v>
      </c>
      <c r="G240" s="76"/>
      <c r="H240" s="76">
        <f>Tableau6[[#This Row],[Entrée]]-Tableau6[[#This Row],[Sortie]]</f>
        <v>0</v>
      </c>
    </row>
    <row r="241" spans="1:8" x14ac:dyDescent="0.25">
      <c r="A241" s="6"/>
      <c r="B241" s="75">
        <v>43976</v>
      </c>
      <c r="C241" s="76" t="s">
        <v>135</v>
      </c>
      <c r="D241" s="76" t="s">
        <v>58</v>
      </c>
      <c r="E241" s="76"/>
      <c r="F241" s="76">
        <v>0</v>
      </c>
      <c r="G241" s="76"/>
      <c r="H241" s="76">
        <f>Tableau6[[#This Row],[Entrée]]-Tableau6[[#This Row],[Sortie]]</f>
        <v>0</v>
      </c>
    </row>
    <row r="242" spans="1:8" x14ac:dyDescent="0.25">
      <c r="A242" s="6"/>
      <c r="B242" s="75">
        <v>43976</v>
      </c>
      <c r="C242" s="76" t="s">
        <v>40</v>
      </c>
      <c r="D242" s="76" t="s">
        <v>60</v>
      </c>
      <c r="E242" s="76" t="s">
        <v>134</v>
      </c>
      <c r="F242" s="76">
        <v>0</v>
      </c>
      <c r="G242" s="76">
        <v>1</v>
      </c>
      <c r="H242" s="76">
        <f>Tableau6[[#This Row],[Entrée]]-Tableau6[[#This Row],[Sortie]]</f>
        <v>-1</v>
      </c>
    </row>
    <row r="243" spans="1:8" x14ac:dyDescent="0.25">
      <c r="A243" s="6"/>
      <c r="B243" s="75">
        <v>43971</v>
      </c>
      <c r="C243" s="76" t="s">
        <v>80</v>
      </c>
      <c r="D243" s="76" t="s">
        <v>128</v>
      </c>
      <c r="E243" s="76" t="s">
        <v>119</v>
      </c>
      <c r="F243" s="76">
        <v>0</v>
      </c>
      <c r="G243" s="76">
        <v>1</v>
      </c>
      <c r="H243" s="76">
        <f>Tableau6[[#This Row],[Entrée]]-Tableau6[[#This Row],[Sortie]]</f>
        <v>-1</v>
      </c>
    </row>
    <row r="244" spans="1:8" x14ac:dyDescent="0.25">
      <c r="A244" s="6"/>
      <c r="B244" s="75">
        <v>43971</v>
      </c>
      <c r="C244" s="76" t="s">
        <v>80</v>
      </c>
      <c r="D244" s="76" t="s">
        <v>128</v>
      </c>
      <c r="E244" s="76" t="s">
        <v>119</v>
      </c>
      <c r="F244" s="76">
        <v>0</v>
      </c>
      <c r="G244" s="76">
        <v>1</v>
      </c>
      <c r="H244" s="76">
        <f>Tableau6[[#This Row],[Entrée]]-Tableau6[[#This Row],[Sortie]]</f>
        <v>-1</v>
      </c>
    </row>
    <row r="245" spans="1:8" x14ac:dyDescent="0.25">
      <c r="A245" s="6"/>
      <c r="B245" s="75">
        <v>43971</v>
      </c>
      <c r="C245" s="76" t="s">
        <v>80</v>
      </c>
      <c r="D245" s="76" t="s">
        <v>128</v>
      </c>
      <c r="E245" s="76" t="s">
        <v>119</v>
      </c>
      <c r="F245" s="76">
        <v>0</v>
      </c>
      <c r="G245" s="76">
        <v>3</v>
      </c>
      <c r="H245" s="76">
        <f>Tableau6[[#This Row],[Entrée]]-Tableau6[[#This Row],[Sortie]]</f>
        <v>-3</v>
      </c>
    </row>
    <row r="246" spans="1:8" x14ac:dyDescent="0.25">
      <c r="B246" s="75">
        <v>43971</v>
      </c>
      <c r="C246" s="76" t="s">
        <v>42</v>
      </c>
      <c r="D246" s="76" t="s">
        <v>86</v>
      </c>
      <c r="E246" s="76" t="s">
        <v>133</v>
      </c>
      <c r="F246" s="76">
        <v>0</v>
      </c>
      <c r="G246" s="76">
        <v>3</v>
      </c>
      <c r="H246" s="76">
        <f>Tableau6[[#This Row],[Entrée]]-Tableau6[[#This Row],[Sortie]]</f>
        <v>-3</v>
      </c>
    </row>
    <row r="247" spans="1:8" x14ac:dyDescent="0.25">
      <c r="B247" s="75">
        <v>43971</v>
      </c>
      <c r="C247" s="76" t="s">
        <v>28</v>
      </c>
      <c r="D247" s="76" t="s">
        <v>86</v>
      </c>
      <c r="E247" s="76" t="s">
        <v>132</v>
      </c>
      <c r="F247" s="76">
        <v>0</v>
      </c>
      <c r="G247" s="76">
        <v>2</v>
      </c>
      <c r="H247" s="76">
        <f>Tableau6[[#This Row],[Entrée]]-Tableau6[[#This Row],[Sortie]]</f>
        <v>-2</v>
      </c>
    </row>
    <row r="248" spans="1:8" x14ac:dyDescent="0.25">
      <c r="B248" s="75">
        <v>43971</v>
      </c>
      <c r="C248" s="76" t="s">
        <v>129</v>
      </c>
      <c r="D248" s="76" t="s">
        <v>128</v>
      </c>
      <c r="E248" s="76"/>
      <c r="F248" s="76">
        <v>0</v>
      </c>
      <c r="G248" s="76">
        <v>2</v>
      </c>
      <c r="H248" s="76">
        <f>Tableau6[[#This Row],[Entrée]]-Tableau6[[#This Row],[Sortie]]</f>
        <v>-2</v>
      </c>
    </row>
    <row r="249" spans="1:8" x14ac:dyDescent="0.25">
      <c r="B249" s="75">
        <v>43971</v>
      </c>
      <c r="C249" s="76" t="s">
        <v>130</v>
      </c>
      <c r="D249" s="76" t="s">
        <v>128</v>
      </c>
      <c r="E249" s="76"/>
      <c r="F249" s="76">
        <v>0</v>
      </c>
      <c r="G249" s="76">
        <v>2</v>
      </c>
      <c r="H249" s="76">
        <f>Tableau6[[#This Row],[Entrée]]-Tableau6[[#This Row],[Sortie]]</f>
        <v>-2</v>
      </c>
    </row>
    <row r="250" spans="1:8" x14ac:dyDescent="0.25">
      <c r="B250" s="75">
        <v>43971</v>
      </c>
      <c r="C250" s="76" t="s">
        <v>131</v>
      </c>
      <c r="D250" s="76" t="s">
        <v>128</v>
      </c>
      <c r="E250" s="76"/>
      <c r="F250" s="76">
        <v>0</v>
      </c>
      <c r="G250" s="76">
        <v>2</v>
      </c>
      <c r="H250" s="76">
        <f>Tableau6[[#This Row],[Entrée]]-Tableau6[[#This Row],[Sortie]]</f>
        <v>-2</v>
      </c>
    </row>
    <row r="251" spans="1:8" x14ac:dyDescent="0.25">
      <c r="B251" s="75">
        <v>43970</v>
      </c>
      <c r="C251" s="76" t="s">
        <v>37</v>
      </c>
      <c r="D251" s="76" t="s">
        <v>56</v>
      </c>
      <c r="E251" s="76" t="s">
        <v>114</v>
      </c>
      <c r="F251" s="76">
        <v>0</v>
      </c>
      <c r="G251" s="76">
        <v>1</v>
      </c>
      <c r="H251" s="76">
        <f>Tableau6[[#This Row],[Entrée]]-Tableau6[[#This Row],[Sortie]]</f>
        <v>-1</v>
      </c>
    </row>
    <row r="252" spans="1:8" x14ac:dyDescent="0.25">
      <c r="B252" s="75">
        <v>43970</v>
      </c>
      <c r="C252" s="76" t="s">
        <v>38</v>
      </c>
      <c r="D252" s="76" t="s">
        <v>56</v>
      </c>
      <c r="E252" s="76" t="s">
        <v>114</v>
      </c>
      <c r="F252" s="76">
        <v>0</v>
      </c>
      <c r="G252" s="76">
        <v>1</v>
      </c>
      <c r="H252" s="76">
        <f>Tableau6[[#This Row],[Entrée]]-Tableau6[[#This Row],[Sortie]]</f>
        <v>-1</v>
      </c>
    </row>
    <row r="253" spans="1:8" x14ac:dyDescent="0.25">
      <c r="B253" s="75">
        <v>43970</v>
      </c>
      <c r="C253" s="76" t="s">
        <v>127</v>
      </c>
      <c r="D253" s="76" t="s">
        <v>57</v>
      </c>
      <c r="E253" s="76"/>
      <c r="F253" s="76">
        <v>0</v>
      </c>
      <c r="G253" s="76">
        <v>4</v>
      </c>
      <c r="H253" s="76">
        <f>Tableau6[[#This Row],[Entrée]]-Tableau6[[#This Row],[Sortie]]</f>
        <v>-4</v>
      </c>
    </row>
    <row r="254" spans="1:8" x14ac:dyDescent="0.25">
      <c r="B254" s="75">
        <v>43970</v>
      </c>
      <c r="C254" s="76" t="s">
        <v>31</v>
      </c>
      <c r="D254" s="76" t="s">
        <v>57</v>
      </c>
      <c r="E254" s="76"/>
      <c r="F254" s="76">
        <v>0</v>
      </c>
      <c r="G254" s="76">
        <v>4</v>
      </c>
      <c r="H254" s="76">
        <f>Tableau6[[#This Row],[Entrée]]-Tableau6[[#This Row],[Sortie]]</f>
        <v>-4</v>
      </c>
    </row>
    <row r="255" spans="1:8" x14ac:dyDescent="0.25">
      <c r="B255" s="75">
        <v>43970</v>
      </c>
      <c r="C255" s="76" t="s">
        <v>112</v>
      </c>
      <c r="D255" s="76" t="s">
        <v>57</v>
      </c>
      <c r="E255" s="76"/>
      <c r="F255" s="76">
        <v>0</v>
      </c>
      <c r="G255" s="76">
        <v>1</v>
      </c>
      <c r="H255" s="76">
        <f>Tableau6[[#This Row],[Entrée]]-Tableau6[[#This Row],[Sortie]]</f>
        <v>-1</v>
      </c>
    </row>
    <row r="256" spans="1:8" x14ac:dyDescent="0.25">
      <c r="B256" s="75">
        <v>43970</v>
      </c>
      <c r="C256" s="76" t="s">
        <v>125</v>
      </c>
      <c r="D256" s="76" t="s">
        <v>58</v>
      </c>
      <c r="E256" s="76"/>
      <c r="F256" s="76">
        <v>0</v>
      </c>
      <c r="G256" s="76">
        <v>1</v>
      </c>
      <c r="H256" s="76">
        <f>Tableau6[[#This Row],[Entrée]]-Tableau6[[#This Row],[Sortie]]</f>
        <v>-1</v>
      </c>
    </row>
    <row r="257" spans="2:8" x14ac:dyDescent="0.25">
      <c r="B257" s="75">
        <v>43970</v>
      </c>
      <c r="C257" s="76"/>
      <c r="D257" s="76" t="s">
        <v>58</v>
      </c>
      <c r="E257" s="76"/>
      <c r="F257" s="76">
        <v>0</v>
      </c>
      <c r="G257" s="76">
        <v>1</v>
      </c>
      <c r="H257" s="76">
        <f>Tableau6[[#This Row],[Entrée]]-Tableau6[[#This Row],[Sortie]]</f>
        <v>-1</v>
      </c>
    </row>
    <row r="258" spans="2:8" x14ac:dyDescent="0.25">
      <c r="B258" s="75">
        <v>43969</v>
      </c>
      <c r="C258" s="76" t="s">
        <v>117</v>
      </c>
      <c r="D258" s="76" t="s">
        <v>89</v>
      </c>
      <c r="E258" s="76" t="s">
        <v>90</v>
      </c>
      <c r="F258" s="76">
        <v>0</v>
      </c>
      <c r="G258" s="76">
        <v>3</v>
      </c>
      <c r="H258" s="76">
        <f>Tableau6[[#This Row],[Entrée]]-Tableau6[[#This Row],[Sortie]]</f>
        <v>-3</v>
      </c>
    </row>
    <row r="259" spans="2:8" x14ac:dyDescent="0.25">
      <c r="B259" s="75">
        <v>43969</v>
      </c>
      <c r="C259" s="76" t="s">
        <v>122</v>
      </c>
      <c r="D259" s="76" t="s">
        <v>124</v>
      </c>
      <c r="E259" s="76" t="s">
        <v>90</v>
      </c>
      <c r="F259" s="76">
        <v>0</v>
      </c>
      <c r="G259" s="76">
        <v>1</v>
      </c>
      <c r="H259" s="76">
        <f>Tableau6[[#This Row],[Entrée]]-Tableau6[[#This Row],[Sortie]]</f>
        <v>-1</v>
      </c>
    </row>
    <row r="260" spans="2:8" x14ac:dyDescent="0.25">
      <c r="B260" s="75">
        <v>43969</v>
      </c>
      <c r="C260" s="76" t="s">
        <v>126</v>
      </c>
      <c r="D260" s="76" t="s">
        <v>124</v>
      </c>
      <c r="E260" s="76" t="s">
        <v>90</v>
      </c>
      <c r="F260" s="76">
        <v>0</v>
      </c>
      <c r="G260" s="76">
        <v>1</v>
      </c>
      <c r="H260" s="76">
        <f>Tableau6[[#This Row],[Entrée]]-Tableau6[[#This Row],[Sortie]]</f>
        <v>-1</v>
      </c>
    </row>
    <row r="261" spans="2:8" x14ac:dyDescent="0.25">
      <c r="B261" s="75">
        <v>43969</v>
      </c>
      <c r="C261" s="76" t="s">
        <v>117</v>
      </c>
      <c r="D261" s="76" t="s">
        <v>124</v>
      </c>
      <c r="E261" s="76" t="s">
        <v>90</v>
      </c>
      <c r="F261" s="76">
        <v>0</v>
      </c>
      <c r="G261" s="76">
        <v>1</v>
      </c>
      <c r="H261" s="76">
        <f>Tableau6[[#This Row],[Entrée]]-Tableau6[[#This Row],[Sortie]]</f>
        <v>-1</v>
      </c>
    </row>
    <row r="262" spans="2:8" x14ac:dyDescent="0.25">
      <c r="B262" s="75">
        <v>43969</v>
      </c>
      <c r="C262" s="76" t="s">
        <v>125</v>
      </c>
      <c r="D262" s="76" t="s">
        <v>124</v>
      </c>
      <c r="E262" s="76" t="s">
        <v>120</v>
      </c>
      <c r="F262" s="76">
        <v>0</v>
      </c>
      <c r="G262" s="76">
        <v>2</v>
      </c>
      <c r="H262" s="76">
        <f>Tableau6[[#This Row],[Entrée]]-Tableau6[[#This Row],[Sortie]]</f>
        <v>-2</v>
      </c>
    </row>
    <row r="263" spans="2:8" x14ac:dyDescent="0.25">
      <c r="B263" s="75">
        <v>43969</v>
      </c>
      <c r="C263" s="76" t="s">
        <v>113</v>
      </c>
      <c r="D263" s="76" t="s">
        <v>124</v>
      </c>
      <c r="E263" s="76" t="s">
        <v>120</v>
      </c>
      <c r="F263" s="76">
        <v>0</v>
      </c>
      <c r="G263" s="76">
        <v>6</v>
      </c>
      <c r="H263" s="76">
        <f>Tableau6[[#This Row],[Entrée]]-Tableau6[[#This Row],[Sortie]]</f>
        <v>-6</v>
      </c>
    </row>
    <row r="264" spans="2:8" x14ac:dyDescent="0.25">
      <c r="B264" s="75">
        <v>43966</v>
      </c>
      <c r="C264" s="76" t="s">
        <v>122</v>
      </c>
      <c r="D264" s="76" t="s">
        <v>118</v>
      </c>
      <c r="E264" s="76" t="s">
        <v>119</v>
      </c>
      <c r="F264" s="76">
        <v>0</v>
      </c>
      <c r="G264" s="76">
        <v>1</v>
      </c>
      <c r="H264" s="76">
        <f>Tableau6[[#This Row],[Entrée]]-Tableau6[[#This Row],[Sortie]]</f>
        <v>-1</v>
      </c>
    </row>
    <row r="265" spans="2:8" x14ac:dyDescent="0.25">
      <c r="B265" s="75">
        <v>43966</v>
      </c>
      <c r="C265" s="76" t="s">
        <v>121</v>
      </c>
      <c r="D265" s="76" t="s">
        <v>118</v>
      </c>
      <c r="E265" s="76" t="s">
        <v>119</v>
      </c>
      <c r="F265" s="76">
        <v>0</v>
      </c>
      <c r="G265" s="76">
        <v>8</v>
      </c>
      <c r="H265" s="76">
        <f>Tableau6[[#This Row],[Entrée]]-Tableau6[[#This Row],[Sortie]]</f>
        <v>-8</v>
      </c>
    </row>
    <row r="266" spans="2:8" x14ac:dyDescent="0.25">
      <c r="B266" s="75">
        <v>43966</v>
      </c>
      <c r="C266" s="76" t="s">
        <v>116</v>
      </c>
      <c r="D266" s="76" t="s">
        <v>118</v>
      </c>
      <c r="E266" s="76" t="s">
        <v>119</v>
      </c>
      <c r="F266" s="76">
        <v>0</v>
      </c>
      <c r="G266" s="76">
        <v>1</v>
      </c>
      <c r="H266" s="76">
        <f>Tableau6[[#This Row],[Entrée]]-Tableau6[[#This Row],[Sortie]]</f>
        <v>-1</v>
      </c>
    </row>
    <row r="267" spans="2:8" x14ac:dyDescent="0.25">
      <c r="B267" s="75">
        <v>43966</v>
      </c>
      <c r="C267" s="76" t="s">
        <v>115</v>
      </c>
      <c r="D267" s="76" t="s">
        <v>118</v>
      </c>
      <c r="E267" s="76" t="s">
        <v>119</v>
      </c>
      <c r="F267" s="76">
        <v>0</v>
      </c>
      <c r="G267" s="76">
        <v>4</v>
      </c>
      <c r="H267" s="76">
        <f>Tableau6[[#This Row],[Entrée]]-Tableau6[[#This Row],[Sortie]]</f>
        <v>-4</v>
      </c>
    </row>
    <row r="268" spans="2:8" x14ac:dyDescent="0.25">
      <c r="B268" s="75">
        <v>43966</v>
      </c>
      <c r="C268" s="76" t="s">
        <v>38</v>
      </c>
      <c r="D268" s="76" t="s">
        <v>118</v>
      </c>
      <c r="E268" s="76" t="s">
        <v>114</v>
      </c>
      <c r="F268" s="76">
        <v>0</v>
      </c>
      <c r="G268" s="76">
        <v>1</v>
      </c>
      <c r="H268" s="76">
        <f>Tableau6[[#This Row],[Entrée]]-Tableau6[[#This Row],[Sortie]]</f>
        <v>-1</v>
      </c>
    </row>
    <row r="269" spans="2:8" x14ac:dyDescent="0.25">
      <c r="B269" s="75">
        <v>43966</v>
      </c>
      <c r="C269" s="76" t="s">
        <v>37</v>
      </c>
      <c r="D269" s="76" t="s">
        <v>118</v>
      </c>
      <c r="E269" s="76" t="s">
        <v>114</v>
      </c>
      <c r="F269" s="76">
        <v>0</v>
      </c>
      <c r="G269" s="76">
        <v>1</v>
      </c>
      <c r="H269" s="76">
        <f>Tableau6[[#This Row],[Entrée]]-Tableau6[[#This Row],[Sortie]]</f>
        <v>-1</v>
      </c>
    </row>
    <row r="270" spans="2:8" x14ac:dyDescent="0.25">
      <c r="B270" s="9"/>
      <c r="C270" s="10"/>
      <c r="D270" s="10"/>
      <c r="E270" s="10"/>
      <c r="F270" s="10"/>
      <c r="G270" s="10"/>
      <c r="H270" s="10"/>
    </row>
    <row r="271" spans="2:8" x14ac:dyDescent="0.25">
      <c r="B271" s="9"/>
      <c r="C271" s="10"/>
      <c r="D271" s="10"/>
      <c r="E271" s="10"/>
      <c r="F271" s="10"/>
      <c r="G271" s="10"/>
      <c r="H271" s="10"/>
    </row>
    <row r="272" spans="2:8" x14ac:dyDescent="0.25">
      <c r="B272" s="9"/>
      <c r="C272" s="10"/>
      <c r="D272" s="10"/>
      <c r="E272" s="10"/>
      <c r="F272" s="10"/>
      <c r="G272" s="10"/>
      <c r="H272" s="10"/>
    </row>
    <row r="273" spans="2:8" x14ac:dyDescent="0.25">
      <c r="B273" s="9"/>
      <c r="C273" s="10"/>
      <c r="D273" s="10"/>
      <c r="E273" s="10"/>
      <c r="F273" s="10"/>
      <c r="G273" s="10"/>
      <c r="H273" s="10"/>
    </row>
    <row r="274" spans="2:8" x14ac:dyDescent="0.25">
      <c r="B274" s="9"/>
      <c r="C274" s="10"/>
      <c r="D274" s="10"/>
      <c r="E274" s="10"/>
      <c r="F274" s="10"/>
      <c r="G274" s="10"/>
      <c r="H274" s="10"/>
    </row>
    <row r="275" spans="2:8" x14ac:dyDescent="0.25">
      <c r="B275" s="9"/>
      <c r="C275" s="10"/>
      <c r="D275" s="10"/>
      <c r="E275" s="10"/>
      <c r="F275" s="10"/>
      <c r="G275" s="10"/>
      <c r="H275" s="10"/>
    </row>
    <row r="276" spans="2:8" x14ac:dyDescent="0.25">
      <c r="B276" s="9"/>
      <c r="C276" s="10"/>
      <c r="D276" s="10"/>
      <c r="E276" s="10"/>
      <c r="F276" s="10"/>
      <c r="G276" s="10"/>
      <c r="H276" s="10"/>
    </row>
    <row r="277" spans="2:8" x14ac:dyDescent="0.25">
      <c r="B277" s="9"/>
      <c r="C277" s="10"/>
      <c r="D277" s="10"/>
      <c r="E277" s="10"/>
      <c r="F277" s="10"/>
      <c r="G277" s="10"/>
      <c r="H277" s="10"/>
    </row>
    <row r="278" spans="2:8" x14ac:dyDescent="0.25">
      <c r="B278" s="9"/>
      <c r="C278" s="10"/>
      <c r="D278" s="10"/>
      <c r="E278" s="10"/>
      <c r="F278" s="10"/>
      <c r="G278" s="10"/>
      <c r="H278" s="10"/>
    </row>
    <row r="279" spans="2:8" x14ac:dyDescent="0.25">
      <c r="B279" s="9"/>
      <c r="C279" s="10"/>
      <c r="D279" s="10"/>
      <c r="E279" s="10"/>
      <c r="F279" s="10"/>
      <c r="G279" s="10"/>
      <c r="H279" s="10"/>
    </row>
    <row r="280" spans="2:8" x14ac:dyDescent="0.25">
      <c r="B280" s="9"/>
      <c r="C280" s="10"/>
      <c r="D280" s="10"/>
      <c r="E280" s="10"/>
      <c r="F280" s="10"/>
      <c r="G280" s="10"/>
      <c r="H280" s="10"/>
    </row>
    <row r="281" spans="2:8" x14ac:dyDescent="0.25">
      <c r="B281" s="9"/>
      <c r="C281" s="10"/>
      <c r="D281" s="10"/>
      <c r="E281" s="10"/>
      <c r="F281" s="10"/>
      <c r="G281" s="10"/>
      <c r="H281" s="10"/>
    </row>
    <row r="282" spans="2:8" x14ac:dyDescent="0.25">
      <c r="B282" s="9"/>
      <c r="C282" s="10"/>
      <c r="D282" s="10"/>
      <c r="E282" s="10"/>
      <c r="F282" s="10"/>
      <c r="G282" s="10"/>
      <c r="H282" s="10"/>
    </row>
    <row r="283" spans="2:8" x14ac:dyDescent="0.25">
      <c r="B283" s="9"/>
      <c r="C283" s="10"/>
      <c r="D283" s="10"/>
      <c r="E283" s="10"/>
      <c r="F283" s="10"/>
      <c r="G283" s="10"/>
      <c r="H283" s="10"/>
    </row>
    <row r="284" spans="2:8" x14ac:dyDescent="0.25">
      <c r="B284" s="9"/>
      <c r="C284" s="10"/>
      <c r="D284" s="10"/>
      <c r="E284" s="10"/>
      <c r="F284" s="10"/>
      <c r="G284" s="10"/>
      <c r="H284" s="10"/>
    </row>
    <row r="285" spans="2:8" x14ac:dyDescent="0.25">
      <c r="B285" s="9"/>
      <c r="C285" s="10"/>
      <c r="D285" s="10"/>
      <c r="E285" s="10"/>
      <c r="F285" s="10"/>
      <c r="G285" s="10"/>
      <c r="H285" s="10"/>
    </row>
    <row r="286" spans="2:8" x14ac:dyDescent="0.25">
      <c r="B286" s="9"/>
      <c r="C286" s="10"/>
      <c r="D286" s="10"/>
      <c r="E286" s="10"/>
      <c r="F286" s="10"/>
      <c r="G286" s="10"/>
      <c r="H286" s="10"/>
    </row>
    <row r="287" spans="2:8" x14ac:dyDescent="0.25">
      <c r="B287" s="9"/>
      <c r="C287" s="10"/>
      <c r="D287" s="10"/>
      <c r="E287" s="10"/>
      <c r="F287" s="10"/>
      <c r="G287" s="10"/>
      <c r="H287" s="10"/>
    </row>
    <row r="288" spans="2:8" x14ac:dyDescent="0.25">
      <c r="B288" s="9"/>
      <c r="C288" s="10"/>
      <c r="D288" s="10"/>
      <c r="E288" s="10"/>
      <c r="F288" s="10"/>
      <c r="G288" s="10"/>
      <c r="H288" s="10"/>
    </row>
    <row r="289" spans="2:8" x14ac:dyDescent="0.25">
      <c r="B289" s="9"/>
      <c r="C289" s="10"/>
      <c r="D289" s="10"/>
      <c r="E289" s="10"/>
      <c r="F289" s="10"/>
      <c r="G289" s="10"/>
      <c r="H289" s="10"/>
    </row>
    <row r="290" spans="2:8" x14ac:dyDescent="0.25">
      <c r="B290" s="9"/>
      <c r="C290" s="10"/>
      <c r="D290" s="10"/>
      <c r="E290" s="10"/>
      <c r="F290" s="10"/>
      <c r="G290" s="10"/>
      <c r="H290" s="10"/>
    </row>
    <row r="291" spans="2:8" x14ac:dyDescent="0.25">
      <c r="B291" s="9"/>
      <c r="C291" s="10"/>
      <c r="D291" s="10"/>
      <c r="E291" s="10"/>
      <c r="F291" s="10"/>
      <c r="G291" s="10"/>
      <c r="H291" s="10"/>
    </row>
    <row r="292" spans="2:8" x14ac:dyDescent="0.25">
      <c r="B292" s="9"/>
      <c r="C292" s="10"/>
      <c r="D292" s="10"/>
      <c r="E292" s="10"/>
      <c r="F292" s="10"/>
      <c r="G292" s="10"/>
      <c r="H292" s="10"/>
    </row>
    <row r="293" spans="2:8" x14ac:dyDescent="0.25">
      <c r="B293" s="9"/>
      <c r="C293" s="10"/>
      <c r="D293" s="10"/>
      <c r="E293" s="10"/>
      <c r="F293" s="10"/>
      <c r="G293" s="10"/>
      <c r="H293" s="10"/>
    </row>
    <row r="294" spans="2:8" x14ac:dyDescent="0.25">
      <c r="B294" s="9"/>
      <c r="C294" s="10"/>
      <c r="D294" s="10"/>
      <c r="E294" s="10"/>
      <c r="F294" s="10"/>
      <c r="G294" s="10"/>
      <c r="H294" s="10"/>
    </row>
    <row r="295" spans="2:8" x14ac:dyDescent="0.25">
      <c r="B295" s="9"/>
      <c r="C295" s="10"/>
      <c r="D295" s="10"/>
      <c r="E295" s="10"/>
      <c r="F295" s="10"/>
      <c r="G295" s="10"/>
      <c r="H295" s="10"/>
    </row>
    <row r="296" spans="2:8" x14ac:dyDescent="0.25">
      <c r="B296" s="9"/>
      <c r="C296" s="10"/>
      <c r="D296" s="10"/>
      <c r="E296" s="10"/>
      <c r="F296" s="10"/>
      <c r="G296" s="10"/>
      <c r="H296" s="10"/>
    </row>
    <row r="297" spans="2:8" x14ac:dyDescent="0.25">
      <c r="B297" s="9"/>
      <c r="C297" s="10"/>
      <c r="D297" s="10"/>
      <c r="E297" s="10"/>
      <c r="F297" s="10"/>
      <c r="G297" s="10"/>
      <c r="H297" s="10"/>
    </row>
    <row r="298" spans="2:8" x14ac:dyDescent="0.25">
      <c r="B298" s="9"/>
      <c r="C298" s="10"/>
      <c r="D298" s="10"/>
      <c r="E298" s="10"/>
      <c r="F298" s="10"/>
      <c r="G298" s="10"/>
      <c r="H298" s="10"/>
    </row>
    <row r="299" spans="2:8" x14ac:dyDescent="0.25">
      <c r="B299" s="9"/>
      <c r="C299" s="10"/>
      <c r="D299" s="10"/>
      <c r="E299" s="10"/>
      <c r="F299" s="10"/>
      <c r="G299" s="10"/>
      <c r="H299" s="10"/>
    </row>
    <row r="300" spans="2:8" x14ac:dyDescent="0.25">
      <c r="B300" s="9"/>
      <c r="C300" s="10"/>
      <c r="D300" s="10"/>
      <c r="E300" s="10"/>
      <c r="F300" s="10"/>
      <c r="G300" s="10"/>
      <c r="H300" s="10"/>
    </row>
    <row r="301" spans="2:8" x14ac:dyDescent="0.25">
      <c r="B301" s="9"/>
      <c r="C301" s="10"/>
      <c r="D301" s="10"/>
      <c r="E301" s="10"/>
      <c r="F301" s="10"/>
      <c r="G301" s="10"/>
      <c r="H301" s="10"/>
    </row>
    <row r="302" spans="2:8" x14ac:dyDescent="0.25">
      <c r="B302" s="9"/>
      <c r="C302" s="10"/>
      <c r="D302" s="10"/>
      <c r="E302" s="10"/>
      <c r="F302" s="10"/>
      <c r="G302" s="10"/>
      <c r="H302" s="10"/>
    </row>
    <row r="303" spans="2:8" x14ac:dyDescent="0.25">
      <c r="B303" s="9"/>
      <c r="C303" s="10"/>
      <c r="D303" s="10"/>
      <c r="E303" s="10"/>
      <c r="F303" s="10"/>
      <c r="G303" s="10"/>
      <c r="H303" s="10"/>
    </row>
    <row r="304" spans="2:8" x14ac:dyDescent="0.25">
      <c r="B304" s="9"/>
      <c r="C304" s="10"/>
      <c r="D304" s="10"/>
      <c r="E304" s="10"/>
      <c r="F304" s="10"/>
      <c r="G304" s="10"/>
      <c r="H304" s="10"/>
    </row>
    <row r="305" spans="2:8" x14ac:dyDescent="0.25">
      <c r="B305" s="9"/>
      <c r="C305" s="10"/>
      <c r="D305" s="10"/>
      <c r="E305" s="10"/>
      <c r="F305" s="10"/>
      <c r="G305" s="10"/>
      <c r="H305" s="10"/>
    </row>
    <row r="306" spans="2:8" x14ac:dyDescent="0.25">
      <c r="B306" s="9"/>
      <c r="C306" s="10"/>
      <c r="D306" s="10"/>
      <c r="E306" s="10"/>
      <c r="F306" s="10"/>
      <c r="G306" s="10"/>
      <c r="H306" s="10"/>
    </row>
    <row r="311" spans="2:8" x14ac:dyDescent="0.25">
      <c r="B311" s="9"/>
      <c r="C311" s="10"/>
      <c r="D311" s="10"/>
      <c r="E311" s="10"/>
      <c r="F311" s="10"/>
      <c r="G311" s="10"/>
      <c r="H311" s="10"/>
    </row>
    <row r="312" spans="2:8" x14ac:dyDescent="0.25">
      <c r="B312" s="9"/>
      <c r="C312" s="10"/>
      <c r="D312" s="10"/>
      <c r="E312" s="10"/>
      <c r="F312" s="10"/>
      <c r="G312" s="10"/>
      <c r="H312" s="10"/>
    </row>
    <row r="313" spans="2:8" x14ac:dyDescent="0.25">
      <c r="B313" s="9"/>
      <c r="C313" s="10"/>
      <c r="D313" s="10"/>
      <c r="E313" s="10"/>
      <c r="F313" s="10"/>
      <c r="G313" s="10"/>
      <c r="H313" s="10"/>
    </row>
    <row r="314" spans="2:8" x14ac:dyDescent="0.25">
      <c r="B314" s="9"/>
      <c r="C314" s="10"/>
      <c r="D314" s="10"/>
      <c r="E314" s="10"/>
      <c r="F314" s="10"/>
      <c r="G314" s="10"/>
      <c r="H314" s="10"/>
    </row>
    <row r="315" spans="2:8" x14ac:dyDescent="0.25">
      <c r="B315" s="9"/>
      <c r="C315" s="10"/>
      <c r="D315" s="10"/>
      <c r="E315" s="10"/>
      <c r="F315" s="10"/>
      <c r="G315" s="10"/>
      <c r="H315" s="10"/>
    </row>
    <row r="316" spans="2:8" x14ac:dyDescent="0.25">
      <c r="B316" s="9"/>
      <c r="C316" s="10"/>
      <c r="D316" s="10"/>
      <c r="E316" s="10"/>
      <c r="F316" s="10"/>
      <c r="G316" s="10"/>
      <c r="H316" s="10"/>
    </row>
    <row r="317" spans="2:8" x14ac:dyDescent="0.25">
      <c r="B317" s="9"/>
      <c r="C317" s="10"/>
      <c r="D317" s="10"/>
      <c r="E317" s="10"/>
      <c r="F317" s="10"/>
      <c r="G317" s="10"/>
      <c r="H317" s="10"/>
    </row>
    <row r="318" spans="2:8" x14ac:dyDescent="0.25">
      <c r="B318" s="9"/>
      <c r="C318" s="10"/>
      <c r="D318" s="10"/>
      <c r="E318" s="10"/>
      <c r="F318" s="10"/>
      <c r="G318" s="10"/>
      <c r="H318" s="10"/>
    </row>
    <row r="319" spans="2:8" x14ac:dyDescent="0.25">
      <c r="B319" s="9"/>
      <c r="C319" s="10"/>
      <c r="D319" s="10"/>
      <c r="E319" s="10"/>
      <c r="F319" s="10"/>
      <c r="G319" s="10"/>
      <c r="H319" s="10"/>
    </row>
    <row r="320" spans="2:8" x14ac:dyDescent="0.25">
      <c r="B320" s="9"/>
      <c r="C320" s="10"/>
      <c r="D320" s="10"/>
      <c r="E320" s="10"/>
      <c r="F320" s="10"/>
      <c r="G320" s="10"/>
      <c r="H320" s="10"/>
    </row>
    <row r="321" spans="2:8" x14ac:dyDescent="0.25">
      <c r="B321" s="9"/>
      <c r="C321" s="10"/>
      <c r="D321" s="10"/>
      <c r="E321" s="10"/>
      <c r="F321" s="10"/>
      <c r="G321" s="10"/>
      <c r="H321" s="10"/>
    </row>
    <row r="322" spans="2:8" x14ac:dyDescent="0.25">
      <c r="B322" s="9"/>
      <c r="C322" s="10"/>
      <c r="D322" s="10"/>
      <c r="E322" s="10"/>
      <c r="F322" s="10"/>
      <c r="G322" s="10"/>
      <c r="H322" s="10"/>
    </row>
    <row r="323" spans="2:8" x14ac:dyDescent="0.25">
      <c r="B323" s="9"/>
      <c r="C323" s="10"/>
      <c r="D323" s="10"/>
      <c r="E323" s="10"/>
      <c r="F323" s="10"/>
      <c r="G323" s="10"/>
      <c r="H323" s="10"/>
    </row>
    <row r="324" spans="2:8" x14ac:dyDescent="0.25">
      <c r="B324" s="9"/>
      <c r="C324" s="10"/>
      <c r="D324" s="10"/>
      <c r="E324" s="10"/>
      <c r="F324" s="10"/>
      <c r="G324" s="10"/>
      <c r="H324" s="10"/>
    </row>
    <row r="325" spans="2:8" x14ac:dyDescent="0.25">
      <c r="B325" s="9"/>
      <c r="C325" s="10"/>
      <c r="D325" s="10"/>
      <c r="E325" s="10"/>
      <c r="F325" s="10"/>
      <c r="G325" s="10"/>
      <c r="H325" s="10"/>
    </row>
    <row r="326" spans="2:8" x14ac:dyDescent="0.25">
      <c r="B326" s="9"/>
      <c r="C326" s="10"/>
      <c r="D326" s="10"/>
      <c r="E326" s="10"/>
      <c r="F326" s="10"/>
      <c r="G326" s="10"/>
      <c r="H326" s="10"/>
    </row>
    <row r="327" spans="2:8" x14ac:dyDescent="0.25">
      <c r="B327" s="9"/>
      <c r="C327" s="10"/>
      <c r="D327" s="10"/>
      <c r="E327" s="10"/>
      <c r="F327" s="10"/>
      <c r="G327" s="10"/>
      <c r="H327" s="10"/>
    </row>
    <row r="328" spans="2:8" x14ac:dyDescent="0.25">
      <c r="B328" s="9"/>
      <c r="C328" s="10"/>
      <c r="D328" s="10"/>
      <c r="E328" s="10"/>
      <c r="F328" s="10"/>
      <c r="G328" s="10"/>
      <c r="H328" s="21"/>
    </row>
    <row r="329" spans="2:8" x14ac:dyDescent="0.25">
      <c r="B329" s="9"/>
      <c r="C329" s="10"/>
      <c r="D329" s="10"/>
      <c r="E329" s="10"/>
      <c r="F329" s="10"/>
      <c r="G329" s="10"/>
      <c r="H329" s="21"/>
    </row>
    <row r="330" spans="2:8" x14ac:dyDescent="0.25">
      <c r="B330" s="9"/>
      <c r="C330" s="10"/>
      <c r="D330" s="10"/>
      <c r="E330" s="10"/>
      <c r="F330" s="10"/>
      <c r="G330" s="10"/>
      <c r="H330" s="21"/>
    </row>
    <row r="331" spans="2:8" x14ac:dyDescent="0.25">
      <c r="B331" s="9"/>
      <c r="C331" s="10"/>
      <c r="D331" s="10"/>
      <c r="E331" s="10"/>
      <c r="F331" s="10"/>
      <c r="G331" s="10"/>
      <c r="H331" s="21"/>
    </row>
    <row r="332" spans="2:8" x14ac:dyDescent="0.25">
      <c r="B332" s="9"/>
      <c r="C332" s="10"/>
      <c r="D332" s="10"/>
      <c r="E332" s="10"/>
      <c r="F332" s="10"/>
      <c r="G332" s="10"/>
      <c r="H332" s="10"/>
    </row>
    <row r="333" spans="2:8" x14ac:dyDescent="0.25">
      <c r="B333" s="9"/>
      <c r="C333" s="10"/>
      <c r="D333" s="10"/>
      <c r="E333" s="10"/>
      <c r="F333" s="10"/>
      <c r="G333" s="10"/>
      <c r="H333" s="10"/>
    </row>
    <row r="334" spans="2:8" x14ac:dyDescent="0.25">
      <c r="B334" s="9"/>
      <c r="C334" s="10"/>
      <c r="D334" s="10"/>
      <c r="E334" s="10"/>
      <c r="F334" s="10"/>
      <c r="G334" s="10"/>
      <c r="H334" s="10"/>
    </row>
    <row r="335" spans="2:8" x14ac:dyDescent="0.25">
      <c r="B335" s="9"/>
      <c r="C335" s="10"/>
      <c r="D335" s="10"/>
      <c r="E335" s="10"/>
      <c r="F335" s="10"/>
      <c r="G335" s="10"/>
      <c r="H335" s="10"/>
    </row>
    <row r="336" spans="2:8" x14ac:dyDescent="0.25">
      <c r="B336" s="9"/>
      <c r="C336" s="10"/>
      <c r="D336" s="10"/>
      <c r="E336" s="10"/>
      <c r="F336" s="10"/>
      <c r="G336" s="10"/>
      <c r="H336" s="10"/>
    </row>
    <row r="337" spans="2:8" x14ac:dyDescent="0.25">
      <c r="B337" s="9"/>
      <c r="C337" s="10"/>
      <c r="D337" s="10"/>
      <c r="E337" s="10"/>
      <c r="F337" s="10"/>
      <c r="G337" s="10"/>
      <c r="H337" s="10"/>
    </row>
    <row r="338" spans="2:8" x14ac:dyDescent="0.25">
      <c r="B338" s="9"/>
      <c r="C338" s="10"/>
      <c r="D338" s="10"/>
      <c r="E338" s="10"/>
      <c r="F338" s="10"/>
      <c r="G338" s="10"/>
      <c r="H338" s="10"/>
    </row>
    <row r="339" spans="2:8" x14ac:dyDescent="0.25">
      <c r="B339" s="9"/>
      <c r="C339" s="10"/>
      <c r="D339" s="10"/>
      <c r="E339" s="10"/>
      <c r="F339" s="10"/>
      <c r="G339" s="10"/>
      <c r="H339" s="10"/>
    </row>
    <row r="340" spans="2:8" x14ac:dyDescent="0.25">
      <c r="B340" s="9"/>
      <c r="C340" s="10"/>
      <c r="D340" s="10"/>
      <c r="E340" s="10"/>
      <c r="F340" s="10"/>
      <c r="G340" s="10"/>
      <c r="H340" s="10"/>
    </row>
    <row r="341" spans="2:8" x14ac:dyDescent="0.25">
      <c r="B341" s="9"/>
      <c r="C341" s="10"/>
      <c r="D341" s="10"/>
      <c r="E341" s="10"/>
      <c r="F341" s="10"/>
      <c r="G341" s="10"/>
      <c r="H341" s="10"/>
    </row>
    <row r="342" spans="2:8" x14ac:dyDescent="0.25">
      <c r="B342" s="9"/>
      <c r="C342" s="10"/>
      <c r="D342" s="10"/>
      <c r="E342" s="10"/>
      <c r="F342" s="10"/>
      <c r="G342" s="10"/>
      <c r="H342" s="10"/>
    </row>
    <row r="343" spans="2:8" x14ac:dyDescent="0.25">
      <c r="B343" s="9"/>
      <c r="C343" s="10"/>
      <c r="D343" s="10"/>
      <c r="E343" s="10"/>
      <c r="F343" s="10"/>
      <c r="G343" s="10"/>
      <c r="H343" s="10"/>
    </row>
    <row r="344" spans="2:8" x14ac:dyDescent="0.25">
      <c r="B344" s="10"/>
      <c r="C344" s="10"/>
      <c r="D344" s="10"/>
      <c r="E344" s="10"/>
      <c r="F344" s="10"/>
      <c r="G344" s="10"/>
    </row>
    <row r="345" spans="2:8" x14ac:dyDescent="0.25">
      <c r="B345" s="10"/>
      <c r="C345" s="10"/>
      <c r="D345" s="10"/>
      <c r="E345" s="10"/>
      <c r="F345" s="10"/>
      <c r="G345" s="10"/>
    </row>
    <row r="346" spans="2:8" x14ac:dyDescent="0.25">
      <c r="B346" s="10"/>
      <c r="C346" s="10"/>
      <c r="D346" s="10"/>
      <c r="E346" s="10"/>
      <c r="F346" s="10"/>
      <c r="G346" s="10"/>
    </row>
    <row r="347" spans="2:8" x14ac:dyDescent="0.25">
      <c r="B347" s="10"/>
      <c r="C347" s="10"/>
      <c r="D347" s="10"/>
      <c r="E347" s="10"/>
      <c r="F347" s="10"/>
      <c r="G347" s="10"/>
    </row>
    <row r="348" spans="2:8" x14ac:dyDescent="0.25">
      <c r="B348" s="10"/>
      <c r="C348" s="10"/>
      <c r="D348" s="10"/>
      <c r="E348" s="10"/>
      <c r="F348" s="10"/>
      <c r="G348" s="10"/>
    </row>
    <row r="349" spans="2:8" x14ac:dyDescent="0.25">
      <c r="B349" s="10"/>
      <c r="C349" s="10"/>
      <c r="D349" s="10"/>
      <c r="E349" s="10"/>
      <c r="F349" s="10"/>
      <c r="G349" s="10"/>
    </row>
    <row r="350" spans="2:8" x14ac:dyDescent="0.25">
      <c r="B350" s="10"/>
      <c r="C350" s="10"/>
      <c r="D350" s="10"/>
      <c r="E350" s="10"/>
      <c r="F350" s="10"/>
      <c r="G350" s="10"/>
    </row>
    <row r="351" spans="2:8" x14ac:dyDescent="0.25">
      <c r="B351" s="10"/>
      <c r="C351" s="10"/>
      <c r="D351" s="10"/>
      <c r="E351" s="10"/>
      <c r="F351" s="10"/>
      <c r="G351" s="10"/>
    </row>
    <row r="352" spans="2:8" x14ac:dyDescent="0.25">
      <c r="B352" s="10"/>
      <c r="C352" s="10"/>
      <c r="D352" s="10"/>
      <c r="E352" s="10"/>
      <c r="F352" s="10"/>
      <c r="G352" s="10"/>
    </row>
    <row r="353" spans="2:8" x14ac:dyDescent="0.25">
      <c r="B353" s="10"/>
      <c r="C353" s="10"/>
      <c r="D353" s="10"/>
      <c r="E353" s="10"/>
      <c r="F353" s="10"/>
      <c r="G353" s="10"/>
    </row>
    <row r="354" spans="2:8" x14ac:dyDescent="0.25">
      <c r="B354" s="10"/>
      <c r="C354" s="10"/>
      <c r="D354" s="10"/>
      <c r="E354" s="10"/>
      <c r="F354" s="10"/>
      <c r="G354" s="10"/>
    </row>
    <row r="355" spans="2:8" x14ac:dyDescent="0.25">
      <c r="B355" s="10"/>
      <c r="C355" s="10"/>
      <c r="D355" s="10"/>
      <c r="E355" s="10"/>
      <c r="F355" s="10"/>
      <c r="G355" s="10"/>
    </row>
    <row r="356" spans="2:8" x14ac:dyDescent="0.25">
      <c r="B356" s="10"/>
      <c r="C356" s="10"/>
      <c r="D356" s="10"/>
      <c r="E356" s="10"/>
      <c r="F356" s="10"/>
      <c r="G356" s="10"/>
    </row>
    <row r="357" spans="2:8" x14ac:dyDescent="0.25">
      <c r="B357" s="10"/>
      <c r="C357" s="10"/>
      <c r="D357" s="10"/>
      <c r="E357" s="10"/>
      <c r="F357" s="10"/>
      <c r="G357" s="10"/>
    </row>
    <row r="358" spans="2:8" x14ac:dyDescent="0.25">
      <c r="B358" s="10"/>
      <c r="C358" s="10"/>
      <c r="D358" s="10"/>
      <c r="E358" s="10"/>
      <c r="F358" s="10"/>
      <c r="G358" s="10"/>
    </row>
    <row r="360" spans="2:8" x14ac:dyDescent="0.25">
      <c r="H360" s="11"/>
    </row>
    <row r="361" spans="2:8" x14ac:dyDescent="0.25">
      <c r="H361" s="11"/>
    </row>
    <row r="363" spans="2:8" x14ac:dyDescent="0.25">
      <c r="B363" s="10"/>
      <c r="C363" s="10"/>
      <c r="D363" s="10"/>
      <c r="E363" s="10"/>
      <c r="F363" s="10"/>
      <c r="G363" s="10"/>
    </row>
    <row r="364" spans="2:8" x14ac:dyDescent="0.25">
      <c r="B364" s="10"/>
      <c r="C364" s="10"/>
      <c r="D364" s="10"/>
      <c r="E364" s="10"/>
      <c r="F364" s="10"/>
      <c r="G364" s="10"/>
    </row>
    <row r="365" spans="2:8" x14ac:dyDescent="0.25">
      <c r="B365" s="10"/>
      <c r="C365" s="10"/>
      <c r="D365" s="10"/>
      <c r="E365" s="10"/>
      <c r="F365" s="10"/>
      <c r="G365" s="10"/>
    </row>
    <row r="366" spans="2:8" x14ac:dyDescent="0.25">
      <c r="B366" s="10"/>
      <c r="C366" s="10"/>
      <c r="D366" s="10"/>
      <c r="E366" s="10"/>
      <c r="F366" s="10"/>
      <c r="G366" s="10"/>
    </row>
    <row r="367" spans="2:8" x14ac:dyDescent="0.25">
      <c r="B367" s="10"/>
      <c r="C367" s="10"/>
      <c r="D367" s="10"/>
      <c r="E367" s="10"/>
      <c r="F367" s="10"/>
      <c r="G367" s="10"/>
    </row>
    <row r="368" spans="2:8" x14ac:dyDescent="0.25">
      <c r="B368" s="10"/>
      <c r="C368" s="10"/>
      <c r="D368" s="10"/>
      <c r="E368" s="10"/>
      <c r="F368" s="10"/>
      <c r="G368" s="10"/>
    </row>
    <row r="369" spans="2:7" x14ac:dyDescent="0.25">
      <c r="B369" s="10"/>
      <c r="C369" s="10"/>
      <c r="D369" s="10"/>
      <c r="E369" s="10"/>
      <c r="F369" s="10"/>
      <c r="G369" s="10"/>
    </row>
    <row r="370" spans="2:7" x14ac:dyDescent="0.25">
      <c r="B370" s="10"/>
      <c r="C370" s="10"/>
      <c r="D370" s="10"/>
      <c r="E370" s="10"/>
      <c r="F370" s="10"/>
      <c r="G370" s="10"/>
    </row>
    <row r="371" spans="2:7" x14ac:dyDescent="0.25">
      <c r="B371" s="10"/>
      <c r="C371" s="10"/>
      <c r="D371" s="10"/>
      <c r="E371" s="10"/>
      <c r="F371" s="10"/>
      <c r="G371" s="10"/>
    </row>
    <row r="372" spans="2:7" x14ac:dyDescent="0.25">
      <c r="B372" s="10"/>
      <c r="C372" s="10"/>
      <c r="D372" s="10"/>
      <c r="E372" s="10"/>
      <c r="F372" s="10"/>
      <c r="G372" s="10"/>
    </row>
    <row r="373" spans="2:7" x14ac:dyDescent="0.25">
      <c r="B373" s="10"/>
      <c r="C373" s="10"/>
      <c r="D373" s="10"/>
      <c r="E373" s="10"/>
      <c r="F373" s="10"/>
      <c r="G373" s="10"/>
    </row>
    <row r="374" spans="2:7" x14ac:dyDescent="0.25">
      <c r="B374" s="10"/>
      <c r="C374" s="10"/>
      <c r="D374" s="10"/>
      <c r="E374" s="10"/>
      <c r="F374" s="10"/>
      <c r="G374" s="10"/>
    </row>
    <row r="375" spans="2:7" x14ac:dyDescent="0.25">
      <c r="B375" s="10"/>
      <c r="C375" s="10"/>
      <c r="D375" s="10"/>
      <c r="E375" s="10"/>
      <c r="F375" s="10"/>
      <c r="G375" s="10"/>
    </row>
    <row r="376" spans="2:7" x14ac:dyDescent="0.25">
      <c r="B376" s="10"/>
      <c r="C376" s="10"/>
      <c r="D376" s="10"/>
      <c r="E376" s="10"/>
      <c r="F376" s="10"/>
      <c r="G376" s="10"/>
    </row>
    <row r="377" spans="2:7" x14ac:dyDescent="0.25">
      <c r="B377" s="10"/>
      <c r="C377" s="10"/>
      <c r="D377" s="10"/>
      <c r="E377" s="10"/>
      <c r="F377" s="10"/>
      <c r="G377" s="10"/>
    </row>
    <row r="378" spans="2:7" x14ac:dyDescent="0.25">
      <c r="B378" s="10"/>
      <c r="C378" s="10"/>
      <c r="D378" s="10"/>
      <c r="E378" s="10"/>
      <c r="F378" s="10"/>
      <c r="G378" s="10"/>
    </row>
    <row r="379" spans="2:7" x14ac:dyDescent="0.25">
      <c r="B379" s="10"/>
      <c r="C379" s="10"/>
      <c r="D379" s="10"/>
      <c r="E379" s="10"/>
      <c r="F379" s="10"/>
      <c r="G379" s="10"/>
    </row>
    <row r="380" spans="2:7" x14ac:dyDescent="0.25">
      <c r="B380" s="10"/>
      <c r="C380" s="10"/>
      <c r="D380" s="10"/>
      <c r="E380" s="10"/>
      <c r="F380" s="10"/>
      <c r="G380" s="10"/>
    </row>
    <row r="381" spans="2:7" x14ac:dyDescent="0.25">
      <c r="B381" s="10"/>
      <c r="C381" s="10"/>
      <c r="D381" s="10"/>
      <c r="E381" s="10"/>
      <c r="F381" s="10"/>
      <c r="G381" s="10"/>
    </row>
    <row r="382" spans="2:7" x14ac:dyDescent="0.25">
      <c r="B382" s="10"/>
      <c r="C382" s="10"/>
      <c r="D382" s="10"/>
      <c r="E382" s="10"/>
      <c r="F382" s="10"/>
      <c r="G382" s="10"/>
    </row>
    <row r="383" spans="2:7" x14ac:dyDescent="0.25">
      <c r="B383" s="10"/>
      <c r="C383" s="10"/>
      <c r="D383" s="10"/>
      <c r="E383" s="10"/>
      <c r="F383" s="10"/>
      <c r="G383" s="10"/>
    </row>
    <row r="384" spans="2:7" x14ac:dyDescent="0.25">
      <c r="B384" s="10"/>
      <c r="C384" s="10"/>
      <c r="D384" s="10"/>
      <c r="E384" s="10"/>
      <c r="F384" s="10"/>
      <c r="G384" s="10"/>
    </row>
    <row r="385" spans="2:7" x14ac:dyDescent="0.25">
      <c r="B385" s="10"/>
      <c r="C385" s="10"/>
      <c r="D385" s="10"/>
      <c r="E385" s="10"/>
      <c r="F385" s="10"/>
      <c r="G385" s="10"/>
    </row>
    <row r="386" spans="2:7" x14ac:dyDescent="0.25">
      <c r="B386" s="10"/>
      <c r="C386" s="10"/>
      <c r="D386" s="10"/>
      <c r="E386" s="10"/>
      <c r="F386" s="10"/>
      <c r="G386" s="10"/>
    </row>
    <row r="387" spans="2:7" x14ac:dyDescent="0.25">
      <c r="B387" s="10"/>
      <c r="C387" s="10"/>
      <c r="D387" s="10"/>
      <c r="E387" s="10"/>
      <c r="F387" s="10"/>
      <c r="G387" s="10"/>
    </row>
    <row r="388" spans="2:7" x14ac:dyDescent="0.25">
      <c r="B388" s="10"/>
      <c r="C388" s="10"/>
      <c r="D388" s="10"/>
      <c r="E388" s="10"/>
      <c r="F388" s="10"/>
      <c r="G388" s="10"/>
    </row>
    <row r="389" spans="2:7" x14ac:dyDescent="0.25">
      <c r="B389" s="10"/>
      <c r="C389" s="10"/>
      <c r="D389" s="10"/>
      <c r="E389" s="10"/>
      <c r="F389" s="10"/>
      <c r="G389" s="10"/>
    </row>
    <row r="390" spans="2:7" x14ac:dyDescent="0.25">
      <c r="B390" s="10"/>
      <c r="C390" s="10"/>
      <c r="D390" s="10"/>
      <c r="E390" s="10"/>
      <c r="F390" s="10"/>
      <c r="G390" s="10"/>
    </row>
    <row r="391" spans="2:7" x14ac:dyDescent="0.25">
      <c r="B391" s="10"/>
      <c r="C391" s="10"/>
      <c r="D391" s="10"/>
      <c r="E391" s="10"/>
      <c r="F391" s="10"/>
      <c r="G391" s="10"/>
    </row>
    <row r="392" spans="2:7" x14ac:dyDescent="0.25">
      <c r="B392" s="10"/>
      <c r="C392" s="10"/>
      <c r="D392" s="10"/>
      <c r="E392" s="10"/>
      <c r="F392" s="10"/>
      <c r="G392" s="10"/>
    </row>
    <row r="393" spans="2:7" x14ac:dyDescent="0.25">
      <c r="B393" s="10"/>
      <c r="C393" s="10"/>
      <c r="D393" s="10"/>
      <c r="E393" s="10"/>
      <c r="F393" s="10"/>
      <c r="G393" s="10"/>
    </row>
    <row r="394" spans="2:7" x14ac:dyDescent="0.25">
      <c r="B394" s="10"/>
      <c r="C394" s="10"/>
      <c r="D394" s="10"/>
      <c r="E394" s="10"/>
      <c r="F394" s="10"/>
      <c r="G394" s="10"/>
    </row>
    <row r="395" spans="2:7" x14ac:dyDescent="0.25">
      <c r="B395" s="10"/>
      <c r="C395" s="10"/>
      <c r="D395" s="10"/>
      <c r="E395" s="10"/>
      <c r="F395" s="10"/>
      <c r="G395" s="10"/>
    </row>
    <row r="396" spans="2:7" x14ac:dyDescent="0.25">
      <c r="B396" s="10"/>
      <c r="C396" s="10"/>
      <c r="D396" s="10"/>
      <c r="E396" s="10"/>
      <c r="F396" s="10"/>
      <c r="G396" s="10"/>
    </row>
    <row r="397" spans="2:7" x14ac:dyDescent="0.25">
      <c r="B397" s="10"/>
      <c r="C397" s="10"/>
      <c r="D397" s="10"/>
      <c r="E397" s="10"/>
      <c r="F397" s="10"/>
      <c r="G397" s="10"/>
    </row>
    <row r="398" spans="2:7" x14ac:dyDescent="0.25">
      <c r="B398" s="10"/>
      <c r="C398" s="10"/>
      <c r="D398" s="10"/>
      <c r="E398" s="10"/>
      <c r="F398" s="10"/>
      <c r="G398" s="10"/>
    </row>
    <row r="399" spans="2:7" x14ac:dyDescent="0.25">
      <c r="B399" s="10"/>
      <c r="C399" s="10"/>
      <c r="D399" s="10"/>
      <c r="E399" s="10"/>
      <c r="F399" s="10"/>
      <c r="G399" s="10"/>
    </row>
    <row r="400" spans="2:7" x14ac:dyDescent="0.25">
      <c r="B400" s="10"/>
      <c r="C400" s="10"/>
      <c r="D400" s="10"/>
      <c r="E400" s="10"/>
      <c r="F400" s="10"/>
      <c r="G400" s="10"/>
    </row>
    <row r="401" spans="2:8" x14ac:dyDescent="0.25">
      <c r="B401" s="10"/>
      <c r="C401" s="10"/>
      <c r="D401" s="10"/>
      <c r="E401" s="10"/>
      <c r="F401" s="10"/>
      <c r="G401" s="10"/>
      <c r="H401" s="11"/>
    </row>
    <row r="402" spans="2:8" x14ac:dyDescent="0.25">
      <c r="B402" s="10"/>
      <c r="C402" s="10"/>
      <c r="D402" s="10"/>
      <c r="E402" s="10"/>
      <c r="F402" s="10"/>
      <c r="G402" s="10"/>
      <c r="H402" s="11"/>
    </row>
    <row r="403" spans="2:8" x14ac:dyDescent="0.25">
      <c r="B403" s="10"/>
      <c r="C403" s="10"/>
      <c r="D403" s="10"/>
      <c r="E403" s="10"/>
      <c r="F403" s="10"/>
      <c r="G403" s="10"/>
    </row>
    <row r="404" spans="2:8" x14ac:dyDescent="0.25">
      <c r="B404" s="10"/>
      <c r="C404" s="10"/>
      <c r="D404" s="10"/>
      <c r="E404" s="10"/>
      <c r="F404" s="10"/>
      <c r="G404" s="10"/>
    </row>
    <row r="405" spans="2:8" x14ac:dyDescent="0.25">
      <c r="B405" s="10"/>
      <c r="C405" s="10"/>
      <c r="D405" s="10"/>
      <c r="E405" s="10"/>
      <c r="F405" s="10"/>
      <c r="G405" s="10"/>
      <c r="H405" s="11"/>
    </row>
    <row r="406" spans="2:8" x14ac:dyDescent="0.25">
      <c r="B406" s="10"/>
      <c r="C406" s="10"/>
      <c r="D406" s="10"/>
      <c r="E406" s="10"/>
      <c r="F406" s="10"/>
      <c r="G406" s="10"/>
    </row>
    <row r="407" spans="2:8" x14ac:dyDescent="0.25">
      <c r="B407" s="10"/>
      <c r="C407" s="10"/>
      <c r="D407" s="10"/>
      <c r="E407" s="10"/>
      <c r="F407" s="10"/>
      <c r="G407" s="10"/>
    </row>
    <row r="408" spans="2:8" x14ac:dyDescent="0.25">
      <c r="B408" s="10"/>
      <c r="C408" s="10"/>
      <c r="D408" s="10"/>
      <c r="E408" s="10"/>
      <c r="F408" s="10"/>
      <c r="G408" s="10"/>
    </row>
    <row r="409" spans="2:8" x14ac:dyDescent="0.25">
      <c r="B409" s="10"/>
      <c r="C409" s="10"/>
      <c r="D409" s="10"/>
      <c r="E409" s="10"/>
      <c r="F409" s="10"/>
      <c r="G409" s="10"/>
    </row>
    <row r="410" spans="2:8" x14ac:dyDescent="0.25">
      <c r="B410" s="10"/>
      <c r="C410" s="10"/>
      <c r="D410" s="10"/>
      <c r="E410" s="10"/>
      <c r="F410" s="10"/>
      <c r="G410" s="10"/>
    </row>
    <row r="411" spans="2:8" x14ac:dyDescent="0.25">
      <c r="B411" s="10"/>
      <c r="C411" s="10"/>
      <c r="D411" s="10"/>
      <c r="E411" s="10"/>
      <c r="F411" s="10"/>
      <c r="G411" s="10"/>
    </row>
    <row r="412" spans="2:8" x14ac:dyDescent="0.25">
      <c r="B412" s="10"/>
      <c r="C412" s="10"/>
      <c r="D412" s="10"/>
      <c r="E412" s="10"/>
      <c r="F412" s="10"/>
      <c r="G412" s="10"/>
    </row>
    <row r="413" spans="2:8" x14ac:dyDescent="0.25">
      <c r="B413" s="10"/>
      <c r="C413" s="10"/>
      <c r="D413" s="10"/>
      <c r="E413" s="10"/>
      <c r="F413" s="10"/>
      <c r="G413" s="10"/>
    </row>
    <row r="414" spans="2:8" x14ac:dyDescent="0.25">
      <c r="B414" s="10"/>
      <c r="C414" s="10"/>
      <c r="D414" s="10"/>
      <c r="E414" s="10"/>
      <c r="F414" s="10"/>
      <c r="G414" s="10"/>
    </row>
    <row r="415" spans="2:8" x14ac:dyDescent="0.25">
      <c r="B415" s="10"/>
      <c r="C415" s="10"/>
      <c r="D415" s="10"/>
      <c r="E415" s="10"/>
      <c r="F415" s="10"/>
      <c r="G415" s="10"/>
    </row>
    <row r="416" spans="2:8" x14ac:dyDescent="0.25">
      <c r="B416" s="10"/>
      <c r="C416" s="10"/>
      <c r="D416" s="10"/>
      <c r="E416" s="10"/>
      <c r="F416" s="10"/>
      <c r="G416" s="10"/>
    </row>
    <row r="417" spans="2:8" x14ac:dyDescent="0.25">
      <c r="B417" s="10"/>
      <c r="C417" s="10"/>
      <c r="D417" s="10"/>
      <c r="E417" s="10"/>
      <c r="F417" s="10"/>
      <c r="G417" s="10"/>
      <c r="H417" s="11"/>
    </row>
    <row r="418" spans="2:8" x14ac:dyDescent="0.25">
      <c r="B418" s="10"/>
      <c r="C418" s="10"/>
      <c r="D418" s="10"/>
      <c r="E418" s="10"/>
      <c r="F418" s="10"/>
      <c r="G418" s="10"/>
      <c r="H418" s="11"/>
    </row>
    <row r="419" spans="2:8" x14ac:dyDescent="0.25">
      <c r="B419" s="10"/>
      <c r="C419" s="10"/>
      <c r="D419" s="10"/>
      <c r="E419" s="10"/>
      <c r="F419" s="10"/>
      <c r="G419" s="10"/>
      <c r="H419" s="11"/>
    </row>
    <row r="420" spans="2:8" x14ac:dyDescent="0.25">
      <c r="B420" s="10"/>
      <c r="C420" s="10"/>
      <c r="D420" s="10"/>
      <c r="E420" s="10"/>
      <c r="F420" s="10"/>
      <c r="G420" s="10"/>
      <c r="H420" s="11"/>
    </row>
    <row r="421" spans="2:8" x14ac:dyDescent="0.25">
      <c r="B421" s="10"/>
      <c r="C421" s="10"/>
      <c r="D421" s="10"/>
      <c r="E421" s="10"/>
      <c r="F421" s="10"/>
      <c r="G421" s="10"/>
      <c r="H421" s="11"/>
    </row>
    <row r="422" spans="2:8" x14ac:dyDescent="0.25">
      <c r="B422" s="10"/>
      <c r="C422" s="10"/>
      <c r="D422" s="10"/>
      <c r="E422" s="10"/>
      <c r="F422" s="10"/>
      <c r="G422" s="10"/>
      <c r="H422" s="11"/>
    </row>
    <row r="423" spans="2:8" x14ac:dyDescent="0.25">
      <c r="B423" s="10"/>
      <c r="C423" s="10"/>
      <c r="D423" s="10"/>
      <c r="E423" s="10"/>
      <c r="F423" s="10"/>
      <c r="G423" s="10"/>
      <c r="H423" s="11"/>
    </row>
    <row r="424" spans="2:8" x14ac:dyDescent="0.25">
      <c r="B424" s="10"/>
      <c r="C424" s="10"/>
      <c r="D424" s="10"/>
      <c r="E424" s="10"/>
      <c r="F424" s="10"/>
      <c r="G424" s="10"/>
      <c r="H424" s="11"/>
    </row>
    <row r="425" spans="2:8" x14ac:dyDescent="0.25">
      <c r="B425" s="10"/>
      <c r="C425" s="10"/>
      <c r="D425" s="10"/>
      <c r="E425" s="10"/>
      <c r="F425" s="10"/>
      <c r="G425" s="10"/>
      <c r="H425" s="11"/>
    </row>
    <row r="426" spans="2:8" x14ac:dyDescent="0.25">
      <c r="B426" s="10"/>
      <c r="C426" s="10"/>
      <c r="D426" s="10"/>
      <c r="E426" s="10"/>
      <c r="F426" s="10"/>
      <c r="G426" s="10"/>
      <c r="H426" s="11"/>
    </row>
    <row r="427" spans="2:8" x14ac:dyDescent="0.25">
      <c r="B427" s="10"/>
      <c r="C427" s="10"/>
      <c r="D427" s="10"/>
      <c r="E427" s="10"/>
      <c r="F427" s="10"/>
      <c r="G427" s="10"/>
      <c r="H427" s="11"/>
    </row>
    <row r="428" spans="2:8" x14ac:dyDescent="0.25">
      <c r="B428" s="10"/>
      <c r="C428" s="10"/>
      <c r="D428" s="10"/>
      <c r="E428" s="10"/>
      <c r="F428" s="10"/>
      <c r="G428" s="10"/>
      <c r="H428" s="11"/>
    </row>
    <row r="429" spans="2:8" x14ac:dyDescent="0.25">
      <c r="B429" s="10"/>
      <c r="C429" s="10"/>
      <c r="D429" s="10"/>
      <c r="E429" s="10"/>
      <c r="F429" s="10"/>
      <c r="G429" s="10"/>
    </row>
    <row r="430" spans="2:8" x14ac:dyDescent="0.25">
      <c r="B430" s="10"/>
      <c r="C430" s="10"/>
      <c r="D430" s="10"/>
      <c r="E430" s="10"/>
      <c r="F430" s="10"/>
      <c r="G430" s="10"/>
    </row>
    <row r="431" spans="2:8" x14ac:dyDescent="0.25">
      <c r="B431" s="10"/>
      <c r="C431" s="10"/>
      <c r="D431" s="10"/>
      <c r="E431" s="10"/>
      <c r="F431" s="10"/>
      <c r="G431" s="10"/>
    </row>
    <row r="432" spans="2:8" x14ac:dyDescent="0.25">
      <c r="B432" s="10"/>
      <c r="C432" s="10"/>
      <c r="D432" s="10"/>
      <c r="E432" s="10"/>
      <c r="F432" s="10"/>
      <c r="G432" s="10"/>
    </row>
    <row r="433" spans="2:8" x14ac:dyDescent="0.25">
      <c r="B433" s="10"/>
      <c r="C433" s="10"/>
      <c r="D433" s="10"/>
      <c r="E433" s="10"/>
      <c r="F433" s="10"/>
      <c r="G433" s="10"/>
    </row>
    <row r="434" spans="2:8" x14ac:dyDescent="0.25">
      <c r="B434" s="10"/>
      <c r="C434" s="10"/>
      <c r="D434" s="10"/>
      <c r="E434" s="10"/>
      <c r="F434" s="10"/>
      <c r="G434" s="10"/>
    </row>
    <row r="435" spans="2:8" x14ac:dyDescent="0.25">
      <c r="B435" s="10"/>
      <c r="C435" s="10"/>
      <c r="D435" s="10"/>
      <c r="E435" s="10"/>
      <c r="F435" s="10"/>
      <c r="G435" s="10"/>
    </row>
    <row r="436" spans="2:8" x14ac:dyDescent="0.25">
      <c r="B436" s="10"/>
      <c r="C436" s="10"/>
      <c r="D436" s="10"/>
      <c r="E436" s="10"/>
      <c r="F436" s="10"/>
      <c r="G436" s="10"/>
    </row>
    <row r="437" spans="2:8" x14ac:dyDescent="0.25">
      <c r="B437" s="10"/>
      <c r="C437" s="10"/>
      <c r="D437" s="10"/>
      <c r="E437" s="10"/>
      <c r="F437" s="10"/>
      <c r="G437" s="10"/>
    </row>
    <row r="438" spans="2:8" x14ac:dyDescent="0.25">
      <c r="B438" s="10"/>
      <c r="C438" s="10"/>
      <c r="D438" s="10"/>
      <c r="E438" s="10"/>
      <c r="F438" s="10"/>
      <c r="G438" s="10"/>
    </row>
    <row r="439" spans="2:8" x14ac:dyDescent="0.25">
      <c r="B439" s="10"/>
      <c r="C439" s="10"/>
      <c r="D439" s="10"/>
      <c r="E439" s="10"/>
      <c r="F439" s="10"/>
      <c r="G439" s="10"/>
    </row>
    <row r="440" spans="2:8" x14ac:dyDescent="0.25">
      <c r="B440" s="10"/>
      <c r="C440" s="10"/>
      <c r="D440" s="10"/>
      <c r="E440" s="10"/>
      <c r="F440" s="10"/>
      <c r="G440" s="10"/>
    </row>
    <row r="441" spans="2:8" x14ac:dyDescent="0.25">
      <c r="B441" s="10"/>
      <c r="C441" s="10"/>
      <c r="D441" s="10"/>
      <c r="E441" s="10"/>
      <c r="F441" s="10"/>
      <c r="G441" s="10"/>
    </row>
    <row r="442" spans="2:8" x14ac:dyDescent="0.25">
      <c r="B442" s="10"/>
      <c r="C442" s="10"/>
      <c r="D442" s="10"/>
      <c r="E442" s="10"/>
      <c r="F442" s="10"/>
      <c r="G442" s="10"/>
      <c r="H442" s="1"/>
    </row>
    <row r="443" spans="2:8" x14ac:dyDescent="0.25">
      <c r="B443" s="10"/>
      <c r="C443" s="10"/>
      <c r="D443" s="10"/>
      <c r="E443" s="10"/>
      <c r="F443" s="10"/>
      <c r="G443" s="10"/>
      <c r="H443" s="1"/>
    </row>
    <row r="444" spans="2:8" x14ac:dyDescent="0.25">
      <c r="B444" s="10"/>
      <c r="C444" s="10"/>
      <c r="D444" s="10"/>
      <c r="E444" s="10"/>
      <c r="F444" s="10"/>
      <c r="G444" s="10"/>
      <c r="H444" s="1"/>
    </row>
    <row r="445" spans="2:8" x14ac:dyDescent="0.25">
      <c r="B445" s="10"/>
      <c r="C445" s="10"/>
      <c r="D445" s="10"/>
      <c r="E445" s="10"/>
      <c r="F445" s="10"/>
      <c r="G445" s="10"/>
      <c r="H445" s="1"/>
    </row>
    <row r="446" spans="2:8" x14ac:dyDescent="0.25">
      <c r="H446" s="1"/>
    </row>
    <row r="447" spans="2:8" x14ac:dyDescent="0.25">
      <c r="H447" s="1"/>
    </row>
    <row r="448" spans="2:8" x14ac:dyDescent="0.25">
      <c r="H448" s="1"/>
    </row>
    <row r="449" spans="8:8" x14ac:dyDescent="0.25">
      <c r="H449" s="1"/>
    </row>
    <row r="450" spans="8:8" x14ac:dyDescent="0.25">
      <c r="H450" s="1"/>
    </row>
    <row r="451" spans="8:8" x14ac:dyDescent="0.25">
      <c r="H451" s="1"/>
    </row>
    <row r="452" spans="8:8" x14ac:dyDescent="0.25">
      <c r="H452" s="1"/>
    </row>
    <row r="453" spans="8:8" x14ac:dyDescent="0.25">
      <c r="H453" s="1"/>
    </row>
    <row r="454" spans="8:8" x14ac:dyDescent="0.25">
      <c r="H454" s="1"/>
    </row>
    <row r="455" spans="8:8" x14ac:dyDescent="0.25">
      <c r="H455" s="1"/>
    </row>
    <row r="456" spans="8:8" x14ac:dyDescent="0.25">
      <c r="H456" s="1"/>
    </row>
    <row r="457" spans="8:8" x14ac:dyDescent="0.25">
      <c r="H457" s="1"/>
    </row>
    <row r="458" spans="8:8" x14ac:dyDescent="0.25">
      <c r="H458" s="1"/>
    </row>
    <row r="459" spans="8:8" x14ac:dyDescent="0.25">
      <c r="H459" s="1"/>
    </row>
    <row r="460" spans="8:8" x14ac:dyDescent="0.25">
      <c r="H460" s="1"/>
    </row>
    <row r="477" spans="2:7" x14ac:dyDescent="0.25">
      <c r="B477" s="8"/>
      <c r="C477" s="11"/>
      <c r="D477" s="1"/>
      <c r="E477" s="1"/>
      <c r="F477" s="1"/>
      <c r="G477" s="11"/>
    </row>
    <row r="478" spans="2:7" x14ac:dyDescent="0.25">
      <c r="B478" s="8"/>
      <c r="C478" s="11"/>
      <c r="D478" s="1"/>
      <c r="E478" s="1"/>
      <c r="F478" s="1"/>
      <c r="G478" s="11"/>
    </row>
    <row r="518" spans="2:7" x14ac:dyDescent="0.25">
      <c r="B518" s="8"/>
      <c r="C518" s="1"/>
      <c r="D518" s="1"/>
      <c r="E518" s="1"/>
      <c r="F518" s="1"/>
      <c r="G518" s="11"/>
    </row>
    <row r="519" spans="2:7" x14ac:dyDescent="0.25">
      <c r="B519" s="8"/>
      <c r="C519" s="1"/>
      <c r="D519" s="1"/>
      <c r="E519" s="1"/>
      <c r="F519" s="1"/>
      <c r="G519" s="11"/>
    </row>
    <row r="522" spans="2:7" x14ac:dyDescent="0.25">
      <c r="B522" s="8"/>
      <c r="C522" s="1"/>
      <c r="D522" s="1"/>
      <c r="E522" s="1"/>
      <c r="F522" s="1"/>
      <c r="G522" s="11"/>
    </row>
    <row r="534" spans="2:7" x14ac:dyDescent="0.25">
      <c r="B534" s="8"/>
      <c r="C534" s="1"/>
      <c r="D534" s="1"/>
      <c r="E534" s="1"/>
      <c r="F534" s="1"/>
      <c r="G534" s="11"/>
    </row>
    <row r="535" spans="2:7" x14ac:dyDescent="0.25">
      <c r="B535" s="8"/>
      <c r="C535" s="1"/>
      <c r="D535" s="1"/>
      <c r="E535" s="1"/>
      <c r="F535" s="1"/>
      <c r="G535" s="11"/>
    </row>
    <row r="536" spans="2:7" x14ac:dyDescent="0.25">
      <c r="B536" s="8"/>
      <c r="C536" s="1"/>
      <c r="D536" s="1"/>
      <c r="E536" s="1"/>
      <c r="F536" s="1"/>
      <c r="G536" s="11"/>
    </row>
    <row r="537" spans="2:7" x14ac:dyDescent="0.25">
      <c r="B537" s="8"/>
      <c r="C537" s="1"/>
      <c r="D537" s="1"/>
      <c r="E537" s="1"/>
      <c r="F537" s="1"/>
      <c r="G537" s="11"/>
    </row>
    <row r="538" spans="2:7" x14ac:dyDescent="0.25">
      <c r="B538" s="8"/>
      <c r="C538" s="1"/>
      <c r="D538" s="1"/>
      <c r="E538" s="1"/>
      <c r="F538" s="1"/>
      <c r="G538" s="11"/>
    </row>
    <row r="539" spans="2:7" x14ac:dyDescent="0.25">
      <c r="B539" s="8"/>
      <c r="C539" s="1"/>
      <c r="D539" s="1"/>
      <c r="E539" s="1"/>
      <c r="F539" s="1"/>
      <c r="G539" s="11"/>
    </row>
    <row r="540" spans="2:7" x14ac:dyDescent="0.25">
      <c r="B540" s="8"/>
      <c r="C540" s="1"/>
      <c r="D540" s="1"/>
      <c r="E540" s="1"/>
      <c r="F540" s="1"/>
      <c r="G540" s="11"/>
    </row>
    <row r="541" spans="2:7" x14ac:dyDescent="0.25">
      <c r="C541" s="1"/>
      <c r="D541" s="1"/>
      <c r="E541" s="1"/>
      <c r="F541" s="1"/>
      <c r="G541" s="11"/>
    </row>
    <row r="542" spans="2:7" x14ac:dyDescent="0.25">
      <c r="C542" s="1"/>
      <c r="D542" s="1"/>
      <c r="E542" s="1"/>
      <c r="F542" s="1"/>
      <c r="G542" s="11"/>
    </row>
    <row r="543" spans="2:7" x14ac:dyDescent="0.25">
      <c r="C543" s="1"/>
      <c r="D543" s="1"/>
      <c r="E543" s="1"/>
      <c r="F543" s="1"/>
      <c r="G543" s="11"/>
    </row>
    <row r="544" spans="2:7" x14ac:dyDescent="0.25">
      <c r="C544" s="1"/>
      <c r="D544" s="1"/>
      <c r="E544" s="1"/>
      <c r="F544" s="1"/>
      <c r="G544" s="11"/>
    </row>
    <row r="545" spans="2:7" x14ac:dyDescent="0.25">
      <c r="C545" s="1"/>
      <c r="D545" s="1"/>
      <c r="E545" s="1"/>
      <c r="F545" s="1"/>
      <c r="G545" s="11"/>
    </row>
    <row r="559" spans="2:7" x14ac:dyDescent="0.25">
      <c r="B559" s="1"/>
      <c r="C559" s="1"/>
      <c r="D559" s="1"/>
      <c r="E559" s="1"/>
      <c r="F559" s="1"/>
      <c r="G559" s="1"/>
    </row>
    <row r="560" spans="2:7" x14ac:dyDescent="0.25">
      <c r="B560" s="1"/>
      <c r="C560" s="1"/>
      <c r="D560" s="1"/>
      <c r="E560" s="1"/>
      <c r="F560" s="1"/>
      <c r="G560" s="1"/>
    </row>
    <row r="561" spans="2:7" x14ac:dyDescent="0.25">
      <c r="B561" s="1"/>
      <c r="C561" s="1"/>
      <c r="D561" s="1"/>
      <c r="E561" s="1"/>
      <c r="F561" s="1"/>
      <c r="G561" s="1"/>
    </row>
    <row r="562" spans="2:7" x14ac:dyDescent="0.25">
      <c r="B562" s="1"/>
      <c r="C562" s="1"/>
      <c r="D562" s="1"/>
      <c r="E562" s="1"/>
      <c r="F562" s="1"/>
      <c r="G562" s="1"/>
    </row>
    <row r="563" spans="2:7" x14ac:dyDescent="0.25">
      <c r="B563" s="1"/>
      <c r="C563" s="1"/>
      <c r="D563" s="1"/>
      <c r="E563" s="1"/>
      <c r="F563" s="1"/>
      <c r="G563" s="1"/>
    </row>
    <row r="564" spans="2:7" x14ac:dyDescent="0.25">
      <c r="B564" s="1"/>
      <c r="C564" s="1"/>
      <c r="D564" s="1"/>
      <c r="E564" s="1"/>
      <c r="F564" s="1"/>
      <c r="G564" s="1"/>
    </row>
    <row r="565" spans="2:7" x14ac:dyDescent="0.25">
      <c r="B565" s="1"/>
      <c r="C565" s="1"/>
      <c r="D565" s="1"/>
      <c r="E565" s="1"/>
      <c r="F565" s="1"/>
      <c r="G565" s="1"/>
    </row>
    <row r="566" spans="2:7" x14ac:dyDescent="0.25">
      <c r="B566" s="1"/>
      <c r="C566" s="1"/>
      <c r="D566" s="1"/>
      <c r="E566" s="1"/>
      <c r="F566" s="1"/>
      <c r="G566" s="1"/>
    </row>
    <row r="567" spans="2:7" x14ac:dyDescent="0.25">
      <c r="B567" s="1"/>
      <c r="C567" s="1"/>
      <c r="D567" s="1"/>
      <c r="E567" s="1"/>
      <c r="F567" s="1"/>
      <c r="G567" s="1"/>
    </row>
    <row r="568" spans="2:7" x14ac:dyDescent="0.25">
      <c r="B568" s="1"/>
      <c r="C568" s="1"/>
      <c r="D568" s="1"/>
      <c r="E568" s="1"/>
      <c r="F568" s="1"/>
      <c r="G568" s="1"/>
    </row>
    <row r="569" spans="2:7" x14ac:dyDescent="0.25">
      <c r="B569" s="1"/>
      <c r="C569" s="1"/>
      <c r="D569" s="1"/>
      <c r="E569" s="1"/>
      <c r="F569" s="1"/>
      <c r="G569" s="1"/>
    </row>
    <row r="570" spans="2:7" x14ac:dyDescent="0.25">
      <c r="B570" s="1"/>
      <c r="C570" s="1"/>
      <c r="D570" s="1"/>
      <c r="E570" s="1"/>
      <c r="F570" s="1"/>
      <c r="G570" s="1"/>
    </row>
    <row r="571" spans="2:7" x14ac:dyDescent="0.25">
      <c r="B571" s="1"/>
      <c r="C571" s="1"/>
      <c r="D571" s="1"/>
      <c r="E571" s="1"/>
      <c r="F571" s="1"/>
      <c r="G571" s="1"/>
    </row>
    <row r="572" spans="2:7" x14ac:dyDescent="0.25">
      <c r="B572" s="1"/>
      <c r="C572" s="1"/>
      <c r="D572" s="1"/>
      <c r="E572" s="1"/>
      <c r="F572" s="1"/>
      <c r="G572" s="1"/>
    </row>
    <row r="573" spans="2:7" x14ac:dyDescent="0.25">
      <c r="B573" s="1"/>
      <c r="C573" s="1"/>
      <c r="D573" s="1"/>
      <c r="E573" s="1"/>
      <c r="F573" s="1"/>
      <c r="G573" s="1"/>
    </row>
    <row r="574" spans="2:7" x14ac:dyDescent="0.25">
      <c r="B574" s="1"/>
      <c r="C574" s="1"/>
      <c r="D574" s="1"/>
      <c r="E574" s="1"/>
      <c r="F574" s="1"/>
      <c r="G574" s="1"/>
    </row>
    <row r="575" spans="2:7" x14ac:dyDescent="0.25">
      <c r="B575" s="1"/>
      <c r="C575" s="1"/>
      <c r="D575" s="1"/>
      <c r="E575" s="1"/>
      <c r="F575" s="1"/>
      <c r="G575" s="1"/>
    </row>
    <row r="576" spans="2:7" x14ac:dyDescent="0.25">
      <c r="B576" s="1"/>
      <c r="C576" s="1"/>
      <c r="D576" s="1"/>
      <c r="E576" s="1"/>
      <c r="F576" s="1"/>
      <c r="G576" s="1"/>
    </row>
    <row r="577" spans="2:7" x14ac:dyDescent="0.25">
      <c r="B577" s="1"/>
      <c r="C577" s="1"/>
      <c r="D577" s="1"/>
      <c r="E577" s="1"/>
      <c r="F577" s="1"/>
      <c r="G577" s="1"/>
    </row>
  </sheetData>
  <mergeCells count="81">
    <mergeCell ref="J22:L22"/>
    <mergeCell ref="B19:C19"/>
    <mergeCell ref="B18:D18"/>
    <mergeCell ref="AG1:AQ2"/>
    <mergeCell ref="M19:M21"/>
    <mergeCell ref="N19:N21"/>
    <mergeCell ref="O19:O21"/>
    <mergeCell ref="O16:O18"/>
    <mergeCell ref="J13:J15"/>
    <mergeCell ref="K13:K15"/>
    <mergeCell ref="O13:O15"/>
    <mergeCell ref="J16:J18"/>
    <mergeCell ref="J19:J21"/>
    <mergeCell ref="K19:K21"/>
    <mergeCell ref="L19:L21"/>
    <mergeCell ref="J10:J12"/>
    <mergeCell ref="L10:L12"/>
    <mergeCell ref="F8:F9"/>
    <mergeCell ref="B1:H2"/>
    <mergeCell ref="F5:G5"/>
    <mergeCell ref="E6:H6"/>
    <mergeCell ref="F4:G4"/>
    <mergeCell ref="G3:H3"/>
    <mergeCell ref="G8:G9"/>
    <mergeCell ref="J4:J6"/>
    <mergeCell ref="J7:J9"/>
    <mergeCell ref="K7:K9"/>
    <mergeCell ref="L7:L9"/>
    <mergeCell ref="J1:Y2"/>
    <mergeCell ref="T9:T11"/>
    <mergeCell ref="S9:S11"/>
    <mergeCell ref="R12:R14"/>
    <mergeCell ref="K16:K18"/>
    <mergeCell ref="L16:L18"/>
    <mergeCell ref="M16:M18"/>
    <mergeCell ref="N16:N18"/>
    <mergeCell ref="O4:O6"/>
    <mergeCell ref="O8:O9"/>
    <mergeCell ref="O10:O12"/>
    <mergeCell ref="L13:L15"/>
    <mergeCell ref="M13:M15"/>
    <mergeCell ref="N4:N6"/>
    <mergeCell ref="N13:N15"/>
    <mergeCell ref="M4:M6"/>
    <mergeCell ref="M10:M12"/>
    <mergeCell ref="N10:N12"/>
    <mergeCell ref="N7:N9"/>
    <mergeCell ref="K10:K12"/>
    <mergeCell ref="AD10:AD12"/>
    <mergeCell ref="AB10:AB12"/>
    <mergeCell ref="AC10:AC12"/>
    <mergeCell ref="AD7:AD9"/>
    <mergeCell ref="AB7:AB9"/>
    <mergeCell ref="AC7:AC9"/>
    <mergeCell ref="AA19:AA21"/>
    <mergeCell ref="AE16:AE18"/>
    <mergeCell ref="AD16:AD18"/>
    <mergeCell ref="AE13:AE15"/>
    <mergeCell ref="AC16:AC18"/>
    <mergeCell ref="AB16:AB18"/>
    <mergeCell ref="AE19:AE21"/>
    <mergeCell ref="AD19:AD21"/>
    <mergeCell ref="AC19:AC21"/>
    <mergeCell ref="AB19:AB21"/>
    <mergeCell ref="AD13:AD15"/>
    <mergeCell ref="Z1:AE2"/>
    <mergeCell ref="Z3:AA3"/>
    <mergeCell ref="R15:S15"/>
    <mergeCell ref="T15:U15"/>
    <mergeCell ref="V15:W15"/>
    <mergeCell ref="S12:S14"/>
    <mergeCell ref="Q5:Y5"/>
    <mergeCell ref="Q3:Y3"/>
    <mergeCell ref="Q4:Y4"/>
    <mergeCell ref="T12:T14"/>
    <mergeCell ref="U12:U14"/>
    <mergeCell ref="V12:V14"/>
    <mergeCell ref="W12:W14"/>
    <mergeCell ref="AE10:AE12"/>
    <mergeCell ref="AE7:AE9"/>
    <mergeCell ref="R10:R11"/>
  </mergeCells>
  <conditionalFormatting sqref="AG4:AG7">
    <cfRule type="containsText" dxfId="134" priority="298" operator="containsText" text="6">
      <formula>NOT(ISERROR(SEARCH("6",AG4)))</formula>
    </cfRule>
  </conditionalFormatting>
  <conditionalFormatting sqref="F4">
    <cfRule type="expression" dxfId="133" priority="229">
      <formula>IF($F$3,"Commander")</formula>
    </cfRule>
  </conditionalFormatting>
  <conditionalFormatting sqref="F4:G4">
    <cfRule type="containsText" dxfId="132" priority="228" operator="containsText" text="mini">
      <formula>NOT(ISERROR(SEARCH("mini",F4)))</formula>
    </cfRule>
  </conditionalFormatting>
  <conditionalFormatting sqref="O19:O21">
    <cfRule type="containsText" dxfId="131" priority="182" operator="containsText" text="bat">
      <formula>NOT(ISERROR(SEARCH("bat",O19)))</formula>
    </cfRule>
  </conditionalFormatting>
  <conditionalFormatting sqref="K16">
    <cfRule type="containsText" dxfId="130" priority="181" operator="containsText" text="cor">
      <formula>NOT(ISERROR(SEARCH("cor",K16)))</formula>
    </cfRule>
  </conditionalFormatting>
  <conditionalFormatting sqref="J13">
    <cfRule type="containsText" dxfId="129" priority="180" operator="containsText" text="urm">
      <formula>NOT(ISERROR(SEARCH("urm",J13)))</formula>
    </cfRule>
  </conditionalFormatting>
  <conditionalFormatting sqref="J10">
    <cfRule type="containsText" dxfId="128" priority="178" operator="containsText" text="cdv">
      <formula>NOT(ISERROR(SEARCH("cdv",J10)))</formula>
    </cfRule>
    <cfRule type="containsText" dxfId="127" priority="179" operator="containsText" text="urm">
      <formula>NOT(ISERROR(SEARCH("urm",J10)))</formula>
    </cfRule>
  </conditionalFormatting>
  <conditionalFormatting sqref="J7">
    <cfRule type="containsText" dxfId="126" priority="177" operator="containsText" text="car">
      <formula>NOT(ISERROR(SEARCH("car",J7)))</formula>
    </cfRule>
  </conditionalFormatting>
  <conditionalFormatting sqref="K7">
    <cfRule type="containsText" dxfId="125" priority="176" operator="containsText" text="aip">
      <formula>NOT(ISERROR(SEARCH("aip",K7)))</formula>
    </cfRule>
  </conditionalFormatting>
  <conditionalFormatting sqref="L7">
    <cfRule type="containsText" dxfId="124" priority="175" operator="containsText" text="nor">
      <formula>NOT(ISERROR(SEARCH("nor",L7)))</formula>
    </cfRule>
  </conditionalFormatting>
  <conditionalFormatting sqref="O4">
    <cfRule type="containsText" dxfId="123" priority="174" operator="containsText" text="gig">
      <formula>NOT(ISERROR(SEARCH("gig",O4)))</formula>
    </cfRule>
  </conditionalFormatting>
  <conditionalFormatting sqref="N4">
    <cfRule type="containsText" dxfId="122" priority="173" operator="containsText" text="fin">
      <formula>NOT(ISERROR(SEARCH("fin",N4)))</formula>
    </cfRule>
  </conditionalFormatting>
  <conditionalFormatting sqref="M4">
    <cfRule type="containsText" dxfId="121" priority="172" operator="containsText" text="chu">
      <formula>NOT(ISERROR(SEARCH("chu",M4)))</formula>
    </cfRule>
  </conditionalFormatting>
  <conditionalFormatting sqref="R9">
    <cfRule type="containsText" dxfId="120" priority="171" operator="containsText" text="eat">
      <formula>NOT(ISERROR(SEARCH("eat",R9)))</formula>
    </cfRule>
  </conditionalFormatting>
  <conditionalFormatting sqref="R10">
    <cfRule type="containsText" dxfId="119" priority="170" operator="containsText" text="sch">
      <formula>NOT(ISERROR(SEARCH("sch",R10)))</formula>
    </cfRule>
  </conditionalFormatting>
  <conditionalFormatting sqref="S9">
    <cfRule type="containsText" dxfId="118" priority="169" operator="containsText" text="leg">
      <formula>NOT(ISERROR(SEARCH("leg",S9)))</formula>
    </cfRule>
  </conditionalFormatting>
  <conditionalFormatting sqref="T9">
    <cfRule type="containsText" dxfId="117" priority="168" operator="containsText" text="leg">
      <formula>NOT(ISERROR(SEARCH("leg",T9)))</formula>
    </cfRule>
  </conditionalFormatting>
  <conditionalFormatting sqref="Q5 AE5:AE6">
    <cfRule type="containsText" dxfId="116" priority="167" operator="containsText" text="nug">
      <formula>NOT(ISERROR(SEARCH("nug",Q5)))</formula>
    </cfRule>
  </conditionalFormatting>
  <conditionalFormatting sqref="R12:S14">
    <cfRule type="containsText" dxfId="115" priority="166" operator="containsText" text="biz">
      <formula>NOT(ISERROR(SEARCH("biz",R12)))</formula>
    </cfRule>
  </conditionalFormatting>
  <conditionalFormatting sqref="AE7">
    <cfRule type="containsText" dxfId="114" priority="165" operator="containsText" text="ess">
      <formula>NOT(ISERROR(SEARCH("ess",AE7)))</formula>
    </cfRule>
  </conditionalFormatting>
  <conditionalFormatting sqref="AE13">
    <cfRule type="containsText" dxfId="113" priority="163" operator="containsText" text="ari">
      <formula>NOT(ISERROR(SEARCH("ari",AE13)))</formula>
    </cfRule>
  </conditionalFormatting>
  <conditionalFormatting sqref="AD13">
    <cfRule type="containsText" dxfId="112" priority="162" operator="containsText" text="ilo">
      <formula>NOT(ISERROR(SEARCH("ilo",AD13)))</formula>
    </cfRule>
  </conditionalFormatting>
  <conditionalFormatting sqref="J4">
    <cfRule type="containsText" dxfId="111" priority="161" operator="containsText" text="neut">
      <formula>NOT(ISERROR(SEARCH("neut",J4)))</formula>
    </cfRule>
  </conditionalFormatting>
  <conditionalFormatting sqref="AB16:AC16">
    <cfRule type="containsText" dxfId="110" priority="160" operator="containsText" text="ass">
      <formula>NOT(ISERROR(SEARCH("ass",AB16)))</formula>
    </cfRule>
  </conditionalFormatting>
  <conditionalFormatting sqref="AD19:AE21">
    <cfRule type="containsText" dxfId="109" priority="159" operator="containsText" text="dah">
      <formula>NOT(ISERROR(SEARCH("dah",AD19)))</formula>
    </cfRule>
  </conditionalFormatting>
  <conditionalFormatting sqref="AB19:AC21">
    <cfRule type="containsText" dxfId="108" priority="158" operator="containsText" text="sam">
      <formula>NOT(ISERROR(SEARCH("sam",AB19)))</formula>
    </cfRule>
  </conditionalFormatting>
  <conditionalFormatting sqref="N7">
    <cfRule type="containsText" dxfId="107" priority="157" operator="containsText" text="cast">
      <formula>NOT(ISERROR(SEARCH("cast",N7)))</formula>
    </cfRule>
  </conditionalFormatting>
  <conditionalFormatting sqref="AA19:AA21">
    <cfRule type="containsText" dxfId="106" priority="156" operator="containsText" text="vid">
      <formula>NOT(ISERROR(SEARCH("vid",AA19)))</formula>
    </cfRule>
  </conditionalFormatting>
  <conditionalFormatting sqref="O7">
    <cfRule type="containsText" dxfId="105" priority="153" operator="containsText" text="a3m">
      <formula>NOT(ISERROR(SEARCH("a3m",O7)))</formula>
    </cfRule>
    <cfRule type="containsText" dxfId="104" priority="155" operator="containsText" text="eat">
      <formula>NOT(ISERROR(SEARCH("eat",O7)))</formula>
    </cfRule>
  </conditionalFormatting>
  <conditionalFormatting sqref="O8">
    <cfRule type="containsText" dxfId="103" priority="154" operator="containsText" text="cast">
      <formula>NOT(ISERROR(SEARCH("cast",O8)))</formula>
    </cfRule>
  </conditionalFormatting>
  <conditionalFormatting sqref="AG12">
    <cfRule type="containsText" dxfId="102" priority="50" operator="containsText" text="1">
      <formula>NOT(ISERROR(SEARCH("1",AG12)))</formula>
    </cfRule>
    <cfRule type="containsText" dxfId="101" priority="143" operator="containsText" text="1">
      <formula>NOT(ISERROR(SEARCH("1",AG12)))</formula>
    </cfRule>
  </conditionalFormatting>
  <conditionalFormatting sqref="AG10:AG11">
    <cfRule type="containsText" dxfId="100" priority="142" operator="containsText" text="2">
      <formula>NOT(ISERROR(SEARCH("2",AG10)))</formula>
    </cfRule>
  </conditionalFormatting>
  <conditionalFormatting sqref="AG9">
    <cfRule type="containsText" dxfId="99" priority="53" operator="containsText" text="4">
      <formula>NOT(ISERROR(SEARCH("4",AG9)))</formula>
    </cfRule>
    <cfRule type="containsText" dxfId="98" priority="140" operator="containsText" text="4">
      <formula>NOT(ISERROR(SEARCH("4",AG9)))</formula>
    </cfRule>
  </conditionalFormatting>
  <conditionalFormatting sqref="AG8">
    <cfRule type="containsText" dxfId="97" priority="54" operator="containsText" text="5">
      <formula>NOT(ISERROR(SEARCH("5",AG8)))</formula>
    </cfRule>
    <cfRule type="containsText" dxfId="96" priority="139" operator="containsText" text="5">
      <formula>NOT(ISERROR(SEARCH("5",AG8)))</formula>
    </cfRule>
  </conditionalFormatting>
  <conditionalFormatting sqref="AH12:AI12 AL12">
    <cfRule type="containsText" dxfId="95" priority="125" operator="containsText" text="10">
      <formula>NOT(ISERROR(SEARCH("10",AH12)))</formula>
    </cfRule>
  </conditionalFormatting>
  <conditionalFormatting sqref="AH11:AI11 AK11">
    <cfRule type="containsText" dxfId="94" priority="124" operator="containsText" text="11">
      <formula>NOT(ISERROR(SEARCH("11",AH11)))</formula>
    </cfRule>
  </conditionalFormatting>
  <conditionalFormatting sqref="AH10:AI10 AK10">
    <cfRule type="containsText" dxfId="93" priority="123" operator="containsText" text="12">
      <formula>NOT(ISERROR(SEARCH("12",AH10)))</formula>
    </cfRule>
  </conditionalFormatting>
  <conditionalFormatting sqref="AH9:AI9 AK9">
    <cfRule type="containsText" dxfId="92" priority="122" operator="containsText" text="13">
      <formula>NOT(ISERROR(SEARCH("13",AH9)))</formula>
    </cfRule>
  </conditionalFormatting>
  <conditionalFormatting sqref="AJ20">
    <cfRule type="containsText" dxfId="91" priority="92" operator="containsText" text="50">
      <formula>NOT(ISERROR(SEARCH("50",AJ20)))</formula>
    </cfRule>
    <cfRule type="containsText" dxfId="90" priority="96" operator="containsText" text="50">
      <formula>NOT(ISERROR(SEARCH("50",AJ20)))</formula>
    </cfRule>
  </conditionalFormatting>
  <conditionalFormatting sqref="AQ4:AQ14">
    <cfRule type="containsText" dxfId="89" priority="95" operator="containsText" text="37">
      <formula>NOT(ISERROR(SEARCH("37",AQ4)))</formula>
    </cfRule>
  </conditionalFormatting>
  <conditionalFormatting sqref="AJ21">
    <cfRule type="containsText" dxfId="88" priority="93" operator="containsText" text="49">
      <formula>NOT(ISERROR(SEARCH("49",AJ21)))</formula>
    </cfRule>
    <cfRule type="containsText" dxfId="87" priority="94" operator="containsText" text="50">
      <formula>NOT(ISERROR(SEARCH("50",AJ21)))</formula>
    </cfRule>
  </conditionalFormatting>
  <conditionalFormatting sqref="AJ19">
    <cfRule type="containsText" dxfId="86" priority="91" operator="containsText" text="51">
      <formula>NOT(ISERROR(SEARCH("51",AJ19)))</formula>
    </cfRule>
  </conditionalFormatting>
  <conditionalFormatting sqref="AI19">
    <cfRule type="containsText" dxfId="85" priority="90" operator="containsText" text="48">
      <formula>NOT(ISERROR(SEARCH("48",AI19)))</formula>
    </cfRule>
  </conditionalFormatting>
  <conditionalFormatting sqref="AI20">
    <cfRule type="containsText" dxfId="84" priority="89" operator="containsText" text="47">
      <formula>NOT(ISERROR(SEARCH("47",AI20)))</formula>
    </cfRule>
  </conditionalFormatting>
  <conditionalFormatting sqref="AI21">
    <cfRule type="containsText" dxfId="83" priority="88" operator="containsText" text="46">
      <formula>NOT(ISERROR(SEARCH("46",AI21)))</formula>
    </cfRule>
  </conditionalFormatting>
  <conditionalFormatting sqref="AH21">
    <cfRule type="containsText" dxfId="82" priority="87" operator="containsText" text="43">
      <formula>NOT(ISERROR(SEARCH("43",AH21)))</formula>
    </cfRule>
  </conditionalFormatting>
  <conditionalFormatting sqref="AH19">
    <cfRule type="containsText" dxfId="81" priority="86" operator="containsText" text="44">
      <formula>NOT(ISERROR(SEARCH("44",AH19)))</formula>
    </cfRule>
  </conditionalFormatting>
  <conditionalFormatting sqref="AH18">
    <cfRule type="containsText" dxfId="80" priority="85" operator="containsText" text="45">
      <formula>NOT(ISERROR(SEARCH("45",AH18)))</formula>
    </cfRule>
  </conditionalFormatting>
  <conditionalFormatting sqref="AG21">
    <cfRule type="containsText" dxfId="79" priority="84" operator="containsText" text="38">
      <formula>NOT(ISERROR(SEARCH("38",AG21)))</formula>
    </cfRule>
  </conditionalFormatting>
  <conditionalFormatting sqref="AG20">
    <cfRule type="containsText" dxfId="78" priority="83" operator="containsText" text="39">
      <formula>NOT(ISERROR(SEARCH("39",AG20)))</formula>
    </cfRule>
  </conditionalFormatting>
  <conditionalFormatting sqref="AG19">
    <cfRule type="containsText" dxfId="77" priority="82" operator="containsText" text="40">
      <formula>NOT(ISERROR(SEARCH("40",AG19)))</formula>
    </cfRule>
  </conditionalFormatting>
  <conditionalFormatting sqref="AG18">
    <cfRule type="containsText" dxfId="76" priority="81" operator="containsText" text="41">
      <formula>NOT(ISERROR(SEARCH("41",AG18)))</formula>
    </cfRule>
  </conditionalFormatting>
  <conditionalFormatting sqref="AQ14">
    <cfRule type="containsText" dxfId="75" priority="79" operator="containsText" text="27">
      <formula>NOT(ISERROR(SEARCH("27",AQ14)))</formula>
    </cfRule>
  </conditionalFormatting>
  <conditionalFormatting sqref="AQ13">
    <cfRule type="containsText" dxfId="74" priority="78" operator="containsText" text="28">
      <formula>NOT(ISERROR(SEARCH("28",AQ13)))</formula>
    </cfRule>
  </conditionalFormatting>
  <conditionalFormatting sqref="AQ12">
    <cfRule type="containsText" dxfId="73" priority="77" operator="containsText" text="29">
      <formula>NOT(ISERROR(SEARCH("29",AQ12)))</formula>
    </cfRule>
  </conditionalFormatting>
  <conditionalFormatting sqref="AQ11">
    <cfRule type="containsText" dxfId="72" priority="76" operator="containsText" text="30">
      <formula>NOT(ISERROR(SEARCH("30",AQ11)))</formula>
    </cfRule>
  </conditionalFormatting>
  <conditionalFormatting sqref="AQ10">
    <cfRule type="containsText" dxfId="71" priority="75" operator="containsText" text="31">
      <formula>NOT(ISERROR(SEARCH("31",AQ10)))</formula>
    </cfRule>
  </conditionalFormatting>
  <conditionalFormatting sqref="AQ9">
    <cfRule type="containsText" dxfId="70" priority="74" operator="containsText" text="32">
      <formula>NOT(ISERROR(SEARCH("32",AQ9)))</formula>
    </cfRule>
  </conditionalFormatting>
  <conditionalFormatting sqref="AQ8">
    <cfRule type="containsText" dxfId="69" priority="73" operator="containsText" text="33">
      <formula>NOT(ISERROR(SEARCH("33",AQ8)))</formula>
    </cfRule>
  </conditionalFormatting>
  <conditionalFormatting sqref="AQ7">
    <cfRule type="containsText" dxfId="68" priority="72" operator="containsText" text="34">
      <formula>NOT(ISERROR(SEARCH("34",AQ7)))</formula>
    </cfRule>
  </conditionalFormatting>
  <conditionalFormatting sqref="AQ6">
    <cfRule type="containsText" dxfId="67" priority="71" operator="containsText" text="35">
      <formula>NOT(ISERROR(SEARCH("35",AQ6)))</formula>
    </cfRule>
  </conditionalFormatting>
  <conditionalFormatting sqref="AQ5">
    <cfRule type="containsText" dxfId="66" priority="70" operator="containsText" text="36">
      <formula>NOT(ISERROR(SEARCH("36",AQ5)))</formula>
    </cfRule>
  </conditionalFormatting>
  <conditionalFormatting sqref="AQ4">
    <cfRule type="containsText" dxfId="65" priority="69" operator="containsText" text="37">
      <formula>NOT(ISERROR(SEARCH("37",AQ4)))</formula>
    </cfRule>
  </conditionalFormatting>
  <conditionalFormatting sqref="AL21">
    <cfRule type="containsText" dxfId="64" priority="68" operator="containsText" text="52">
      <formula>NOT(ISERROR(SEARCH("52",AL21)))</formula>
    </cfRule>
  </conditionalFormatting>
  <conditionalFormatting sqref="AL20">
    <cfRule type="containsText" dxfId="63" priority="67" operator="containsText" text="53">
      <formula>NOT(ISERROR(SEARCH("53",AL20)))</formula>
    </cfRule>
  </conditionalFormatting>
  <conditionalFormatting sqref="AL19">
    <cfRule type="containsText" dxfId="62" priority="66" operator="containsText" text="54">
      <formula>NOT(ISERROR(SEARCH("54",AL19)))</formula>
    </cfRule>
  </conditionalFormatting>
  <conditionalFormatting sqref="X14">
    <cfRule type="containsText" dxfId="61" priority="65" operator="containsText" text="x">
      <formula>NOT(ISERROR(SEARCH("x",X14)))</formula>
    </cfRule>
  </conditionalFormatting>
  <conditionalFormatting sqref="V15">
    <cfRule type="containsText" dxfId="60" priority="61" operator="containsText" text="x">
      <formula>NOT(ISERROR(SEARCH("x",V15)))</formula>
    </cfRule>
  </conditionalFormatting>
  <conditionalFormatting sqref="Q15:R15">
    <cfRule type="containsText" dxfId="59" priority="64" operator="containsText" text="x">
      <formula>NOT(ISERROR(SEARCH("x",Q15)))</formula>
    </cfRule>
  </conditionalFormatting>
  <conditionalFormatting sqref="T15">
    <cfRule type="containsText" dxfId="58" priority="62" operator="containsText" text="x">
      <formula>NOT(ISERROR(SEARCH("x",T15)))</formula>
    </cfRule>
  </conditionalFormatting>
  <conditionalFormatting sqref="Z3:AA3">
    <cfRule type="containsText" dxfId="57" priority="60" operator="containsText" text="x">
      <formula>NOT(ISERROR(SEARCH("x",Z3)))</formula>
    </cfRule>
  </conditionalFormatting>
  <conditionalFormatting sqref="Q9">
    <cfRule type="containsText" dxfId="56" priority="59" operator="containsText" text="x">
      <formula>NOT(ISERROR(SEARCH("x",Q9)))</formula>
    </cfRule>
  </conditionalFormatting>
  <conditionalFormatting sqref="AG4">
    <cfRule type="containsText" dxfId="55" priority="58" operator="containsText" text="9">
      <formula>NOT(ISERROR(SEARCH("9",AG4)))</formula>
    </cfRule>
  </conditionalFormatting>
  <conditionalFormatting sqref="AG5">
    <cfRule type="containsText" dxfId="54" priority="57" operator="containsText" text="8">
      <formula>NOT(ISERROR(SEARCH("8",AG5)))</formula>
    </cfRule>
  </conditionalFormatting>
  <conditionalFormatting sqref="AG6">
    <cfRule type="containsText" dxfId="53" priority="56" operator="containsText" text="7">
      <formula>NOT(ISERROR(SEARCH("7",AG6)))</formula>
    </cfRule>
  </conditionalFormatting>
  <conditionalFormatting sqref="AG7">
    <cfRule type="containsText" dxfId="52" priority="55" operator="containsText" text="6">
      <formula>NOT(ISERROR(SEARCH("6",AG7)))</formula>
    </cfRule>
  </conditionalFormatting>
  <conditionalFormatting sqref="AG10">
    <cfRule type="containsText" dxfId="51" priority="52" operator="containsText" text="3">
      <formula>NOT(ISERROR(SEARCH("3",AG10)))</formula>
    </cfRule>
  </conditionalFormatting>
  <conditionalFormatting sqref="AG11">
    <cfRule type="containsText" dxfId="50" priority="51" operator="containsText" text="2">
      <formula>NOT(ISERROR(SEARCH("2",AG11)))</formula>
    </cfRule>
  </conditionalFormatting>
  <conditionalFormatting sqref="Q10">
    <cfRule type="containsText" dxfId="49" priority="49" operator="containsText" text="x">
      <formula>NOT(ISERROR(SEARCH("x",Q10)))</formula>
    </cfRule>
  </conditionalFormatting>
  <conditionalFormatting sqref="Q11">
    <cfRule type="containsText" dxfId="48" priority="48" operator="containsText" text="x">
      <formula>NOT(ISERROR(SEARCH("x",Q11)))</formula>
    </cfRule>
  </conditionalFormatting>
  <conditionalFormatting sqref="Q12">
    <cfRule type="containsText" dxfId="47" priority="47" operator="containsText" text="x">
      <formula>NOT(ISERROR(SEARCH("x",Q12)))</formula>
    </cfRule>
  </conditionalFormatting>
  <conditionalFormatting sqref="Q13">
    <cfRule type="containsText" dxfId="46" priority="46" operator="containsText" text="x">
      <formula>NOT(ISERROR(SEARCH("x",Q13)))</formula>
    </cfRule>
  </conditionalFormatting>
  <conditionalFormatting sqref="Q14">
    <cfRule type="containsText" dxfId="45" priority="45" operator="containsText" text="x">
      <formula>NOT(ISERROR(SEARCH("x",Q14)))</formula>
    </cfRule>
  </conditionalFormatting>
  <conditionalFormatting sqref="AL12">
    <cfRule type="containsText" dxfId="44" priority="44" operator="containsText" text="26">
      <formula>NOT(ISERROR(SEARCH("26",AL12)))</formula>
    </cfRule>
  </conditionalFormatting>
  <conditionalFormatting sqref="AK12">
    <cfRule type="containsText" dxfId="43" priority="39" operator="containsText" text="22">
      <formula>NOT(ISERROR(SEARCH("22",AK12)))</formula>
    </cfRule>
    <cfRule type="containsText" dxfId="42" priority="41" operator="containsText" text="10">
      <formula>NOT(ISERROR(SEARCH("10",AK12)))</formula>
    </cfRule>
  </conditionalFormatting>
  <conditionalFormatting sqref="AK12">
    <cfRule type="containsText" dxfId="41" priority="40" operator="containsText" text="26">
      <formula>NOT(ISERROR(SEARCH("26",AK12)))</formula>
    </cfRule>
  </conditionalFormatting>
  <conditionalFormatting sqref="AK11">
    <cfRule type="containsText" dxfId="40" priority="38" operator="containsText" text="23">
      <formula>NOT(ISERROR(SEARCH("23",AK11)))</formula>
    </cfRule>
  </conditionalFormatting>
  <conditionalFormatting sqref="AK10">
    <cfRule type="containsText" dxfId="39" priority="37" operator="containsText" text="24">
      <formula>NOT(ISERROR(SEARCH("24",AK10)))</formula>
    </cfRule>
  </conditionalFormatting>
  <conditionalFormatting sqref="AK9">
    <cfRule type="containsText" dxfId="38" priority="36" operator="containsText" text="25">
      <formula>NOT(ISERROR(SEARCH("25",AK9)))</formula>
    </cfRule>
  </conditionalFormatting>
  <conditionalFormatting sqref="AJ11">
    <cfRule type="containsText" dxfId="37" priority="24" operator="containsText" text="19">
      <formula>NOT(ISERROR(SEARCH("19",AJ11)))</formula>
    </cfRule>
    <cfRule type="containsText" dxfId="36" priority="35" operator="containsText" text="11">
      <formula>NOT(ISERROR(SEARCH("11",AJ11)))</formula>
    </cfRule>
  </conditionalFormatting>
  <conditionalFormatting sqref="AJ10">
    <cfRule type="containsText" dxfId="35" priority="25" operator="containsText" text="20">
      <formula>NOT(ISERROR(SEARCH("20",AJ10)))</formula>
    </cfRule>
    <cfRule type="containsText" dxfId="34" priority="34" operator="containsText" text="12">
      <formula>NOT(ISERROR(SEARCH("12",AJ10)))</formula>
    </cfRule>
  </conditionalFormatting>
  <conditionalFormatting sqref="AJ9">
    <cfRule type="containsText" dxfId="33" priority="26" operator="containsText" text="21">
      <formula>NOT(ISERROR(SEARCH("21",AJ9)))</formula>
    </cfRule>
    <cfRule type="containsText" dxfId="32" priority="33" operator="containsText" text="13">
      <formula>NOT(ISERROR(SEARCH("13",AJ9)))</formula>
    </cfRule>
  </conditionalFormatting>
  <conditionalFormatting sqref="AJ12">
    <cfRule type="containsText" dxfId="31" priority="23" operator="containsText" text="18">
      <formula>NOT(ISERROR(SEARCH("18",AJ12)))</formula>
    </cfRule>
    <cfRule type="containsText" dxfId="30" priority="30" operator="containsText" text="22">
      <formula>NOT(ISERROR(SEARCH("22",AJ12)))</formula>
    </cfRule>
    <cfRule type="containsText" dxfId="29" priority="32" operator="containsText" text="10">
      <formula>NOT(ISERROR(SEARCH("10",AJ12)))</formula>
    </cfRule>
  </conditionalFormatting>
  <conditionalFormatting sqref="AJ12">
    <cfRule type="containsText" dxfId="28" priority="31" operator="containsText" text="26">
      <formula>NOT(ISERROR(SEARCH("26",AJ12)))</formula>
    </cfRule>
  </conditionalFormatting>
  <conditionalFormatting sqref="AJ11">
    <cfRule type="containsText" dxfId="27" priority="29" operator="containsText" text="23">
      <formula>NOT(ISERROR(SEARCH("23",AJ11)))</formula>
    </cfRule>
  </conditionalFormatting>
  <conditionalFormatting sqref="AJ10">
    <cfRule type="containsText" dxfId="26" priority="28" operator="containsText" text="24">
      <formula>NOT(ISERROR(SEARCH("24",AJ10)))</formula>
    </cfRule>
  </conditionalFormatting>
  <conditionalFormatting sqref="AJ9">
    <cfRule type="containsText" dxfId="25" priority="27" operator="containsText" text="25">
      <formula>NOT(ISERROR(SEARCH("25",AJ9)))</formula>
    </cfRule>
  </conditionalFormatting>
  <conditionalFormatting sqref="AI12">
    <cfRule type="containsText" dxfId="24" priority="22" operator="containsText" text="14">
      <formula>NOT(ISERROR(SEARCH("14",AI12)))</formula>
    </cfRule>
  </conditionalFormatting>
  <conditionalFormatting sqref="AI11">
    <cfRule type="containsText" dxfId="23" priority="21" operator="containsText" text="15">
      <formula>NOT(ISERROR(SEARCH("15",AI11)))</formula>
    </cfRule>
  </conditionalFormatting>
  <conditionalFormatting sqref="AI10">
    <cfRule type="containsText" dxfId="22" priority="20" operator="containsText" text="16">
      <formula>NOT(ISERROR(SEARCH("16",AI10)))</formula>
    </cfRule>
  </conditionalFormatting>
  <conditionalFormatting sqref="AI9">
    <cfRule type="containsText" dxfId="21" priority="19" operator="containsText" text="17">
      <formula>NOT(ISERROR(SEARCH("17",AI9)))</formula>
    </cfRule>
  </conditionalFormatting>
  <conditionalFormatting sqref="AE16:AE18">
    <cfRule type="containsText" dxfId="20" priority="18" operator="containsText" text="era">
      <formula>NOT(ISERROR(SEARCH("era",AE16)))</formula>
    </cfRule>
  </conditionalFormatting>
  <conditionalFormatting sqref="K13:K15">
    <cfRule type="containsText" dxfId="19" priority="17" operator="containsText" text="ald">
      <formula>NOT(ISERROR(SEARCH("ald",K13)))</formula>
    </cfRule>
  </conditionalFormatting>
  <conditionalFormatting sqref="AD16:AD18">
    <cfRule type="containsText" dxfId="18" priority="16" operator="containsText" text="pow">
      <formula>NOT(ISERROR(SEARCH("pow",AD16)))</formula>
    </cfRule>
  </conditionalFormatting>
  <conditionalFormatting sqref="AE10:AE12">
    <cfRule type="containsText" dxfId="17" priority="15" operator="containsText" text="rsi">
      <formula>NOT(ISERROR(SEARCH("rsi",AE10)))</formula>
    </cfRule>
  </conditionalFormatting>
  <conditionalFormatting sqref="K10:K12">
    <cfRule type="containsText" dxfId="16" priority="13" operator="containsText" text="come">
      <formula>NOT(ISERROR(SEARCH("come",K10)))</formula>
    </cfRule>
    <cfRule type="containsText" dxfId="15" priority="14" operator="containsText" text="comelit">
      <formula>NOT(ISERROR(SEARCH("comelit",K10)))</formula>
    </cfRule>
  </conditionalFormatting>
  <conditionalFormatting sqref="F23:F200">
    <cfRule type="cellIs" dxfId="14" priority="12" operator="lessThan">
      <formula>0</formula>
    </cfRule>
  </conditionalFormatting>
  <conditionalFormatting sqref="F23:F197">
    <cfRule type="cellIs" dxfId="13" priority="11" operator="greaterThan">
      <formula>0</formula>
    </cfRule>
  </conditionalFormatting>
  <conditionalFormatting sqref="F198">
    <cfRule type="cellIs" dxfId="12" priority="10" operator="greaterThan">
      <formula>0</formula>
    </cfRule>
  </conditionalFormatting>
  <conditionalFormatting sqref="F199">
    <cfRule type="cellIs" dxfId="11" priority="9" operator="greaterThan">
      <formula>0</formula>
    </cfRule>
  </conditionalFormatting>
  <conditionalFormatting sqref="F200">
    <cfRule type="cellIs" dxfId="10" priority="8" operator="greaterThan">
      <formula>0</formula>
    </cfRule>
  </conditionalFormatting>
  <conditionalFormatting sqref="B18:D18">
    <cfRule type="cellIs" dxfId="9" priority="3" operator="equal">
      <formula>0</formula>
    </cfRule>
    <cfRule type="cellIs" dxfId="8" priority="4" operator="lessThan">
      <formula>1</formula>
    </cfRule>
  </conditionalFormatting>
  <conditionalFormatting sqref="AG17">
    <cfRule type="containsText" dxfId="7" priority="2" operator="containsText" text="40">
      <formula>NOT(ISERROR(SEARCH("40",AG17)))</formula>
    </cfRule>
  </conditionalFormatting>
  <conditionalFormatting sqref="AG16">
    <cfRule type="containsText" dxfId="6" priority="1" operator="containsText" text="40">
      <formula>NOT(ISERROR(SEARCH("40",AG16)))</formula>
    </cfRule>
  </conditionalFormatting>
  <conditionalFormatting sqref="G3:H3">
    <cfRule type="expression" dxfId="5" priority="227">
      <formula>(COUNTIF(#REF!,"Commander")&gt;=1)</formula>
    </cfRule>
  </conditionalFormatting>
  <dataValidations count="5">
    <dataValidation type="list" allowBlank="1" showInputMessage="1" showErrorMessage="1" sqref="F559:F561" xr:uid="{EE3AFBE1-0BA5-4575-BDD1-3E4C10B3BF03}">
      <formula1>$G$3:$G$7</formula1>
    </dataValidation>
    <dataValidation type="list" allowBlank="1" showInputMessage="1" showErrorMessage="1" sqref="B559:C561 B4" xr:uid="{79F38338-F4C0-413D-AADF-141138F92768}">
      <formula1>#REF!</formula1>
    </dataValidation>
    <dataValidation type="list" allowBlank="1" showInputMessage="1" showErrorMessage="1" sqref="E559:E561" xr:uid="{38FD5822-017A-4F75-A824-718B1B8E6842}">
      <formula1>$L$4:$L$9</formula1>
    </dataValidation>
    <dataValidation type="list" errorStyle="information" allowBlank="1" showInputMessage="1" showErrorMessage="1" errorTitle="ok" sqref="C13" xr:uid="{ECFD6253-0072-4BED-BBE3-C38E9530B08E}">
      <formula1>#REF!</formula1>
    </dataValidation>
    <dataValidation type="list" errorStyle="warning" allowBlank="1" showInputMessage="1" showErrorMessage="1" errorTitle="ok" sqref="C15" xr:uid="{7C1D4394-E373-42BE-9006-EE5D1E8C6BD3}">
      <formula1>#REF!</formula1>
    </dataValidation>
  </dataValidations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mouv">
                <anchor moveWithCells="1" sizeWithCells="1">
                  <from>
                    <xdr:col>3</xdr:col>
                    <xdr:colOff>285750</xdr:colOff>
                    <xdr:row>13</xdr:row>
                    <xdr:rowOff>85725</xdr:rowOff>
                  </from>
                  <to>
                    <xdr:col>4</xdr:col>
                    <xdr:colOff>295275</xdr:colOff>
                    <xdr:row>15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RAZ">
                <anchor moveWithCells="1" sizeWithCells="1">
                  <from>
                    <xdr:col>3</xdr:col>
                    <xdr:colOff>361950</xdr:colOff>
                    <xdr:row>8</xdr:row>
                    <xdr:rowOff>114300</xdr:rowOff>
                  </from>
                  <to>
                    <xdr:col>4</xdr:col>
                    <xdr:colOff>180975</xdr:colOff>
                    <xdr:row>10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F8F20A-C57A-4065-80EC-88DC3F3DB137}">
  <sheetPr codeName="Feuil8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93149-E958-44A8-B154-D903019196C3}">
  <sheetPr codeName="Feuil10">
    <tabColor rgb="FFFF0000"/>
  </sheetPr>
  <dimension ref="A1:Q45"/>
  <sheetViews>
    <sheetView tabSelected="1" workbookViewId="0">
      <selection activeCell="F33" sqref="F33"/>
    </sheetView>
  </sheetViews>
  <sheetFormatPr baseColWidth="10" defaultRowHeight="15" x14ac:dyDescent="0.25"/>
  <cols>
    <col min="1" max="1" width="2.85546875" style="84" customWidth="1"/>
    <col min="2" max="2" width="16.42578125" customWidth="1"/>
    <col min="3" max="3" width="22" customWidth="1"/>
    <col min="4" max="4" width="12.7109375" customWidth="1"/>
    <col min="5" max="5" width="12.7109375" style="84" customWidth="1"/>
    <col min="6" max="6" width="9.85546875" customWidth="1"/>
    <col min="9" max="9" width="22.7109375" customWidth="1"/>
  </cols>
  <sheetData>
    <row r="1" spans="2:17" x14ac:dyDescent="0.25">
      <c r="B1" s="170" t="s">
        <v>269</v>
      </c>
      <c r="C1" s="170"/>
      <c r="D1" s="170"/>
      <c r="E1" s="170"/>
      <c r="F1" s="170"/>
      <c r="G1" s="170"/>
      <c r="H1" s="170"/>
      <c r="I1" s="170"/>
    </row>
    <row r="2" spans="2:17" x14ac:dyDescent="0.25">
      <c r="B2" s="170"/>
      <c r="C2" s="170"/>
      <c r="D2" s="170"/>
      <c r="E2" s="170"/>
      <c r="F2" s="170"/>
      <c r="G2" s="170"/>
      <c r="H2" s="170"/>
      <c r="I2" s="170"/>
    </row>
    <row r="3" spans="2:17" ht="15.75" customHeight="1" x14ac:dyDescent="0.25">
      <c r="B3" s="90" t="s">
        <v>0</v>
      </c>
      <c r="C3" s="3"/>
      <c r="D3" s="96" t="s">
        <v>278</v>
      </c>
      <c r="E3" s="3"/>
      <c r="F3" s="20"/>
      <c r="G3" s="22"/>
      <c r="H3" s="144"/>
      <c r="I3" s="145"/>
    </row>
    <row r="4" spans="2:17" ht="15.75" customHeight="1" x14ac:dyDescent="0.25">
      <c r="B4" s="85" t="s">
        <v>12</v>
      </c>
      <c r="C4" s="48"/>
      <c r="D4" s="173">
        <v>2</v>
      </c>
      <c r="E4" s="48"/>
      <c r="F4" s="89"/>
      <c r="G4" s="143"/>
      <c r="H4" s="143"/>
      <c r="I4" s="89"/>
      <c r="N4" s="84"/>
      <c r="O4" s="84"/>
      <c r="P4" s="84"/>
    </row>
    <row r="5" spans="2:17" x14ac:dyDescent="0.25">
      <c r="B5" s="89"/>
      <c r="C5" s="3"/>
      <c r="D5" s="48"/>
      <c r="E5" s="48"/>
      <c r="F5" s="89"/>
      <c r="G5" s="140" t="s">
        <v>64</v>
      </c>
      <c r="H5" s="140"/>
      <c r="I5" s="89"/>
    </row>
    <row r="6" spans="2:17" x14ac:dyDescent="0.25">
      <c r="B6" s="5"/>
      <c r="C6" s="7" t="s">
        <v>277</v>
      </c>
      <c r="D6" s="171" t="str">
        <f>VLOOKUP(B4,Stockloc!A2:L5,4,0)</f>
        <v xml:space="preserve"> - Extincteur à eau pulvérisée 6 litres avec additif (AB) PLEIN</v>
      </c>
      <c r="E6" s="171"/>
      <c r="F6" s="171"/>
      <c r="G6" s="171"/>
      <c r="H6" s="171"/>
      <c r="I6" s="171"/>
    </row>
    <row r="7" spans="2:17" x14ac:dyDescent="0.25">
      <c r="B7" s="5"/>
      <c r="C7" s="6">
        <v>44027</v>
      </c>
      <c r="D7" s="3"/>
      <c r="E7" s="3"/>
      <c r="F7" s="89"/>
      <c r="G7" s="90" t="s">
        <v>6</v>
      </c>
      <c r="H7" s="90"/>
      <c r="I7" s="89"/>
    </row>
    <row r="8" spans="2:17" x14ac:dyDescent="0.25">
      <c r="B8" s="5"/>
      <c r="C8" s="89"/>
      <c r="D8" s="3"/>
      <c r="E8" s="3"/>
      <c r="F8" s="89"/>
      <c r="G8" s="138">
        <f>VLOOKUP(B4,Stockloc!A2:L5,8,0)</f>
        <v>17</v>
      </c>
      <c r="H8" s="146"/>
      <c r="I8" s="89"/>
    </row>
    <row r="9" spans="2:17" x14ac:dyDescent="0.25">
      <c r="B9" s="7" t="s">
        <v>270</v>
      </c>
      <c r="C9" s="85">
        <v>2</v>
      </c>
      <c r="D9" s="3"/>
      <c r="E9" s="3"/>
      <c r="F9" s="89"/>
      <c r="G9" s="138"/>
      <c r="H9" s="147"/>
      <c r="I9" s="89"/>
    </row>
    <row r="10" spans="2:17" x14ac:dyDescent="0.25">
      <c r="B10" s="90" t="s">
        <v>271</v>
      </c>
      <c r="C10" s="85">
        <v>0</v>
      </c>
      <c r="D10" s="3"/>
      <c r="E10" s="3"/>
      <c r="F10" s="89"/>
      <c r="G10" s="24"/>
      <c r="H10" s="24"/>
      <c r="I10" s="89"/>
    </row>
    <row r="11" spans="2:17" x14ac:dyDescent="0.25">
      <c r="B11" s="5"/>
      <c r="C11" s="89"/>
      <c r="D11" s="3"/>
      <c r="E11" s="3"/>
      <c r="F11" s="20"/>
      <c r="G11" s="24"/>
      <c r="H11" s="24"/>
      <c r="I11" s="89"/>
    </row>
    <row r="12" spans="2:17" x14ac:dyDescent="0.25">
      <c r="B12" s="5"/>
      <c r="C12" s="90" t="s">
        <v>273</v>
      </c>
      <c r="D12" s="3"/>
      <c r="E12" s="3"/>
      <c r="F12" s="89"/>
      <c r="G12" s="24"/>
      <c r="H12" s="24"/>
      <c r="I12" s="89"/>
    </row>
    <row r="13" spans="2:17" x14ac:dyDescent="0.25">
      <c r="B13" s="5"/>
      <c r="C13" s="93">
        <v>44058</v>
      </c>
      <c r="D13" s="3"/>
      <c r="E13" s="3"/>
      <c r="F13" s="89"/>
      <c r="G13" s="24"/>
      <c r="H13" s="24"/>
      <c r="I13" s="89"/>
      <c r="K13" s="84"/>
      <c r="L13" s="84"/>
      <c r="M13" s="84"/>
      <c r="N13" s="84"/>
      <c r="O13" s="84"/>
      <c r="P13" s="84"/>
      <c r="Q13" s="84"/>
    </row>
    <row r="14" spans="2:17" x14ac:dyDescent="0.25">
      <c r="B14" s="5"/>
      <c r="C14" s="89"/>
      <c r="D14" s="3"/>
      <c r="E14" s="3"/>
      <c r="F14" s="89"/>
      <c r="G14" s="24"/>
      <c r="H14" s="24"/>
      <c r="I14" s="89"/>
    </row>
    <row r="15" spans="2:17" x14ac:dyDescent="0.25">
      <c r="B15" s="90" t="s">
        <v>50</v>
      </c>
      <c r="C15" s="85" t="s">
        <v>275</v>
      </c>
      <c r="D15" s="3"/>
      <c r="E15" s="3"/>
      <c r="F15" s="89"/>
      <c r="G15" s="24"/>
      <c r="H15" s="24"/>
      <c r="I15" s="89"/>
    </row>
    <row r="16" spans="2:17" x14ac:dyDescent="0.25">
      <c r="B16" s="89"/>
      <c r="C16" s="89"/>
      <c r="D16" s="89"/>
      <c r="E16" s="94"/>
      <c r="F16" s="89"/>
      <c r="G16" s="24"/>
      <c r="H16" s="24"/>
      <c r="I16" s="89"/>
    </row>
    <row r="17" spans="2:12" x14ac:dyDescent="0.25">
      <c r="B17" s="89"/>
      <c r="C17" s="89"/>
      <c r="D17" s="89"/>
      <c r="E17" s="94"/>
      <c r="F17" s="89"/>
      <c r="G17" s="24"/>
      <c r="H17" s="24"/>
      <c r="I17" s="89"/>
      <c r="L17" s="15"/>
    </row>
    <row r="18" spans="2:12" x14ac:dyDescent="0.25">
      <c r="B18" s="157" t="str">
        <f>IFERROR(VLOOKUP(B4,#REF!,4,0),"")</f>
        <v/>
      </c>
      <c r="C18" s="157"/>
      <c r="D18" s="157"/>
      <c r="E18" s="95"/>
      <c r="F18" s="89"/>
      <c r="G18" s="24"/>
      <c r="H18" s="24"/>
      <c r="I18" s="89"/>
    </row>
    <row r="19" spans="2:12" x14ac:dyDescent="0.25">
      <c r="B19" s="156"/>
      <c r="C19" s="156"/>
      <c r="D19" s="89"/>
      <c r="E19" s="94"/>
      <c r="F19" s="89"/>
      <c r="G19" s="24"/>
      <c r="H19" s="24"/>
      <c r="I19" s="89"/>
    </row>
    <row r="20" spans="2:12" x14ac:dyDescent="0.25">
      <c r="B20" s="78"/>
      <c r="C20" s="89"/>
      <c r="D20" s="89"/>
      <c r="E20" s="94"/>
      <c r="F20" s="89"/>
      <c r="G20" s="24"/>
      <c r="H20" s="24"/>
      <c r="I20" s="89"/>
    </row>
    <row r="21" spans="2:12" x14ac:dyDescent="0.25">
      <c r="B21" s="78"/>
      <c r="C21" s="89"/>
      <c r="D21" s="89"/>
      <c r="E21" s="94"/>
      <c r="F21" s="89"/>
      <c r="G21" s="24"/>
      <c r="H21" s="24"/>
      <c r="I21" s="89"/>
    </row>
    <row r="22" spans="2:12" x14ac:dyDescent="0.25">
      <c r="B22" s="85" t="s">
        <v>276</v>
      </c>
      <c r="C22" s="85" t="s">
        <v>277</v>
      </c>
      <c r="D22" s="85" t="s">
        <v>0</v>
      </c>
      <c r="E22" s="85" t="s">
        <v>274</v>
      </c>
      <c r="F22" s="85" t="s">
        <v>50</v>
      </c>
      <c r="G22" s="91" t="s">
        <v>270</v>
      </c>
      <c r="H22" s="85" t="s">
        <v>271</v>
      </c>
      <c r="I22" s="85" t="s">
        <v>51</v>
      </c>
    </row>
    <row r="23" spans="2:12" x14ac:dyDescent="0.25">
      <c r="B23" s="172">
        <v>2</v>
      </c>
      <c r="C23" s="6">
        <v>44027</v>
      </c>
      <c r="D23" s="6" t="s">
        <v>12</v>
      </c>
      <c r="E23" s="6">
        <v>44058</v>
      </c>
      <c r="F23" s="85" t="s">
        <v>275</v>
      </c>
      <c r="G23" s="85">
        <v>2</v>
      </c>
      <c r="H23" s="85">
        <v>0</v>
      </c>
      <c r="I23" s="85">
        <f>Tableau11[[#This Row],[Nb Retour]]-Tableau11[[#This Row],[Nb Sortie]]</f>
        <v>-2</v>
      </c>
    </row>
    <row r="24" spans="2:12" x14ac:dyDescent="0.25">
      <c r="B24" s="172">
        <v>1</v>
      </c>
      <c r="C24" s="6">
        <v>44027</v>
      </c>
      <c r="D24" s="6" t="s">
        <v>12</v>
      </c>
      <c r="E24" s="6">
        <v>44058</v>
      </c>
      <c r="F24" s="85" t="s">
        <v>275</v>
      </c>
      <c r="G24" s="85">
        <v>2</v>
      </c>
      <c r="H24" s="85">
        <v>0</v>
      </c>
      <c r="I24" s="85">
        <f>Tableau11[[#This Row],[Nb Retour]]-Tableau11[[#This Row],[Nb Sortie]]</f>
        <v>-2</v>
      </c>
    </row>
    <row r="25" spans="2:12" x14ac:dyDescent="0.25">
      <c r="B25" s="6"/>
      <c r="C25" s="6">
        <v>44027</v>
      </c>
      <c r="D25" s="6" t="s">
        <v>12</v>
      </c>
      <c r="E25" s="6">
        <v>44058</v>
      </c>
      <c r="F25" s="85" t="s">
        <v>275</v>
      </c>
      <c r="G25" s="85">
        <v>2</v>
      </c>
      <c r="H25" s="85">
        <v>0</v>
      </c>
      <c r="I25" s="85">
        <f>Tableau11[[#This Row],[Nb Retour]]-Tableau11[[#This Row],[Nb Sortie]]</f>
        <v>-2</v>
      </c>
    </row>
    <row r="26" spans="2:12" x14ac:dyDescent="0.25">
      <c r="B26" s="6"/>
      <c r="C26" s="6"/>
      <c r="D26" s="6"/>
      <c r="E26" s="6"/>
      <c r="F26" s="85"/>
      <c r="G26" s="85"/>
      <c r="H26" s="85"/>
      <c r="I26" s="85"/>
    </row>
    <row r="27" spans="2:12" x14ac:dyDescent="0.25">
      <c r="B27" s="6"/>
      <c r="C27" s="6"/>
      <c r="D27" s="6"/>
      <c r="E27" s="6"/>
      <c r="F27" s="85"/>
      <c r="G27" s="85"/>
      <c r="H27" s="85"/>
      <c r="I27" s="85"/>
    </row>
    <row r="28" spans="2:12" x14ac:dyDescent="0.25">
      <c r="B28" s="6"/>
      <c r="C28" s="85"/>
      <c r="D28" s="6"/>
      <c r="E28" s="6"/>
      <c r="F28" s="85"/>
      <c r="G28" s="85"/>
      <c r="H28" s="85"/>
      <c r="I28" s="85"/>
    </row>
    <row r="29" spans="2:12" x14ac:dyDescent="0.25">
      <c r="B29" s="6"/>
      <c r="C29" s="85"/>
      <c r="D29" s="6"/>
      <c r="E29" s="6"/>
      <c r="F29" s="85"/>
      <c r="G29" s="85"/>
      <c r="H29" s="85"/>
      <c r="I29" s="85"/>
    </row>
    <row r="30" spans="2:12" x14ac:dyDescent="0.25">
      <c r="B30" s="6"/>
      <c r="C30" s="85"/>
      <c r="D30" s="6"/>
      <c r="E30" s="6"/>
      <c r="F30" s="85"/>
      <c r="G30" s="85"/>
      <c r="H30" s="85"/>
      <c r="I30" s="85"/>
    </row>
    <row r="31" spans="2:12" x14ac:dyDescent="0.25">
      <c r="B31" s="6"/>
      <c r="C31" s="85"/>
      <c r="D31" s="6"/>
      <c r="E31" s="6"/>
      <c r="F31" s="85"/>
      <c r="G31" s="85"/>
      <c r="H31" s="85"/>
      <c r="I31" s="85"/>
    </row>
    <row r="32" spans="2:12" x14ac:dyDescent="0.25">
      <c r="B32" s="6"/>
      <c r="C32" s="85"/>
      <c r="D32" s="6"/>
      <c r="E32" s="6"/>
      <c r="F32" s="85"/>
      <c r="G32" s="85"/>
      <c r="H32" s="85"/>
      <c r="I32" s="85"/>
    </row>
    <row r="33" spans="2:9" x14ac:dyDescent="0.25">
      <c r="B33" s="6"/>
      <c r="C33" s="85"/>
      <c r="D33" s="6"/>
      <c r="E33" s="6"/>
      <c r="F33" s="85"/>
      <c r="G33" s="85"/>
      <c r="H33" s="85"/>
      <c r="I33" s="85"/>
    </row>
    <row r="34" spans="2:9" x14ac:dyDescent="0.25">
      <c r="B34" s="6"/>
      <c r="C34" s="85"/>
      <c r="D34" s="6"/>
      <c r="E34" s="6"/>
      <c r="F34" s="85"/>
      <c r="G34" s="85"/>
      <c r="H34" s="85"/>
      <c r="I34" s="85"/>
    </row>
    <row r="35" spans="2:9" x14ac:dyDescent="0.25">
      <c r="B35" s="6"/>
      <c r="C35" s="85"/>
      <c r="D35" s="6"/>
      <c r="E35" s="6"/>
      <c r="F35" s="85"/>
      <c r="G35" s="85"/>
      <c r="H35" s="85"/>
      <c r="I35" s="85"/>
    </row>
    <row r="36" spans="2:9" x14ac:dyDescent="0.25">
      <c r="B36" s="6"/>
      <c r="C36" s="85"/>
      <c r="D36" s="6"/>
      <c r="E36" s="6"/>
      <c r="F36" s="85"/>
      <c r="G36" s="85"/>
      <c r="H36" s="85"/>
      <c r="I36" s="85"/>
    </row>
    <row r="37" spans="2:9" x14ac:dyDescent="0.25">
      <c r="B37" s="6"/>
      <c r="C37" s="85"/>
      <c r="D37" s="6"/>
      <c r="E37" s="6"/>
      <c r="F37" s="85"/>
      <c r="G37" s="85"/>
      <c r="H37" s="85"/>
      <c r="I37" s="85"/>
    </row>
    <row r="38" spans="2:9" x14ac:dyDescent="0.25">
      <c r="B38" s="6"/>
      <c r="C38" s="85"/>
      <c r="D38" s="85"/>
      <c r="E38" s="85"/>
      <c r="F38" s="85"/>
      <c r="G38" s="85"/>
      <c r="H38" s="85"/>
      <c r="I38" s="85"/>
    </row>
    <row r="39" spans="2:9" x14ac:dyDescent="0.25">
      <c r="B39" s="6"/>
      <c r="C39" s="85"/>
      <c r="D39" s="85"/>
      <c r="E39" s="85"/>
      <c r="F39" s="85"/>
      <c r="G39" s="85"/>
      <c r="H39" s="85"/>
      <c r="I39" s="85"/>
    </row>
    <row r="40" spans="2:9" x14ac:dyDescent="0.25">
      <c r="B40" s="6"/>
      <c r="C40" s="85"/>
      <c r="D40" s="85"/>
      <c r="E40" s="85"/>
      <c r="F40" s="85"/>
      <c r="G40" s="85"/>
      <c r="H40" s="85"/>
      <c r="I40" s="85"/>
    </row>
    <row r="41" spans="2:9" x14ac:dyDescent="0.25">
      <c r="B41" s="14"/>
      <c r="C41" s="85"/>
      <c r="D41" s="84"/>
      <c r="F41" s="84"/>
      <c r="G41" s="84"/>
      <c r="H41" s="84"/>
      <c r="I41" s="84"/>
    </row>
    <row r="42" spans="2:9" x14ac:dyDescent="0.25">
      <c r="B42" s="14"/>
      <c r="C42" s="85"/>
      <c r="D42" s="84"/>
      <c r="F42" s="84"/>
      <c r="G42" s="84"/>
      <c r="H42" s="84"/>
      <c r="I42" s="84"/>
    </row>
    <row r="43" spans="2:9" x14ac:dyDescent="0.25">
      <c r="B43" s="14"/>
      <c r="C43" s="85"/>
      <c r="D43" s="84"/>
      <c r="F43" s="84"/>
      <c r="G43" s="84"/>
      <c r="H43" s="84"/>
      <c r="I43" s="84"/>
    </row>
    <row r="44" spans="2:9" x14ac:dyDescent="0.25">
      <c r="B44" s="14"/>
      <c r="C44" s="85"/>
      <c r="D44" s="84"/>
      <c r="F44" s="84"/>
      <c r="G44" s="84"/>
      <c r="H44" s="84"/>
      <c r="I44" s="84"/>
    </row>
    <row r="45" spans="2:9" x14ac:dyDescent="0.25">
      <c r="B45" s="14"/>
      <c r="C45" s="85"/>
    </row>
  </sheetData>
  <mergeCells count="9">
    <mergeCell ref="B18:D18"/>
    <mergeCell ref="B19:C19"/>
    <mergeCell ref="B1:I2"/>
    <mergeCell ref="H3:I3"/>
    <mergeCell ref="G4:H4"/>
    <mergeCell ref="G5:H5"/>
    <mergeCell ref="G8:G9"/>
    <mergeCell ref="H8:H9"/>
    <mergeCell ref="D6:I6"/>
  </mergeCells>
  <conditionalFormatting sqref="B18:E18">
    <cfRule type="cellIs" dxfId="4" priority="1" operator="equal">
      <formula>0</formula>
    </cfRule>
    <cfRule type="cellIs" dxfId="3" priority="2" operator="lessThan">
      <formula>1</formula>
    </cfRule>
  </conditionalFormatting>
  <conditionalFormatting sqref="G4">
    <cfRule type="expression" dxfId="2" priority="5">
      <formula>IF($H$3,"Commander")</formula>
    </cfRule>
  </conditionalFormatting>
  <conditionalFormatting sqref="G4:H4">
    <cfRule type="containsText" dxfId="1" priority="4" operator="containsText" text="mini">
      <formula>NOT(ISERROR(SEARCH("mini",G4)))</formula>
    </cfRule>
  </conditionalFormatting>
  <conditionalFormatting sqref="H3:I3">
    <cfRule type="expression" dxfId="0" priority="6">
      <formula>(COUNTIF(#REF!,"Commander")&gt;=1)</formula>
    </cfRule>
  </conditionalFormatting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7" r:id="rId3" name="Button 3">
              <controlPr defaultSize="0" print="0" autoFill="0" autoPict="0" macro="[0]!Loc">
                <anchor moveWithCells="1" sizeWithCells="1">
                  <from>
                    <xdr:col>5</xdr:col>
                    <xdr:colOff>523875</xdr:colOff>
                    <xdr:row>12</xdr:row>
                    <xdr:rowOff>85725</xdr:rowOff>
                  </from>
                  <to>
                    <xdr:col>8</xdr:col>
                    <xdr:colOff>133350</xdr:colOff>
                    <xdr:row>15</xdr:row>
                    <xdr:rowOff>133350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D408D72-AAE0-47CB-94E8-EF339C834D6D}">
          <x14:formula1>
            <xm:f>Stockloc!$N$2:$N$7</xm:f>
          </x14:formula1>
          <xm:sqref>B4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1EC1EF-E750-46CA-8FB6-F15095ABBFE6}">
  <sheetPr codeName="Feuil12">
    <tabColor rgb="FFFF0000"/>
  </sheetPr>
  <dimension ref="A1:I19"/>
  <sheetViews>
    <sheetView workbookViewId="0">
      <selection activeCell="I17" sqref="I17"/>
    </sheetView>
  </sheetViews>
  <sheetFormatPr baseColWidth="10" defaultRowHeight="15" x14ac:dyDescent="0.25"/>
  <cols>
    <col min="1" max="1" width="13.28515625" bestFit="1" customWidth="1"/>
    <col min="2" max="2" width="14.7109375" bestFit="1" customWidth="1"/>
    <col min="3" max="3" width="14" bestFit="1" customWidth="1"/>
    <col min="4" max="4" width="14" style="84" customWidth="1"/>
    <col min="5" max="5" width="10.85546875" bestFit="1" customWidth="1"/>
    <col min="6" max="6" width="13.85546875" bestFit="1" customWidth="1"/>
    <col min="7" max="7" width="14.5703125" bestFit="1" customWidth="1"/>
    <col min="8" max="8" width="16.5703125" bestFit="1" customWidth="1"/>
    <col min="9" max="9" width="34.5703125" customWidth="1"/>
  </cols>
  <sheetData>
    <row r="1" spans="1:9" x14ac:dyDescent="0.25">
      <c r="A1" s="85" t="s">
        <v>276</v>
      </c>
      <c r="B1" s="85" t="s">
        <v>277</v>
      </c>
      <c r="C1" s="85" t="s">
        <v>0</v>
      </c>
      <c r="D1" s="85" t="s">
        <v>274</v>
      </c>
      <c r="E1" s="85" t="s">
        <v>50</v>
      </c>
      <c r="F1" s="91" t="s">
        <v>270</v>
      </c>
      <c r="G1" s="85" t="s">
        <v>271</v>
      </c>
      <c r="H1" s="85" t="s">
        <v>51</v>
      </c>
      <c r="I1" s="92" t="s">
        <v>218</v>
      </c>
    </row>
    <row r="2" spans="1:9" x14ac:dyDescent="0.25">
      <c r="A2" s="172">
        <v>2</v>
      </c>
      <c r="B2" s="6">
        <v>44027</v>
      </c>
      <c r="C2" s="6" t="s">
        <v>12</v>
      </c>
      <c r="D2" s="6">
        <v>44058</v>
      </c>
      <c r="E2" s="85" t="s">
        <v>275</v>
      </c>
      <c r="F2" s="85">
        <v>2</v>
      </c>
      <c r="G2" s="85">
        <v>0</v>
      </c>
      <c r="H2" s="85">
        <v>0</v>
      </c>
      <c r="I2" s="84"/>
    </row>
    <row r="3" spans="1:9" x14ac:dyDescent="0.25">
      <c r="A3" s="172">
        <v>2</v>
      </c>
      <c r="B3" s="6">
        <v>44027</v>
      </c>
      <c r="C3" s="6" t="s">
        <v>12</v>
      </c>
      <c r="D3" s="6">
        <v>44058</v>
      </c>
      <c r="E3" s="85" t="s">
        <v>275</v>
      </c>
      <c r="F3" s="85">
        <v>2</v>
      </c>
      <c r="G3" s="85">
        <v>0</v>
      </c>
      <c r="H3" s="85">
        <v>0</v>
      </c>
      <c r="I3" s="84"/>
    </row>
    <row r="4" spans="1:9" x14ac:dyDescent="0.25">
      <c r="A4" s="172">
        <v>2</v>
      </c>
      <c r="B4" s="6">
        <v>44027</v>
      </c>
      <c r="C4" s="6" t="s">
        <v>12</v>
      </c>
      <c r="D4" s="6">
        <v>44058</v>
      </c>
      <c r="E4" s="85" t="s">
        <v>275</v>
      </c>
      <c r="F4" s="85">
        <v>2</v>
      </c>
      <c r="G4" s="85">
        <v>0</v>
      </c>
      <c r="H4" s="85">
        <v>0</v>
      </c>
      <c r="I4" s="84"/>
    </row>
    <row r="5" spans="1:9" x14ac:dyDescent="0.25">
      <c r="A5" s="172">
        <v>2</v>
      </c>
      <c r="B5" s="6"/>
      <c r="C5" s="6"/>
      <c r="D5" s="6"/>
      <c r="E5" s="85"/>
      <c r="F5" s="85"/>
      <c r="G5" s="85"/>
      <c r="H5" s="85"/>
      <c r="I5" s="84"/>
    </row>
    <row r="6" spans="1:9" x14ac:dyDescent="0.25">
      <c r="A6" s="6"/>
      <c r="B6" s="6"/>
      <c r="C6" s="6"/>
      <c r="D6" s="6"/>
      <c r="E6" s="85"/>
      <c r="F6" s="85"/>
      <c r="G6" s="85"/>
      <c r="H6" s="85"/>
      <c r="I6" s="84"/>
    </row>
    <row r="7" spans="1:9" x14ac:dyDescent="0.25">
      <c r="A7" s="6"/>
      <c r="B7" s="85"/>
      <c r="C7" s="6"/>
      <c r="D7" s="6"/>
      <c r="E7" s="85"/>
      <c r="F7" s="85"/>
      <c r="G7" s="85"/>
      <c r="H7" s="85"/>
      <c r="I7" s="84"/>
    </row>
    <row r="8" spans="1:9" x14ac:dyDescent="0.25">
      <c r="A8" s="6"/>
      <c r="B8" s="85"/>
      <c r="C8" s="6"/>
      <c r="D8" s="6"/>
      <c r="E8" s="85"/>
      <c r="F8" s="85"/>
      <c r="G8" s="85"/>
      <c r="H8" s="85"/>
      <c r="I8" s="84"/>
    </row>
    <row r="9" spans="1:9" x14ac:dyDescent="0.25">
      <c r="A9" s="6"/>
      <c r="B9" s="85"/>
      <c r="C9" s="6"/>
      <c r="D9" s="6"/>
      <c r="E9" s="85"/>
      <c r="F9" s="85"/>
      <c r="G9" s="85"/>
      <c r="H9" s="85"/>
      <c r="I9" s="84"/>
    </row>
    <row r="10" spans="1:9" x14ac:dyDescent="0.25">
      <c r="A10" s="6"/>
      <c r="B10" s="85"/>
      <c r="C10" s="6"/>
      <c r="D10" s="6"/>
      <c r="E10" s="85"/>
      <c r="F10" s="85"/>
      <c r="G10" s="85"/>
      <c r="H10" s="85"/>
      <c r="I10" s="84"/>
    </row>
    <row r="11" spans="1:9" x14ac:dyDescent="0.25">
      <c r="A11" s="6"/>
      <c r="B11" s="85"/>
      <c r="C11" s="6"/>
      <c r="D11" s="6"/>
      <c r="E11" s="85"/>
      <c r="F11" s="85"/>
      <c r="G11" s="85"/>
      <c r="H11" s="85"/>
      <c r="I11" s="84"/>
    </row>
    <row r="12" spans="1:9" x14ac:dyDescent="0.25">
      <c r="A12" s="6"/>
      <c r="B12" s="85"/>
      <c r="C12" s="6"/>
      <c r="D12" s="6"/>
      <c r="E12" s="85"/>
      <c r="F12" s="85"/>
      <c r="G12" s="85"/>
      <c r="H12" s="85"/>
      <c r="I12" s="84"/>
    </row>
    <row r="13" spans="1:9" x14ac:dyDescent="0.25">
      <c r="A13" s="6"/>
      <c r="B13" s="85"/>
      <c r="C13" s="85"/>
      <c r="D13" s="85"/>
      <c r="E13" s="85"/>
      <c r="F13" s="85"/>
      <c r="G13" s="85"/>
      <c r="H13" s="85"/>
      <c r="I13" s="84"/>
    </row>
    <row r="14" spans="1:9" x14ac:dyDescent="0.25">
      <c r="A14" s="6"/>
      <c r="B14" s="85"/>
      <c r="C14" s="85"/>
      <c r="D14" s="85"/>
      <c r="E14" s="85"/>
      <c r="F14" s="85"/>
      <c r="G14" s="85"/>
      <c r="H14" s="85"/>
      <c r="I14" s="84"/>
    </row>
    <row r="15" spans="1:9" x14ac:dyDescent="0.25">
      <c r="A15" s="84"/>
      <c r="B15" s="84"/>
      <c r="C15" s="84"/>
      <c r="E15" s="84"/>
      <c r="F15" s="84"/>
      <c r="G15" s="84"/>
      <c r="H15" s="84"/>
      <c r="I15" s="84"/>
    </row>
    <row r="16" spans="1:9" x14ac:dyDescent="0.25">
      <c r="A16" s="84"/>
      <c r="B16" s="84"/>
      <c r="C16" s="84"/>
      <c r="E16" s="84"/>
      <c r="F16" s="84"/>
      <c r="G16" s="84"/>
      <c r="H16" s="84"/>
    </row>
    <row r="17" spans="1:8" x14ac:dyDescent="0.25">
      <c r="A17" s="84"/>
      <c r="B17" s="84"/>
      <c r="C17" s="84"/>
      <c r="E17" s="84"/>
      <c r="F17" s="84"/>
      <c r="G17" s="84"/>
      <c r="H17" s="84"/>
    </row>
    <row r="18" spans="1:8" x14ac:dyDescent="0.25">
      <c r="A18" s="84"/>
      <c r="B18" s="84"/>
      <c r="C18" s="84"/>
      <c r="E18" s="84"/>
      <c r="F18" s="84"/>
      <c r="G18" s="84"/>
      <c r="H18" s="84"/>
    </row>
    <row r="19" spans="1:8" x14ac:dyDescent="0.25">
      <c r="A19" s="84"/>
      <c r="B19" s="84"/>
      <c r="C19" s="84"/>
      <c r="E19" s="84"/>
      <c r="F19" s="84"/>
      <c r="G19" s="84"/>
      <c r="H19" s="84"/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C21166-C57C-4D65-94DB-3128A8AB3D73}">
  <sheetPr codeName="Feuil11">
    <tabColor rgb="FFFF0000"/>
  </sheetPr>
  <dimension ref="A1:N6"/>
  <sheetViews>
    <sheetView workbookViewId="0">
      <selection activeCell="N2" sqref="N2"/>
    </sheetView>
  </sheetViews>
  <sheetFormatPr baseColWidth="10" defaultRowHeight="15" x14ac:dyDescent="0.25"/>
  <cols>
    <col min="1" max="1" width="13.140625" customWidth="1"/>
    <col min="3" max="3" width="14.42578125" customWidth="1"/>
    <col min="4" max="4" width="54.5703125" bestFit="1" customWidth="1"/>
    <col min="5" max="5" width="12.42578125" customWidth="1"/>
    <col min="6" max="6" width="13.42578125" customWidth="1"/>
    <col min="7" max="7" width="15" customWidth="1"/>
    <col min="8" max="8" width="14" customWidth="1"/>
    <col min="9" max="9" width="12.42578125" customWidth="1"/>
    <col min="14" max="14" width="12.5703125" customWidth="1"/>
  </cols>
  <sheetData>
    <row r="1" spans="1:14" x14ac:dyDescent="0.25">
      <c r="A1" s="85" t="s">
        <v>1</v>
      </c>
      <c r="B1" s="85" t="s">
        <v>177</v>
      </c>
      <c r="C1" s="85" t="s">
        <v>45</v>
      </c>
      <c r="D1" s="85" t="s">
        <v>3</v>
      </c>
      <c r="E1" s="85" t="s">
        <v>139</v>
      </c>
      <c r="F1" s="85" t="s">
        <v>4</v>
      </c>
      <c r="G1" s="85" t="s">
        <v>5</v>
      </c>
      <c r="H1" s="85" t="s">
        <v>6</v>
      </c>
      <c r="I1" s="85" t="s">
        <v>7</v>
      </c>
      <c r="J1" s="85" t="s">
        <v>8</v>
      </c>
      <c r="K1" s="85" t="s">
        <v>61</v>
      </c>
      <c r="L1" s="85" t="s">
        <v>79</v>
      </c>
      <c r="N1" t="s">
        <v>272</v>
      </c>
    </row>
    <row r="2" spans="1:14" x14ac:dyDescent="0.25">
      <c r="A2" s="85" t="s">
        <v>265</v>
      </c>
      <c r="B2" s="85" t="s">
        <v>10</v>
      </c>
      <c r="C2" s="85" t="s">
        <v>10</v>
      </c>
      <c r="D2" s="85" t="s">
        <v>11</v>
      </c>
      <c r="E2" s="85">
        <v>30</v>
      </c>
      <c r="F2" s="85">
        <v>13</v>
      </c>
      <c r="G2" s="85">
        <f>SUMIF(Mouvloc!C:C,Tableau13[[#This Row],[Références]],Mouvloc!I:I)</f>
        <v>0</v>
      </c>
      <c r="H2" s="85">
        <v>13</v>
      </c>
      <c r="I2" s="85">
        <v>10</v>
      </c>
      <c r="J2" s="85" t="s">
        <v>267</v>
      </c>
      <c r="K2" s="85"/>
      <c r="L2" s="85">
        <v>390</v>
      </c>
      <c r="N2" t="s">
        <v>265</v>
      </c>
    </row>
    <row r="3" spans="1:14" x14ac:dyDescent="0.25">
      <c r="A3" s="85" t="s">
        <v>12</v>
      </c>
      <c r="B3" s="85" t="s">
        <v>10</v>
      </c>
      <c r="C3" s="85" t="s">
        <v>10</v>
      </c>
      <c r="D3" s="85" t="s">
        <v>173</v>
      </c>
      <c r="E3" s="85">
        <v>37.5</v>
      </c>
      <c r="F3" s="85">
        <v>17</v>
      </c>
      <c r="G3" s="85">
        <f>SUMIF(Mouvloc!C:C,Tableau13[[#This Row],[Références]],Mouvloc!I:I)</f>
        <v>0</v>
      </c>
      <c r="H3" s="85">
        <v>17</v>
      </c>
      <c r="I3" s="85">
        <v>15</v>
      </c>
      <c r="J3" s="85" t="s">
        <v>267</v>
      </c>
      <c r="K3" s="85"/>
      <c r="L3" s="85">
        <v>637.5</v>
      </c>
      <c r="N3" t="s">
        <v>12</v>
      </c>
    </row>
    <row r="4" spans="1:14" x14ac:dyDescent="0.25">
      <c r="A4" s="85" t="s">
        <v>13</v>
      </c>
      <c r="B4" s="85" t="s">
        <v>10</v>
      </c>
      <c r="C4" s="85" t="s">
        <v>10</v>
      </c>
      <c r="D4" s="85" t="s">
        <v>174</v>
      </c>
      <c r="E4" s="85">
        <v>39.5</v>
      </c>
      <c r="F4" s="85">
        <v>14</v>
      </c>
      <c r="G4" s="85">
        <f>SUMIF(Mouvloc!C:C,Tableau13[[#This Row],[Références]],Mouvloc!I:I)</f>
        <v>0</v>
      </c>
      <c r="H4" s="85">
        <v>14</v>
      </c>
      <c r="I4" s="85">
        <v>15</v>
      </c>
      <c r="J4" s="85" t="s">
        <v>268</v>
      </c>
      <c r="K4" s="85"/>
      <c r="L4" s="85">
        <v>553</v>
      </c>
      <c r="N4" t="s">
        <v>13</v>
      </c>
    </row>
    <row r="5" spans="1:14" x14ac:dyDescent="0.25">
      <c r="A5" s="85" t="s">
        <v>63</v>
      </c>
      <c r="B5" s="85" t="s">
        <v>10</v>
      </c>
      <c r="C5" s="85" t="s">
        <v>10</v>
      </c>
      <c r="D5" s="85" t="s">
        <v>175</v>
      </c>
      <c r="E5" s="85">
        <v>43.5</v>
      </c>
      <c r="F5" s="85">
        <v>2</v>
      </c>
      <c r="G5" s="85">
        <f>SUMIF(Mouvloc!C:C,Tableau13[[#This Row],[Références]],Mouvloc!I:I)</f>
        <v>0</v>
      </c>
      <c r="H5" s="85">
        <v>2</v>
      </c>
      <c r="I5" s="85">
        <v>2</v>
      </c>
      <c r="J5" s="85" t="s">
        <v>267</v>
      </c>
      <c r="K5" s="85"/>
      <c r="L5" s="85">
        <v>87</v>
      </c>
      <c r="N5" t="s">
        <v>63</v>
      </c>
    </row>
    <row r="6" spans="1:14" x14ac:dyDescent="0.25">
      <c r="A6" s="85"/>
      <c r="B6" s="85"/>
      <c r="C6" s="85"/>
      <c r="D6" s="85"/>
      <c r="E6" s="85"/>
      <c r="F6" s="85"/>
      <c r="G6" s="85"/>
      <c r="H6" s="85"/>
      <c r="I6" s="85"/>
      <c r="J6" s="85"/>
      <c r="K6" s="85"/>
      <c r="L6" s="85"/>
    </row>
  </sheetData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Mouvement</vt:lpstr>
      <vt:lpstr>Feuil1</vt:lpstr>
      <vt:lpstr>Mouvloc</vt:lpstr>
      <vt:lpstr>Archivloc</vt:lpstr>
      <vt:lpstr>Stockloc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GG</cp:lastModifiedBy>
  <cp:lastPrinted>2020-07-15T05:10:38Z</cp:lastPrinted>
  <dcterms:created xsi:type="dcterms:W3CDTF">2020-04-13T11:07:07Z</dcterms:created>
  <dcterms:modified xsi:type="dcterms:W3CDTF">2020-07-15T18:44:49Z</dcterms:modified>
</cp:coreProperties>
</file>